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D:\Desktop\"/>
    </mc:Choice>
  </mc:AlternateContent>
  <xr:revisionPtr revIDLastSave="0" documentId="13_ncr:1_{314DEC72-014A-49CC-827E-965CB43460B2}" xr6:coauthVersionLast="41" xr6:coauthVersionMax="41" xr10:uidLastSave="{00000000-0000-0000-0000-000000000000}"/>
  <bookViews>
    <workbookView xWindow="-120" yWindow="-120" windowWidth="29040" windowHeight="17640" tabRatio="772" xr2:uid="{00000000-000D-0000-FFFF-FFFF00000000}"/>
  </bookViews>
  <sheets>
    <sheet name="CONSOLIDADO ANLA 2019" sheetId="10" r:id="rId1"/>
    <sheet name="Oficina Asesora Planeación" sheetId="4" r:id="rId2"/>
    <sheet name="Comunicaciones" sheetId="8" r:id="rId3"/>
    <sheet name="Sub. Evaluación y Seguimiento" sheetId="3" r:id="rId4"/>
    <sheet name="SIPTA" sheetId="5" r:id="rId5"/>
    <sheet name="Sub. Administrativa Financiera" sheetId="6" r:id="rId6"/>
    <sheet name="Oficina Asesora Jurídica" sheetId="7" r:id="rId7"/>
    <sheet name="Control Interno" sheetId="9" r:id="rId8"/>
    <sheet name="Hoja1" sheetId="2" state="hidden"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_xlnm._FilterDatabase" localSheetId="3" hidden="1">'Sub. Evaluación y Seguimiento'!$A$6:$AI$66</definedName>
    <definedName name="_xlnm.Print_Area" localSheetId="3">'Sub. Evaluación y Seguimiento'!$A$1:$AI$66</definedName>
    <definedName name="DepartamentoConsulta" localSheetId="0">#REF!</definedName>
    <definedName name="DepartamentoConsulta" localSheetId="3">#REF!</definedName>
    <definedName name="DepartamentoConsulta">#REF!</definedName>
    <definedName name="DeptoConsulta" localSheetId="0">#REF!</definedName>
    <definedName name="DeptoConsulta" localSheetId="3">#REF!</definedName>
    <definedName name="DeptoConsulta">#REF!</definedName>
    <definedName name="FactorSemanas">[1]Parametros!$G$5</definedName>
    <definedName name="FechaCierre">'[2]Registro Control Tiempos'!$C$9</definedName>
    <definedName name="FechaCorte">'[2]Registro Control Tiempos'!$C$7</definedName>
    <definedName name="FechaCorteModificacion" localSheetId="0">#REF!</definedName>
    <definedName name="FechaCorteModificacion" localSheetId="3">#REF!</definedName>
    <definedName name="FechaCorteModificacion">#REF!</definedName>
    <definedName name="festivos">[1]!Tabla4[TabDiasFestivos]</definedName>
    <definedName name="G" localSheetId="0">#REF!</definedName>
    <definedName name="G" localSheetId="3">#REF!</definedName>
    <definedName name="G">#REF!</definedName>
    <definedName name="Instrumentos">[3]Parametros!$F$11:$F$19</definedName>
    <definedName name="intrumento">[4]!TabInstrumentos[Instrumentos]</definedName>
    <definedName name="Mesfinal">[1]Parametros!$H$2</definedName>
    <definedName name="MesInicial">[1]Parametros!$G$2</definedName>
    <definedName name="MetaAnual" localSheetId="0">#REF!</definedName>
    <definedName name="MetaAnual" localSheetId="3">#REF!</definedName>
    <definedName name="MetaAnual">#REF!</definedName>
    <definedName name="MetaAnualIE">'[1]Indicador estrategico'!$AV$5</definedName>
    <definedName name="NativeTimeline_Fecha_Auto_Administrativo_Respuesta">#N/A</definedName>
    <definedName name="NombreContratista">[4]!TabRevisores[NOMBRE]</definedName>
    <definedName name="NormasAplicables">[4]Parametros!$BI$15:$BI$19</definedName>
    <definedName name="NotaAutoInicio" localSheetId="0">#REF!</definedName>
    <definedName name="NotaAutoInicio" localSheetId="3">#REF!</definedName>
    <definedName name="NotaAutoInicio">#REF!</definedName>
    <definedName name="pend">[5]Pendientes!$B$49:$E$49</definedName>
    <definedName name="PerfilActivo" localSheetId="0">#REF!</definedName>
    <definedName name="PerfilActivo" localSheetId="3">#REF!</definedName>
    <definedName name="PerfilActivo">#REF!</definedName>
    <definedName name="ProyectoConsulta" localSheetId="0">#REF!</definedName>
    <definedName name="ProyectoConsulta" localSheetId="3">#REF!</definedName>
    <definedName name="ProyectoConsulta">#REF!</definedName>
    <definedName name="RangoConsulta" localSheetId="0">'[2]Registro Control Tiempos'!#REF!</definedName>
    <definedName name="RangoConsulta" localSheetId="3">'[2]Registro Control Tiempos'!#REF!</definedName>
    <definedName name="RangoConsulta">'[2]Registro Control Tiempos'!#REF!</definedName>
    <definedName name="RegistroConsulta" localSheetId="0">#REF!</definedName>
    <definedName name="RegistroConsulta" localSheetId="3">#REF!</definedName>
    <definedName name="RegistroConsulta">#REF!</definedName>
    <definedName name="Sector">[6]Parametros!$N$11:$N$17</definedName>
    <definedName name="SectorAConsultar" localSheetId="0">#REF!</definedName>
    <definedName name="SectorAConsultar" localSheetId="3">#REF!</definedName>
    <definedName name="SectorAConsultar">#REF!</definedName>
    <definedName name="SectorConsultar">'[1]Indicador estrategico'!$I$2</definedName>
    <definedName name="SectorEstadisticas" localSheetId="0">#REF!</definedName>
    <definedName name="SectorEstadisticas" localSheetId="3">#REF!</definedName>
    <definedName name="SectorEstadisticas">#REF!</definedName>
    <definedName name="SectorTiempo" localSheetId="0">Ind Tiempos [7]Sectorial!$E$9</definedName>
    <definedName name="SectorTiempo" localSheetId="3">Ind Tiempos [7]Sectorial!$E$9</definedName>
    <definedName name="SectorTiempo">Ind Tiempos [7]Sectorial!$E$9</definedName>
    <definedName name="SiNo">[8]Parametros!$BI$12:$BI$13</definedName>
    <definedName name="ss">[4]!TabInstrumentos[Instrumentos]</definedName>
    <definedName name="TabDiasFestivos">[1]!Tabla4[TabDiasFestivos]</definedName>
    <definedName name="TabSabadoDomingo">[4]!SabadosDomingos[SabadosDomingos]</definedName>
    <definedName name="TipoActoAdministrativo">[9]Parametros!$T$11:$T$13</definedName>
    <definedName name="TipoDecision">[10]Parametros!$V$11:$V$18</definedName>
    <definedName name="TipoRegistro">[11]Parametros!$L$11:$L$13</definedName>
    <definedName name="TipoSuspension">[1]Parametros!$R$11:$R$14</definedName>
    <definedName name="TipoTramite">[1]Parametros!$AB$11:$AB$13</definedName>
    <definedName name="UsuarioActivo" localSheetId="0">#REF!</definedName>
    <definedName name="UsuarioActivo" localSheetId="3">#REF!</definedName>
    <definedName name="UsuarioActivo">#REF!</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H14" i="3" l="1"/>
  <c r="AH53" i="3"/>
  <c r="AH52" i="3"/>
  <c r="AH51" i="3"/>
  <c r="AH50" i="3"/>
  <c r="AH49" i="3"/>
  <c r="AH48" i="3"/>
  <c r="AH47" i="3"/>
  <c r="AH54" i="3" s="1"/>
  <c r="AH45" i="3"/>
  <c r="AH44" i="3"/>
  <c r="AH43" i="3"/>
  <c r="AH42" i="3"/>
  <c r="AH41" i="3"/>
  <c r="AH40" i="3"/>
  <c r="AH39" i="3"/>
  <c r="AH46" i="3" s="1"/>
  <c r="AH37" i="3"/>
  <c r="AH36" i="3"/>
  <c r="AH35" i="3"/>
  <c r="AH34" i="3"/>
  <c r="AH33" i="3"/>
  <c r="AH32" i="3"/>
  <c r="AH31" i="3"/>
  <c r="AH38" i="3" s="1"/>
  <c r="AH29" i="3"/>
  <c r="AH28" i="3"/>
  <c r="AH27" i="3"/>
  <c r="AH26" i="3"/>
  <c r="AH25" i="3"/>
  <c r="AH24" i="3"/>
  <c r="AH23" i="3"/>
  <c r="AH30" i="3" s="1"/>
  <c r="AH21" i="3"/>
  <c r="AH20" i="3"/>
  <c r="AH19" i="3"/>
  <c r="AH18" i="3"/>
  <c r="AH17" i="3"/>
  <c r="AH16" i="3"/>
  <c r="AH15" i="3"/>
  <c r="AH22" i="3" s="1"/>
  <c r="AH65" i="3"/>
  <c r="AH66" i="3" s="1"/>
  <c r="AD64" i="3"/>
  <c r="AD66" i="3" s="1"/>
  <c r="AD63" i="3"/>
  <c r="AD62" i="3"/>
  <c r="AD61" i="3"/>
  <c r="AD60" i="3"/>
  <c r="AD59" i="3"/>
  <c r="AD58" i="3"/>
  <c r="AD57" i="3"/>
  <c r="AD56" i="3"/>
  <c r="AD55" i="3"/>
  <c r="AD51" i="3"/>
  <c r="AD54" i="3" s="1"/>
  <c r="AD50" i="3"/>
  <c r="AD49" i="3"/>
  <c r="AD47" i="3"/>
  <c r="AD43" i="3"/>
  <c r="AD42" i="3"/>
  <c r="AD41" i="3"/>
  <c r="AD39" i="3"/>
  <c r="AD46" i="3" s="1"/>
  <c r="AD35" i="3"/>
  <c r="AD34" i="3"/>
  <c r="AD33" i="3"/>
  <c r="AD31" i="3"/>
  <c r="AD38" i="3" s="1"/>
  <c r="AD30" i="3"/>
  <c r="AD27" i="3"/>
  <c r="AD26" i="3"/>
  <c r="AD25" i="3"/>
  <c r="AD23" i="3"/>
  <c r="AD18" i="3"/>
  <c r="AD17" i="3"/>
  <c r="AD22" i="3" s="1"/>
  <c r="AD14" i="3"/>
  <c r="AD13" i="3"/>
  <c r="AD8" i="3"/>
  <c r="AD7" i="3"/>
  <c r="AD70" i="3" l="1"/>
  <c r="AH70" i="3"/>
  <c r="T31" i="10" l="1"/>
  <c r="S31" i="10"/>
  <c r="R31" i="10"/>
  <c r="R32" i="10" s="1"/>
  <c r="Q31" i="10"/>
  <c r="P31" i="10"/>
  <c r="O31" i="10"/>
  <c r="N31" i="10"/>
  <c r="M31" i="10"/>
  <c r="L31" i="10"/>
  <c r="K31" i="10"/>
  <c r="J31" i="10"/>
  <c r="I31" i="10"/>
  <c r="H31" i="10"/>
  <c r="G31" i="10"/>
  <c r="F31" i="10"/>
  <c r="E31" i="10"/>
  <c r="D31" i="10"/>
  <c r="C31" i="10"/>
  <c r="T26" i="10"/>
  <c r="S26" i="10"/>
  <c r="R26" i="10"/>
  <c r="Q26" i="10"/>
  <c r="P26" i="10"/>
  <c r="O26" i="10"/>
  <c r="N26" i="10"/>
  <c r="M26" i="10"/>
  <c r="L26" i="10"/>
  <c r="K26" i="10"/>
  <c r="J26" i="10"/>
  <c r="I26" i="10"/>
  <c r="H26" i="10"/>
  <c r="G26" i="10"/>
  <c r="F25" i="10"/>
  <c r="E25" i="10"/>
  <c r="D25" i="10"/>
  <c r="C25" i="10"/>
  <c r="E24" i="10"/>
  <c r="C24" i="10"/>
  <c r="E23" i="10"/>
  <c r="C23" i="10"/>
  <c r="F22" i="10"/>
  <c r="E22" i="10"/>
  <c r="D22" i="10"/>
  <c r="C22" i="10"/>
  <c r="F21" i="10"/>
  <c r="E21" i="10"/>
  <c r="D21" i="10"/>
  <c r="C21" i="10"/>
  <c r="F20" i="10"/>
  <c r="E20" i="10"/>
  <c r="D20" i="10"/>
  <c r="C20" i="10"/>
  <c r="F19" i="10"/>
  <c r="E19" i="10"/>
  <c r="D19" i="10"/>
  <c r="C19" i="10"/>
  <c r="F18" i="10"/>
  <c r="E18" i="10"/>
  <c r="D18" i="10"/>
  <c r="C18" i="10"/>
  <c r="F17" i="10"/>
  <c r="F26" i="10" s="1"/>
  <c r="E17" i="10"/>
  <c r="E26" i="10" s="1"/>
  <c r="D17" i="10"/>
  <c r="D26" i="10" s="1"/>
  <c r="C17" i="10"/>
  <c r="E16" i="10"/>
  <c r="C16" i="10"/>
  <c r="C26" i="10" s="1"/>
  <c r="T15" i="10"/>
  <c r="T32" i="10" s="1"/>
  <c r="S15" i="10"/>
  <c r="S32" i="10" s="1"/>
  <c r="R15" i="10"/>
  <c r="Q15" i="10"/>
  <c r="Q32" i="10" s="1"/>
  <c r="P15" i="10"/>
  <c r="P32" i="10" s="1"/>
  <c r="O15" i="10"/>
  <c r="O32" i="10" s="1"/>
  <c r="N15" i="10"/>
  <c r="N32" i="10" s="1"/>
  <c r="M15" i="10"/>
  <c r="M32" i="10" s="1"/>
  <c r="L15" i="10"/>
  <c r="L32" i="10" s="1"/>
  <c r="K15" i="10"/>
  <c r="K32" i="10" s="1"/>
  <c r="J15" i="10"/>
  <c r="J32" i="10" s="1"/>
  <c r="I15" i="10"/>
  <c r="I32" i="10" s="1"/>
  <c r="H15" i="10"/>
  <c r="H32" i="10" s="1"/>
  <c r="G15" i="10"/>
  <c r="G32" i="10" s="1"/>
  <c r="F15" i="10"/>
  <c r="E15" i="10"/>
  <c r="E32" i="10" s="1"/>
  <c r="D15" i="10"/>
  <c r="D32" i="10" s="1"/>
  <c r="C15" i="10"/>
  <c r="C32" i="10" s="1"/>
  <c r="F32" i="10" l="1"/>
  <c r="AH16" i="8" l="1"/>
  <c r="CB13" i="8"/>
  <c r="CC13" i="8" s="1"/>
  <c r="BU13" i="8"/>
  <c r="BM13" i="8"/>
  <c r="CT12" i="8"/>
  <c r="CL12" i="8"/>
  <c r="CH12" i="8"/>
  <c r="BZ12" i="8"/>
  <c r="BV12" i="8"/>
  <c r="BR12" i="8"/>
  <c r="BN12" i="8"/>
  <c r="BJ12" i="8"/>
  <c r="BF12" i="8"/>
  <c r="BB12" i="8"/>
  <c r="AX12" i="8"/>
  <c r="AT12" i="8"/>
  <c r="AP12" i="8"/>
  <c r="AL12" i="8"/>
  <c r="AH12" i="8"/>
  <c r="AD12" i="8"/>
  <c r="CT11" i="8"/>
  <c r="CL11" i="8"/>
  <c r="CD11" i="8"/>
  <c r="BV11" i="8"/>
  <c r="BN11" i="8"/>
  <c r="BF11" i="8"/>
  <c r="AX11" i="8"/>
  <c r="AP11" i="8"/>
  <c r="AH11" i="8"/>
  <c r="CT10" i="8"/>
  <c r="CP10" i="8"/>
  <c r="CL10" i="8"/>
  <c r="CH10" i="8"/>
  <c r="CD10" i="8"/>
  <c r="BZ10" i="8"/>
  <c r="BV10" i="8"/>
  <c r="BR10" i="8"/>
  <c r="BN10" i="8"/>
  <c r="BJ10" i="8"/>
  <c r="BF10" i="8"/>
  <c r="BB10" i="8"/>
  <c r="AX10" i="8"/>
  <c r="AT10" i="8"/>
  <c r="AP10" i="8"/>
  <c r="AL10" i="8"/>
  <c r="AH10" i="8"/>
  <c r="AD10" i="8"/>
  <c r="CT9" i="8"/>
  <c r="CL9" i="8"/>
  <c r="CD9" i="8"/>
  <c r="BV9" i="8"/>
  <c r="BO9" i="8"/>
  <c r="BF9" i="8"/>
  <c r="AX9" i="8"/>
  <c r="AP9" i="8"/>
  <c r="AH9" i="8"/>
  <c r="CT8" i="8"/>
  <c r="CL8" i="8"/>
  <c r="CD8" i="8"/>
  <c r="BV8" i="8"/>
  <c r="BN8" i="8"/>
  <c r="BF8" i="8"/>
  <c r="AX8" i="8"/>
  <c r="AP8" i="8"/>
  <c r="AH8" i="8"/>
  <c r="CT7" i="8"/>
  <c r="CP7" i="8"/>
  <c r="CL7" i="8"/>
  <c r="CH7" i="8"/>
  <c r="CD7" i="8"/>
  <c r="BZ7" i="8"/>
  <c r="BV7" i="8"/>
  <c r="BR7" i="8"/>
  <c r="BN7" i="8"/>
  <c r="BJ7" i="8"/>
  <c r="BF7" i="8"/>
  <c r="BB7" i="8"/>
  <c r="AX7" i="8"/>
  <c r="AT7" i="8"/>
  <c r="AP7" i="8"/>
  <c r="AL7" i="8"/>
  <c r="AH7" i="8"/>
  <c r="AD7" i="8"/>
  <c r="CF4" i="8"/>
  <c r="CG4" i="8" s="1"/>
  <c r="CC4" i="8"/>
  <c r="CB4" i="8"/>
  <c r="BY4" i="8"/>
  <c r="BX4" i="8"/>
  <c r="BU4" i="8"/>
  <c r="BQ4" i="8"/>
  <c r="BM4" i="8"/>
  <c r="BI4" i="8"/>
  <c r="BE4" i="8"/>
  <c r="BA4" i="8"/>
  <c r="BI18" i="7"/>
  <c r="CP12" i="7"/>
  <c r="CH12" i="7"/>
  <c r="BZ12" i="7"/>
  <c r="BR12" i="7"/>
  <c r="BJ12" i="7"/>
  <c r="BB12" i="7"/>
  <c r="AT12" i="7"/>
  <c r="AL12" i="7"/>
  <c r="AD12" i="7"/>
  <c r="CP11" i="7"/>
  <c r="CH11" i="7"/>
  <c r="BZ11" i="7"/>
  <c r="BR11" i="7"/>
  <c r="BJ11" i="7"/>
  <c r="BB11" i="7"/>
  <c r="AT11" i="7"/>
  <c r="AZ10" i="7"/>
  <c r="BB10" i="7" s="1"/>
  <c r="AT10" i="7"/>
  <c r="AR10" i="7"/>
  <c r="AL10" i="7"/>
  <c r="AJ10" i="7"/>
  <c r="AD10" i="7"/>
  <c r="CV9" i="7"/>
  <c r="CW9" i="7" s="1"/>
  <c r="CT9" i="7"/>
  <c r="CL9" i="7"/>
  <c r="CD9" i="7"/>
  <c r="BV9" i="7"/>
  <c r="BN9" i="7"/>
  <c r="BF9" i="7"/>
  <c r="AX9" i="7"/>
  <c r="AP9" i="7"/>
  <c r="AH9" i="7"/>
  <c r="CW8" i="7"/>
  <c r="CV8" i="7"/>
  <c r="CT8" i="7"/>
  <c r="CL8" i="7"/>
  <c r="CD8" i="7"/>
  <c r="BV8" i="7"/>
  <c r="BN8" i="7"/>
  <c r="BF8" i="7"/>
  <c r="AX8" i="7"/>
  <c r="AP8" i="7"/>
  <c r="AH8" i="7"/>
  <c r="CV7" i="7"/>
  <c r="CW7" i="7" s="1"/>
  <c r="CT7" i="7"/>
  <c r="CL7" i="7"/>
  <c r="CD7" i="7"/>
  <c r="BV7" i="7"/>
  <c r="BN7" i="7"/>
  <c r="BF7" i="7"/>
  <c r="AX7" i="7"/>
  <c r="AP7" i="7"/>
  <c r="AH7" i="7"/>
  <c r="AB7" i="7"/>
  <c r="AD7" i="7" s="1"/>
  <c r="X7" i="7"/>
  <c r="CP39" i="6"/>
  <c r="AL39" i="6"/>
  <c r="CP38" i="6"/>
  <c r="BB38" i="6"/>
  <c r="AL38" i="6"/>
  <c r="CH36" i="6"/>
  <c r="BZ36" i="6"/>
  <c r="CP34" i="6"/>
  <c r="AX34" i="6"/>
  <c r="AT34" i="6"/>
  <c r="AL34" i="6"/>
  <c r="AH34" i="6"/>
  <c r="AD34" i="6"/>
  <c r="CT33" i="6"/>
  <c r="BF33" i="6"/>
  <c r="AX33" i="6"/>
  <c r="AH33" i="6"/>
  <c r="CT32" i="6"/>
  <c r="CP32" i="6"/>
  <c r="CL32" i="6"/>
  <c r="AX32" i="6"/>
  <c r="AL32" i="6"/>
  <c r="AH32" i="6"/>
  <c r="AD32" i="6"/>
  <c r="DB31" i="6"/>
  <c r="CT31" i="6"/>
  <c r="CL31" i="6"/>
  <c r="AX31" i="6"/>
  <c r="AH31" i="6"/>
  <c r="BJ30" i="6"/>
  <c r="BR30" i="6" s="1"/>
  <c r="AD30" i="6"/>
  <c r="BN29" i="6"/>
  <c r="BV29" i="6" s="1"/>
  <c r="CD29" i="6" s="1"/>
  <c r="CL29" i="6" s="1"/>
  <c r="CT29" i="6" s="1"/>
  <c r="AH29" i="6"/>
  <c r="CT28" i="6"/>
  <c r="CL28" i="6"/>
  <c r="CD28" i="6"/>
  <c r="BV28" i="6"/>
  <c r="BN28" i="6"/>
  <c r="AH28" i="6"/>
  <c r="DB27" i="6"/>
  <c r="CL27" i="6"/>
  <c r="CT27" i="6" s="1"/>
  <c r="CD27" i="6"/>
  <c r="BV27" i="6"/>
  <c r="BN27" i="6"/>
  <c r="AH27" i="6"/>
  <c r="CP26" i="6"/>
  <c r="CH26" i="6"/>
  <c r="BZ26" i="6"/>
  <c r="BB26" i="6"/>
  <c r="AT26" i="6"/>
  <c r="AR26" i="6"/>
  <c r="AL26" i="6"/>
  <c r="DB25" i="6"/>
  <c r="BV25" i="6"/>
  <c r="BF25" i="6"/>
  <c r="AX25" i="6"/>
  <c r="AP25" i="6"/>
  <c r="AP24" i="6"/>
  <c r="AH24" i="6"/>
  <c r="AP23" i="6"/>
  <c r="AH23" i="6"/>
  <c r="DB22" i="6"/>
  <c r="CT22" i="6"/>
  <c r="CL22" i="6"/>
  <c r="CD22" i="6"/>
  <c r="AJ22" i="6"/>
  <c r="AH22" i="6"/>
  <c r="AD22" i="6"/>
  <c r="AL22" i="6" s="1"/>
  <c r="AT22" i="6" s="1"/>
  <c r="BB22" i="6" s="1"/>
  <c r="BJ22" i="6" s="1"/>
  <c r="BR22" i="6" s="1"/>
  <c r="CT21" i="6"/>
  <c r="CL21" i="6"/>
  <c r="CJ21" i="6"/>
  <c r="CB21" i="6"/>
  <c r="BV21" i="6"/>
  <c r="BT21" i="6"/>
  <c r="AV21" i="6"/>
  <c r="AN21" i="6"/>
  <c r="CT20" i="6"/>
  <c r="CL20" i="6"/>
  <c r="CD20" i="6"/>
  <c r="BV20" i="6"/>
  <c r="BN20" i="6"/>
  <c r="BF20" i="6"/>
  <c r="CR19" i="6"/>
  <c r="CN19" i="6" s="1"/>
  <c r="CP19" i="6" s="1"/>
  <c r="CL19" i="6"/>
  <c r="CJ19" i="6"/>
  <c r="CH19" i="6"/>
  <c r="CF19" i="6"/>
  <c r="CD19" i="6"/>
  <c r="BZ19" i="6"/>
  <c r="BX19" i="6"/>
  <c r="BV19" i="6"/>
  <c r="BR19" i="6"/>
  <c r="BP19" i="6"/>
  <c r="BN19" i="6"/>
  <c r="BH19" i="6"/>
  <c r="BJ19" i="6" s="1"/>
  <c r="BF19" i="6"/>
  <c r="BB19" i="6"/>
  <c r="AZ19" i="6"/>
  <c r="AR19" i="6"/>
  <c r="AT19" i="6" s="1"/>
  <c r="AL19" i="6"/>
  <c r="AD19" i="6"/>
  <c r="CR18" i="6"/>
  <c r="CT18" i="6" s="1"/>
  <c r="CL18" i="6"/>
  <c r="CJ18" i="6"/>
  <c r="CF17" i="6" s="1"/>
  <c r="CH17" i="6" s="1"/>
  <c r="CD18" i="6"/>
  <c r="BV18" i="6"/>
  <c r="BN18" i="6"/>
  <c r="BF18" i="6"/>
  <c r="CT17" i="6"/>
  <c r="CN17" i="6"/>
  <c r="CP17" i="6" s="1"/>
  <c r="CL17" i="6"/>
  <c r="CD17" i="6"/>
  <c r="BX17" i="6"/>
  <c r="BZ17" i="6" s="1"/>
  <c r="BV17" i="6"/>
  <c r="BR17" i="6"/>
  <c r="BP17" i="6"/>
  <c r="BN17" i="6"/>
  <c r="BH17" i="6"/>
  <c r="BJ17" i="6" s="1"/>
  <c r="BF17" i="6"/>
  <c r="AZ17" i="6"/>
  <c r="BB17" i="6" s="1"/>
  <c r="AT17" i="6"/>
  <c r="AR17" i="6"/>
  <c r="AL17" i="6"/>
  <c r="AD17" i="6"/>
  <c r="DD16" i="6"/>
  <c r="CT16" i="6"/>
  <c r="CL16" i="6"/>
  <c r="CD16" i="6"/>
  <c r="BV16" i="6"/>
  <c r="BN16" i="6"/>
  <c r="BF16" i="6"/>
  <c r="CT15" i="6"/>
  <c r="CL15" i="6"/>
  <c r="CD15" i="6"/>
  <c r="BV15" i="6"/>
  <c r="BN15" i="6"/>
  <c r="BF15" i="6"/>
  <c r="DB14" i="6"/>
  <c r="CT14" i="6"/>
  <c r="CL14" i="6"/>
  <c r="CD14" i="6"/>
  <c r="BV14" i="6"/>
  <c r="BN14" i="6"/>
  <c r="BF14" i="6"/>
  <c r="CT13" i="6"/>
  <c r="CL13" i="6"/>
  <c r="CD13" i="6"/>
  <c r="BV13" i="6"/>
  <c r="BN13" i="6"/>
  <c r="BF13" i="6"/>
  <c r="CT12" i="6"/>
  <c r="CN12" i="6"/>
  <c r="CP12" i="6" s="1"/>
  <c r="CL12" i="6"/>
  <c r="CF12" i="6"/>
  <c r="CH12" i="6" s="1"/>
  <c r="CD12" i="6"/>
  <c r="BX12" i="6"/>
  <c r="BZ12" i="6" s="1"/>
  <c r="BV12" i="6"/>
  <c r="BR12" i="6"/>
  <c r="BN12" i="6"/>
  <c r="BJ12" i="6"/>
  <c r="BF12" i="6"/>
  <c r="BB12" i="6"/>
  <c r="AT12" i="6"/>
  <c r="AL12" i="6"/>
  <c r="AD12" i="6"/>
  <c r="AZ11" i="6"/>
  <c r="AZ10" i="6"/>
  <c r="DB9" i="6"/>
  <c r="CR9" i="6"/>
  <c r="BT9" i="6"/>
  <c r="BL9" i="6"/>
  <c r="BD9" i="6"/>
  <c r="AV9" i="6"/>
  <c r="AN9" i="6"/>
  <c r="AH9" i="6"/>
  <c r="CN8" i="6"/>
  <c r="AZ8" i="6"/>
  <c r="AR8" i="6"/>
  <c r="AJ8" i="6"/>
  <c r="AB8" i="6"/>
  <c r="AD8" i="6" s="1"/>
  <c r="Z8" i="6"/>
  <c r="CP31" i="5"/>
  <c r="CH31" i="5"/>
  <c r="BX31" i="5"/>
  <c r="BZ31" i="5" s="1"/>
  <c r="BR31" i="5"/>
  <c r="BJ31" i="5"/>
  <c r="BF31" i="5"/>
  <c r="CP30" i="5"/>
  <c r="CN30" i="5"/>
  <c r="CH30" i="5"/>
  <c r="CF30" i="5"/>
  <c r="BZ30" i="5"/>
  <c r="BX30" i="5"/>
  <c r="BP30" i="5"/>
  <c r="BR30" i="5" s="1"/>
  <c r="BJ30" i="5"/>
  <c r="BF30" i="5"/>
  <c r="BB30" i="5"/>
  <c r="AT30" i="5"/>
  <c r="CT29" i="5"/>
  <c r="CL29" i="5"/>
  <c r="CH29" i="5"/>
  <c r="CD29" i="5"/>
  <c r="BZ29" i="5"/>
  <c r="BV29" i="5"/>
  <c r="BR29" i="5"/>
  <c r="BN29" i="5"/>
  <c r="BJ29" i="5"/>
  <c r="BF29" i="5"/>
  <c r="AX29" i="5"/>
  <c r="CT28" i="5"/>
  <c r="CL28" i="5"/>
  <c r="CD28" i="5"/>
  <c r="BV28" i="5"/>
  <c r="BF28" i="5"/>
  <c r="AX28" i="5"/>
  <c r="AP28" i="5"/>
  <c r="CT27" i="5"/>
  <c r="CL27" i="5"/>
  <c r="CD27" i="5"/>
  <c r="BV27" i="5"/>
  <c r="AX27" i="5"/>
  <c r="AP27" i="5"/>
  <c r="CT26" i="5"/>
  <c r="CP26" i="5"/>
  <c r="CL26" i="5"/>
  <c r="CH26" i="5"/>
  <c r="BZ26" i="5"/>
  <c r="BN26" i="5"/>
  <c r="BJ26" i="5"/>
  <c r="BB26" i="5"/>
  <c r="AX26" i="5"/>
  <c r="AT26" i="5"/>
  <c r="AP26" i="5"/>
  <c r="CP25" i="5"/>
  <c r="CH25" i="5"/>
  <c r="BZ25" i="5"/>
  <c r="BR25" i="5"/>
  <c r="BJ25" i="5"/>
  <c r="BB25" i="5"/>
  <c r="AT25" i="5"/>
  <c r="AL25" i="5"/>
  <c r="AD25" i="5"/>
  <c r="CP24" i="5"/>
  <c r="CH24" i="5"/>
  <c r="BZ24" i="5"/>
  <c r="BR24" i="5"/>
  <c r="BJ24" i="5"/>
  <c r="BB24" i="5"/>
  <c r="AT24" i="5"/>
  <c r="AL24" i="5"/>
  <c r="AD24" i="5"/>
  <c r="CP23" i="5"/>
  <c r="CH23" i="5"/>
  <c r="BZ23" i="5"/>
  <c r="BR23" i="5"/>
  <c r="AL23" i="5"/>
  <c r="CP21" i="5"/>
  <c r="CH21" i="5"/>
  <c r="BZ21" i="5"/>
  <c r="CT20" i="5"/>
  <c r="CL20" i="5"/>
  <c r="CD20" i="5"/>
  <c r="BV20" i="5"/>
  <c r="CT19" i="5"/>
  <c r="CP19" i="5"/>
  <c r="BZ19" i="5"/>
  <c r="AP19" i="5"/>
  <c r="AL19" i="5"/>
  <c r="AD19" i="5"/>
  <c r="CT18" i="5"/>
  <c r="CP18" i="5"/>
  <c r="CL18" i="5"/>
  <c r="CH18" i="5"/>
  <c r="CD18" i="5"/>
  <c r="BZ18" i="5"/>
  <c r="BV18" i="5"/>
  <c r="BR18" i="5"/>
  <c r="BN18" i="5"/>
  <c r="BJ18" i="5"/>
  <c r="BF18" i="5"/>
  <c r="BB18" i="5"/>
  <c r="AX18" i="5"/>
  <c r="AT18" i="5"/>
  <c r="AC18" i="5"/>
  <c r="CT17" i="5"/>
  <c r="CP17" i="5"/>
  <c r="CL17" i="5"/>
  <c r="CH17" i="5"/>
  <c r="CD17" i="5"/>
  <c r="BZ17" i="5"/>
  <c r="BV17" i="5"/>
  <c r="BR17" i="5"/>
  <c r="BN17" i="5"/>
  <c r="BJ17" i="5"/>
  <c r="BF17" i="5"/>
  <c r="BB17" i="5"/>
  <c r="AX17" i="5"/>
  <c r="AT17" i="5"/>
  <c r="AC17" i="5"/>
  <c r="CT16" i="5"/>
  <c r="CP16" i="5"/>
  <c r="CL16" i="5"/>
  <c r="CH16" i="5"/>
  <c r="CD16" i="5"/>
  <c r="BZ16" i="5"/>
  <c r="BV16" i="5"/>
  <c r="BR16" i="5"/>
  <c r="BN16" i="5"/>
  <c r="BJ16" i="5"/>
  <c r="BF16" i="5"/>
  <c r="BB16" i="5"/>
  <c r="AX16" i="5"/>
  <c r="AT16" i="5"/>
  <c r="AC16" i="5"/>
  <c r="CT15" i="5"/>
  <c r="CP15" i="5"/>
  <c r="CL15" i="5"/>
  <c r="CH15" i="5"/>
  <c r="CD15" i="5"/>
  <c r="BZ15" i="5"/>
  <c r="BV15" i="5"/>
  <c r="BR15" i="5"/>
  <c r="BN15" i="5"/>
  <c r="BJ15" i="5"/>
  <c r="BF15" i="5"/>
  <c r="BB15" i="5"/>
  <c r="AX15" i="5"/>
  <c r="AT15" i="5"/>
  <c r="AC15" i="5"/>
  <c r="CT14" i="5"/>
  <c r="CP14" i="5"/>
  <c r="CL14" i="5"/>
  <c r="CH14" i="5"/>
  <c r="CD14" i="5"/>
  <c r="BZ14" i="5"/>
  <c r="BV14" i="5"/>
  <c r="BR14" i="5"/>
  <c r="BN14" i="5"/>
  <c r="BJ14" i="5"/>
  <c r="BF14" i="5"/>
  <c r="BB14" i="5"/>
  <c r="AX14" i="5"/>
  <c r="AT14" i="5"/>
  <c r="AC14" i="5"/>
  <c r="CT13" i="5"/>
  <c r="CL13" i="5"/>
  <c r="CD13" i="5"/>
  <c r="BV13" i="5"/>
  <c r="BN13" i="5"/>
  <c r="BF13" i="5"/>
  <c r="AX13" i="5"/>
  <c r="CT12" i="5"/>
  <c r="CP12" i="5"/>
  <c r="CL12" i="5"/>
  <c r="CH12" i="5"/>
  <c r="CD12" i="5"/>
  <c r="BZ12" i="5"/>
  <c r="BV12" i="5"/>
  <c r="BR12" i="5"/>
  <c r="BN12" i="5"/>
  <c r="BJ12" i="5"/>
  <c r="BD12" i="5"/>
  <c r="BF12" i="5" s="1"/>
  <c r="BB12" i="5"/>
  <c r="AZ12" i="5"/>
  <c r="AX12" i="5"/>
  <c r="AT12" i="5"/>
  <c r="AP12" i="5"/>
  <c r="AL12" i="5"/>
  <c r="AH12" i="5"/>
  <c r="AD12" i="5"/>
  <c r="AR9" i="5"/>
  <c r="CT8" i="5"/>
  <c r="CL8" i="5"/>
  <c r="CD8" i="5"/>
  <c r="BV8" i="5"/>
  <c r="BN8" i="5"/>
  <c r="BF8" i="5"/>
  <c r="AX8" i="5"/>
  <c r="AH8" i="5"/>
  <c r="CT7" i="5"/>
  <c r="CP7" i="5"/>
  <c r="CL7" i="5"/>
  <c r="CH7" i="5"/>
  <c r="CD7" i="5"/>
  <c r="BZ7" i="5"/>
  <c r="BV7" i="5"/>
  <c r="BR7" i="5"/>
  <c r="BP7" i="5"/>
  <c r="BN7" i="5"/>
  <c r="BJ7" i="5"/>
  <c r="BD7" i="5"/>
  <c r="BF7" i="5" s="1"/>
  <c r="AZ7" i="5"/>
  <c r="BB7" i="5" s="1"/>
  <c r="AX7" i="5"/>
  <c r="AR7" i="5"/>
  <c r="AT7" i="5" s="1"/>
  <c r="AP7" i="5"/>
  <c r="AL7" i="5"/>
  <c r="AH7" i="5"/>
  <c r="AC7" i="5"/>
  <c r="AD7" i="5" s="1"/>
  <c r="Z7" i="5"/>
  <c r="CT19" i="4"/>
  <c r="AP19" i="4"/>
  <c r="BZ18" i="4"/>
  <c r="BR18" i="4"/>
  <c r="BJ18" i="4"/>
  <c r="BF18" i="4"/>
  <c r="BB18" i="4"/>
  <c r="AX18" i="4"/>
  <c r="AT18" i="4"/>
  <c r="AP18" i="4"/>
  <c r="AL18" i="4"/>
  <c r="AH18" i="4"/>
  <c r="AH19" i="4" s="1"/>
  <c r="AD18" i="4"/>
  <c r="CH17" i="4"/>
  <c r="BZ17" i="4"/>
  <c r="BR17" i="4"/>
  <c r="BJ17" i="4"/>
  <c r="AL17" i="4"/>
  <c r="AT17" i="4" s="1"/>
  <c r="BB17" i="4" s="1"/>
  <c r="AD17" i="4"/>
  <c r="CP16" i="4"/>
  <c r="CP19" i="4" s="1"/>
  <c r="CH16" i="4"/>
  <c r="BZ16" i="4"/>
  <c r="BR16" i="4"/>
  <c r="BJ16" i="4"/>
  <c r="BB16" i="4"/>
  <c r="AT16" i="4"/>
  <c r="AL16" i="4"/>
  <c r="AD16" i="4"/>
  <c r="AD19" i="4" s="1"/>
  <c r="CD15" i="4"/>
  <c r="CD19" i="4" s="1"/>
  <c r="BV15" i="4"/>
  <c r="BN15" i="4"/>
  <c r="BF15" i="4"/>
  <c r="CL14" i="4"/>
  <c r="CL19" i="4" s="1"/>
  <c r="CD14" i="4"/>
  <c r="BV14" i="4"/>
  <c r="BN14" i="4"/>
  <c r="BN19" i="4" s="1"/>
  <c r="BF14" i="4"/>
  <c r="CD13" i="4"/>
  <c r="BZ13" i="4"/>
  <c r="BV13" i="4"/>
  <c r="BR13" i="4"/>
  <c r="BN13" i="4"/>
  <c r="BJ13" i="4"/>
  <c r="BJ19" i="4" s="1"/>
  <c r="BF13" i="4"/>
  <c r="AZ13" i="4" s="1"/>
  <c r="BB13" i="4"/>
  <c r="AT13" i="4"/>
  <c r="AR13" i="4"/>
  <c r="AP13" i="4"/>
  <c r="AL13" i="4"/>
  <c r="CD12" i="4"/>
  <c r="BV12" i="4"/>
  <c r="BN12" i="4"/>
  <c r="BF12" i="4"/>
  <c r="BV11" i="4"/>
  <c r="BN11" i="4"/>
  <c r="AP11" i="4"/>
  <c r="AX11" i="4" s="1"/>
  <c r="CD10" i="4"/>
  <c r="BV10" i="4"/>
  <c r="BV19" i="4" s="1"/>
  <c r="BN10" i="4"/>
  <c r="AX10" i="4"/>
  <c r="BF10" i="4" s="1"/>
  <c r="AP10" i="4"/>
  <c r="CD9" i="4"/>
  <c r="BV9" i="4"/>
  <c r="BN9" i="4"/>
  <c r="CL8" i="4"/>
  <c r="CD8" i="4"/>
  <c r="AX8" i="4"/>
  <c r="BF8" i="4" s="1"/>
  <c r="AP8" i="4"/>
  <c r="CL7" i="4"/>
  <c r="CH7" i="4"/>
  <c r="CH19" i="4" s="1"/>
  <c r="CD7" i="4"/>
  <c r="BZ7" i="4"/>
  <c r="BZ19" i="4" s="1"/>
  <c r="BV7" i="4"/>
  <c r="BR7" i="4"/>
  <c r="BR19" i="4" s="1"/>
  <c r="BN7" i="4"/>
  <c r="AX7" i="4"/>
  <c r="AX19" i="4" s="1"/>
  <c r="AR7" i="4"/>
  <c r="AP7" i="4"/>
  <c r="AL7" i="4"/>
  <c r="AL19" i="4" s="1"/>
  <c r="AT7" i="4" l="1"/>
  <c r="AT19" i="4" s="1"/>
  <c r="BF11" i="4"/>
  <c r="BF19" i="4" s="1"/>
  <c r="BH10" i="7"/>
  <c r="BF7" i="4"/>
  <c r="AJ7" i="7"/>
  <c r="CT19" i="6"/>
  <c r="AR7" i="7" l="1"/>
  <c r="AL7" i="7"/>
  <c r="AZ7" i="4"/>
  <c r="BB7" i="4"/>
  <c r="BB19" i="4" s="1"/>
  <c r="BP10" i="7"/>
  <c r="BJ10" i="7"/>
  <c r="AT7" i="7" l="1"/>
  <c r="AZ7" i="7"/>
  <c r="BX10" i="7"/>
  <c r="BR10" i="7"/>
  <c r="BH7" i="7" l="1"/>
  <c r="BB7" i="7"/>
  <c r="CF10" i="7"/>
  <c r="BZ10" i="7"/>
  <c r="CN10" i="7" l="1"/>
  <c r="CP10" i="7" s="1"/>
  <c r="CH10" i="7"/>
  <c r="BP7" i="7"/>
  <c r="BJ7" i="7"/>
  <c r="BR7" i="7" l="1"/>
  <c r="BX7" i="7"/>
  <c r="CF7" i="7" l="1"/>
  <c r="BZ7" i="7"/>
  <c r="CH7" i="7" l="1"/>
  <c r="CN7" i="7"/>
  <c r="CP7" i="7" s="1"/>
  <c r="AG65" i="3" l="1"/>
  <c r="AF65" i="3"/>
  <c r="AH64" i="3"/>
  <c r="AG64" i="3"/>
  <c r="AC64" i="3"/>
  <c r="AC62" i="3"/>
  <c r="AB62" i="3"/>
  <c r="AC60" i="3"/>
  <c r="AC59" i="3"/>
  <c r="AB59" i="3"/>
  <c r="AC58" i="3"/>
  <c r="AB58" i="3"/>
  <c r="AC57" i="3"/>
  <c r="AB57" i="3"/>
  <c r="AC56" i="3"/>
  <c r="AC55" i="3"/>
  <c r="AG53" i="3"/>
  <c r="AG52" i="3"/>
  <c r="AG51" i="3"/>
  <c r="AC51" i="3"/>
  <c r="AG50" i="3"/>
  <c r="AF50" i="3"/>
  <c r="AG49" i="3"/>
  <c r="AF49" i="3"/>
  <c r="AC49" i="3"/>
  <c r="AB49" i="3"/>
  <c r="AG48" i="3"/>
  <c r="AG47" i="3"/>
  <c r="AC47" i="3"/>
  <c r="AG45" i="3"/>
  <c r="AG44" i="3"/>
  <c r="AG43" i="3"/>
  <c r="AC43" i="3"/>
  <c r="AG42" i="3"/>
  <c r="AF42" i="3"/>
  <c r="AG41" i="3"/>
  <c r="AF41" i="3"/>
  <c r="AC41" i="3"/>
  <c r="AB41" i="3"/>
  <c r="AG40" i="3"/>
  <c r="AG39" i="3"/>
  <c r="AC39" i="3"/>
  <c r="AG36" i="3"/>
  <c r="AG35" i="3"/>
  <c r="AC35" i="3"/>
  <c r="AG34" i="3"/>
  <c r="AF34" i="3"/>
  <c r="W34" i="3"/>
  <c r="AG33" i="3"/>
  <c r="AF33" i="3"/>
  <c r="AC33" i="3"/>
  <c r="AB33" i="3"/>
  <c r="W33" i="3"/>
  <c r="AG32" i="3"/>
  <c r="AG31" i="3"/>
  <c r="AC31" i="3"/>
  <c r="AG29" i="3"/>
  <c r="AG28" i="3"/>
  <c r="AG27" i="3"/>
  <c r="AC27" i="3"/>
  <c r="AG26" i="3"/>
  <c r="AF26" i="3"/>
  <c r="AG25" i="3"/>
  <c r="AF25" i="3"/>
  <c r="AC25" i="3"/>
  <c r="AB25" i="3"/>
  <c r="AG24" i="3"/>
  <c r="AG23" i="3"/>
  <c r="AC23" i="3"/>
  <c r="AG21" i="3"/>
  <c r="AG20" i="3"/>
  <c r="AG19" i="3"/>
  <c r="AC19" i="3"/>
  <c r="AD19" i="3" s="1"/>
  <c r="AG18" i="3"/>
  <c r="AF18" i="3"/>
  <c r="AG17" i="3"/>
  <c r="AF17" i="3"/>
  <c r="AC17" i="3"/>
  <c r="AB17" i="3"/>
  <c r="AG16" i="3"/>
  <c r="AG15" i="3"/>
  <c r="AC15" i="3"/>
  <c r="AD15" i="3" s="1"/>
  <c r="AC13" i="3"/>
  <c r="AB13" i="3"/>
  <c r="AG12" i="3"/>
  <c r="AF12" i="3"/>
  <c r="AH12" i="3" s="1"/>
  <c r="AH11" i="3"/>
  <c r="AG11" i="3"/>
  <c r="AF11" i="3"/>
  <c r="AC11" i="3"/>
  <c r="AD11" i="3" s="1"/>
  <c r="AB11" i="3"/>
  <c r="AH10" i="3"/>
  <c r="AG10" i="3"/>
  <c r="AH9" i="3"/>
  <c r="AG9" i="3"/>
  <c r="AC9" i="3"/>
  <c r="AD9" i="3" s="1"/>
  <c r="Y9" i="3"/>
  <c r="S9" i="3"/>
  <c r="AC7" i="3"/>
  <c r="AB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Angela Patricia Romero Rodriguez</author>
  </authors>
  <commentList>
    <comment ref="O22" authorId="0" shapeId="0" xr:uid="{89F19400-0CF6-4485-B880-C60DDDA54DEC}">
      <text>
        <r>
          <rPr>
            <b/>
            <sz val="9"/>
            <color indexed="81"/>
            <rFont val="Tahoma"/>
            <family val="2"/>
          </rPr>
          <t>Angela Patricia Romero Rodriguez:</t>
        </r>
        <r>
          <rPr>
            <sz val="9"/>
            <color indexed="81"/>
            <rFont val="Tahoma"/>
            <family val="2"/>
          </rPr>
          <t xml:space="preserve">
claridad de periodicidad</t>
        </r>
      </text>
    </comment>
    <comment ref="T22" authorId="0" shapeId="0" xr:uid="{4BF7AFC1-3554-40E7-A62D-63591A32EA01}">
      <text>
        <r>
          <rPr>
            <b/>
            <sz val="9"/>
            <color indexed="81"/>
            <rFont val="Tahoma"/>
            <family val="2"/>
          </rPr>
          <t>Angela Patricia Romero Rodriguez:</t>
        </r>
        <r>
          <rPr>
            <sz val="9"/>
            <color indexed="81"/>
            <rFont val="Tahoma"/>
            <family val="2"/>
          </rPr>
          <t xml:space="preserve">
propuesta medición semestral</t>
        </r>
      </text>
    </comment>
    <comment ref="T26" authorId="0" shapeId="0" xr:uid="{A31DC68D-FEBF-4E76-B818-B71E998D50A6}">
      <text>
        <r>
          <rPr>
            <b/>
            <sz val="9"/>
            <color indexed="81"/>
            <rFont val="Tahoma"/>
            <family val="2"/>
          </rPr>
          <t>Angela Patricia Romero Rodriguez:</t>
        </r>
        <r>
          <rPr>
            <sz val="9"/>
            <color indexed="81"/>
            <rFont val="Tahoma"/>
            <family val="2"/>
          </rPr>
          <t xml:space="preserve">
Concepto y alcance de Nodo regional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Monica Johanna Ramirez Rodriguez (ANLA)</author>
    <author>tc={20450727-DBE8-4A9F-BEAF-90945065B515}</author>
    <author>tc={BCD9877A-BE72-447F-A87F-66E231FCECE5}</author>
    <author>tc={44438243-3207-48B8-A2C2-AF6A12EF4E8F}</author>
  </authors>
  <commentList>
    <comment ref="AJ36" authorId="0" shapeId="0" xr:uid="{0C7EE3C0-9E4A-43B6-8C8C-8F98A8156210}">
      <text>
        <r>
          <rPr>
            <b/>
            <sz val="9"/>
            <color indexed="81"/>
            <rFont val="Tahoma"/>
            <family val="2"/>
          </rPr>
          <t>Mónica Johanna Ramírez Rodríguez (ANLA):</t>
        </r>
        <r>
          <rPr>
            <sz val="9"/>
            <color indexed="81"/>
            <rFont val="Tahoma"/>
            <family val="2"/>
          </rPr>
          <t xml:space="preserve">
Participación de casos de soporte técnico SILA sobre el total de mesas de ayuda en el año 2019</t>
        </r>
      </text>
    </comment>
    <comment ref="AK36" authorId="0" shapeId="0" xr:uid="{99EF2F7A-E558-49FB-8C91-40FD81B13A7C}">
      <text>
        <r>
          <rPr>
            <b/>
            <sz val="9"/>
            <color indexed="81"/>
            <rFont val="Tahoma"/>
            <family val="2"/>
          </rPr>
          <t>Mónica Johanna Ramírez Rodríguez (ANLA):</t>
        </r>
        <r>
          <rPr>
            <sz val="9"/>
            <color indexed="81"/>
            <rFont val="Tahoma"/>
            <family val="2"/>
          </rPr>
          <t xml:space="preserve">
Participación de casos de soporte técnico SILA sobre el total de mesas de ayuda en el año 2019</t>
        </r>
      </text>
    </comment>
    <comment ref="AL36" authorId="0" shapeId="0" xr:uid="{14FA376E-01C6-4775-B5BB-B2CA22D36337}">
      <text>
        <r>
          <rPr>
            <b/>
            <sz val="9"/>
            <color indexed="81"/>
            <rFont val="Tahoma"/>
            <family val="2"/>
          </rPr>
          <t>Mónica Johanna Ramírez Rodríguez (ANLA):</t>
        </r>
        <r>
          <rPr>
            <sz val="9"/>
            <color indexed="81"/>
            <rFont val="Tahoma"/>
            <family val="2"/>
          </rPr>
          <t xml:space="preserve">
Participación de casos de soporte técnico SILA sobre el total de mesas de ayuda en el año 2019</t>
        </r>
      </text>
    </comment>
    <comment ref="AR36" authorId="0" shapeId="0" xr:uid="{E5DA0F55-7F1C-4E60-9278-A87AB752CC76}">
      <text>
        <r>
          <rPr>
            <b/>
            <sz val="9"/>
            <color indexed="81"/>
            <rFont val="Tahoma"/>
            <family val="2"/>
          </rPr>
          <t>Monica Johanna Ramírez Rodríguez (ANLA):</t>
        </r>
        <r>
          <rPr>
            <sz val="9"/>
            <color indexed="81"/>
            <rFont val="Tahoma"/>
            <family val="2"/>
          </rPr>
          <t xml:space="preserve">
Participación de casos de soporte técnico SILA 2018 mes menos el total de mesas de ayuda del mes 2019</t>
        </r>
      </text>
    </comment>
    <comment ref="AS36" authorId="0" shapeId="0" xr:uid="{DBE120C8-0C1F-4B04-AD95-3B23750B51D4}">
      <text>
        <r>
          <rPr>
            <b/>
            <sz val="9"/>
            <color indexed="81"/>
            <rFont val="Tahoma"/>
            <family val="2"/>
          </rPr>
          <t>Monica Johanna Ramírez Rodríguez (ANLA):</t>
        </r>
        <r>
          <rPr>
            <sz val="9"/>
            <color indexed="81"/>
            <rFont val="Tahoma"/>
            <family val="2"/>
          </rPr>
          <t xml:space="preserve">
Participación de casos de soporte técnico SILA sobre el total de mesas de ayuda en el año 2019</t>
        </r>
      </text>
    </comment>
    <comment ref="AT36" authorId="0" shapeId="0" xr:uid="{8661DE33-D39B-402A-A4C5-D986C9EEEEAD}">
      <text>
        <r>
          <rPr>
            <b/>
            <sz val="9"/>
            <color indexed="81"/>
            <rFont val="Tahoma"/>
            <family val="2"/>
          </rPr>
          <t>Monica Johanna Ramírez Rodríguez (ANLA):</t>
        </r>
        <r>
          <rPr>
            <sz val="9"/>
            <color indexed="81"/>
            <rFont val="Tahoma"/>
            <family val="2"/>
          </rPr>
          <t xml:space="preserve">
Participación de casos de soporte técnico SILA 2018 acumulado sobre la participación de casos en el año 2019 acumulado.</t>
        </r>
      </text>
    </comment>
    <comment ref="AZ36" authorId="0" shapeId="0" xr:uid="{A61ED187-5CEB-4934-9B36-D934D9947314}">
      <text>
        <r>
          <rPr>
            <b/>
            <sz val="9"/>
            <color indexed="81"/>
            <rFont val="Tahoma"/>
            <family val="2"/>
          </rPr>
          <t>Monica Johanna Ramírez Rodríguez (ANLA):</t>
        </r>
        <r>
          <rPr>
            <sz val="9"/>
            <color indexed="81"/>
            <rFont val="Tahoma"/>
            <family val="2"/>
          </rPr>
          <t xml:space="preserve">
Participación de casos de soporte técnico SILA 2018 mes menos el total de mesas de ayuda del mes 2019</t>
        </r>
      </text>
    </comment>
    <comment ref="BA36" authorId="0" shapeId="0" xr:uid="{4C87CFAF-AF26-4872-AB30-B0907AABB291}">
      <text>
        <r>
          <rPr>
            <b/>
            <sz val="9"/>
            <color indexed="81"/>
            <rFont val="Tahoma"/>
            <family val="2"/>
          </rPr>
          <t>Monica Johanna Ramírez Rodríguez (ANLA):</t>
        </r>
        <r>
          <rPr>
            <sz val="9"/>
            <color indexed="81"/>
            <rFont val="Tahoma"/>
            <family val="2"/>
          </rPr>
          <t xml:space="preserve">
Participación de casos de soporte técnico SILA sobre el total de mesas de ayuda en el año 2019</t>
        </r>
      </text>
    </comment>
    <comment ref="BB36" authorId="0" shapeId="0" xr:uid="{C819C77D-38DE-465E-924F-84214F9CD4BE}">
      <text>
        <r>
          <rPr>
            <b/>
            <sz val="9"/>
            <color indexed="81"/>
            <rFont val="Tahoma"/>
            <family val="2"/>
          </rPr>
          <t>Monica Johanna Ramírez Rodríguez (ANLA):</t>
        </r>
        <r>
          <rPr>
            <sz val="9"/>
            <color indexed="81"/>
            <rFont val="Tahoma"/>
            <family val="2"/>
          </rPr>
          <t xml:space="preserve">
Participación de casos de soporte técnico SILA 2018 acumulado sobre la participación de casos en el año 2019 acumulado.</t>
        </r>
      </text>
    </comment>
    <comment ref="CN36" authorId="1" shapeId="0" xr:uid="{20450727-DBE8-4A9F-BEAF-90945065B515}">
      <text>
        <t>[Comentario encadenado]
Su versión de Excel le permite leer este comentario encadenado; sin embargo, las ediciones que se apliquen se quitarán si el archivo se abre en una versión más reciente de Excel. Más información: https://go.microsoft.com/fwlink/?linkid=870924
Comentario:
    Porcentaje de participación de casos de soporte técnico SILA de julio de 2018  menos el porcentaje de participación de casos de soporte técnico SILA de julio de  2019.</t>
      </text>
    </comment>
    <comment ref="CO36" authorId="2" shapeId="0" xr:uid="{BCD9877A-BE72-447F-A87F-66E231FCECE5}">
      <text>
        <t>[Comentario encadenado]
Su versión de Excel le permite leer este comentario encadenado; sin embargo, las ediciones que se apliquen se quitarán si el archivo se abre en una versión más reciente de Excel. Más información: https://go.microsoft.com/fwlink/?linkid=870924
Comentario:
    Porcentaje de participación de casos de soporte técnico SILA  acumulado en 2019 sobre el porcentaje total de mesas de ayuda en el año 2019. (Reducción de 7 puntos con relación a la cifra 2018)</t>
      </text>
    </comment>
    <comment ref="CP36" authorId="3" shapeId="0" xr:uid="{44438243-3207-48B8-A2C2-AF6A12EF4E8F}">
      <text>
        <t>[Comentario encadenado]
Su versión de Excel le permite leer este comentario encadenado; sin embargo, las ediciones que se apliquen se quitarán si el archivo se abre en una versión más reciente de Excel. Más información: https://go.microsoft.com/fwlink/?linkid=870924
Comentario:
    Porcentaje de participación de casos de soporte técnico SILA 2018 acumulado menos el porcentaje de participación de casos de soporte técnico SILA 2019 acumulado.</t>
      </text>
    </comment>
  </commentList>
</comments>
</file>

<file path=xl/sharedStrings.xml><?xml version="1.0" encoding="utf-8"?>
<sst xmlns="http://schemas.openxmlformats.org/spreadsheetml/2006/main" count="3531" uniqueCount="1331">
  <si>
    <t>Fecha:</t>
  </si>
  <si>
    <t>FORMULACIÓN Y SEGUIMIENTO DEL PLAN DE ACCIÓN INSTITUCIONAL</t>
  </si>
  <si>
    <t>Versión:</t>
  </si>
  <si>
    <t>Código:</t>
  </si>
  <si>
    <t>PE-F-1</t>
  </si>
  <si>
    <t>DEPENDENCIA</t>
  </si>
  <si>
    <t>RECURSOS</t>
  </si>
  <si>
    <t>PLAN NACIONAL DE DESARROLLO - PND</t>
  </si>
  <si>
    <t>PLAN ESTRATÉGICO INSTITUCIONAL</t>
  </si>
  <si>
    <t>MODELO INTEGRADO DE PLANEACIÓN Y GESTIÓN - MIPG</t>
  </si>
  <si>
    <t>SISTEMA DE GESTION DE LA  CALIDAD</t>
  </si>
  <si>
    <t>INDICADOR DE GESTIÓN</t>
  </si>
  <si>
    <t>RESPONSABLE</t>
  </si>
  <si>
    <t>Avance indicador de producto</t>
  </si>
  <si>
    <t>Avance indicador de gestión</t>
  </si>
  <si>
    <t>Nombre/Periodo PND</t>
  </si>
  <si>
    <t>Capitulo</t>
  </si>
  <si>
    <t>Objetivo del Capítulo</t>
  </si>
  <si>
    <t>Línea de acción</t>
  </si>
  <si>
    <t>Componente</t>
  </si>
  <si>
    <t>Objetivo del Componente</t>
  </si>
  <si>
    <t>Dimensión</t>
  </si>
  <si>
    <t>Política MIPG</t>
  </si>
  <si>
    <t>Acción</t>
  </si>
  <si>
    <t>Macroproceso</t>
  </si>
  <si>
    <t>Proceso</t>
  </si>
  <si>
    <t>Subproceso</t>
  </si>
  <si>
    <t>GRUPO</t>
  </si>
  <si>
    <t>INDICADOR DE PRODUCTO</t>
  </si>
  <si>
    <t>FÓRMULA INDICADOR DE PRODUCTO</t>
  </si>
  <si>
    <t>UNIDAD DE MEDIDA</t>
  </si>
  <si>
    <t>LÍNEA BASE</t>
  </si>
  <si>
    <t>META DE PRODUCTO</t>
  </si>
  <si>
    <t>FÓRMULA INDICADOR DE GESTIÓN</t>
  </si>
  <si>
    <t>UNIDAD DE MEDIDA2</t>
  </si>
  <si>
    <t>LÍNEA BASE2</t>
  </si>
  <si>
    <t>META DE GESTIÓN</t>
  </si>
  <si>
    <t>POR GRUPO</t>
  </si>
  <si>
    <t>POR DEPENDENCIA</t>
  </si>
  <si>
    <t>Responsable</t>
  </si>
  <si>
    <t>Avance mes</t>
  </si>
  <si>
    <t xml:space="preserve">Meta </t>
  </si>
  <si>
    <t>Porcentaje de avance</t>
  </si>
  <si>
    <t>Avance cualitativo</t>
  </si>
  <si>
    <t>GESTIÓN DE LICENCIAMIENTO AMBIENTAL</t>
  </si>
  <si>
    <t>EVALUACIÓN</t>
  </si>
  <si>
    <t>Subdirección de Evaluación y Seguimiento</t>
  </si>
  <si>
    <t>Actos administrativos expedidos para resolver las solicitudes de evaluación de licencias ambientales</t>
  </si>
  <si>
    <t>Actos administrativos expedidos para resolver el seguimiento a proyectos licenciados.</t>
  </si>
  <si>
    <t>Solicitudes de evaluación a licencias ambientales (nuevas y modificaciones) resueltas dentro de los tiempos establecidos en la normatividad vigente</t>
  </si>
  <si>
    <t>Número</t>
  </si>
  <si>
    <t>Porcentaje</t>
  </si>
  <si>
    <t>Conceptos técnicos emitidos para resolver las solicitudes de evaluación a licencias ambientales</t>
  </si>
  <si>
    <t>Visitas técnicas de seguimiento de licenciamiento ambiental</t>
  </si>
  <si>
    <t>SEGUIMIENTO</t>
  </si>
  <si>
    <t># de actos administrativos que resuelven solicitudes de evaluación de licencias ambientales.</t>
  </si>
  <si>
    <t>Visitas técnicas de evaluación de solicitudes de licenciamiento ambiental</t>
  </si>
  <si>
    <t># de conceptos técnicos realizados para resolver las solicitudes de evaluación de licencias ambientales</t>
  </si>
  <si>
    <t># de visitas técnicas realizadas para el proceso de evaluación de licencias ambientales</t>
  </si>
  <si>
    <t># de actos administrativos que acogen el seguimiento realizado a los proyectos licenciados.</t>
  </si>
  <si>
    <t># de Visitas técnicas de seguimiento de licenciamiento ambiental</t>
  </si>
  <si>
    <t># de Conceptos técnicos de seguimiento a licencias ambientales</t>
  </si>
  <si>
    <t>Número de Conceptos técnicos emitidos para resolver las solicitudes de evaluación a licencias ambientales</t>
  </si>
  <si>
    <t>Número de Visitas técnicas de evaluación de solicitudes de licenciamiento ambiental</t>
  </si>
  <si>
    <t>Número de Visitas técnicas de seguimiento de licenciamiento ambiental</t>
  </si>
  <si>
    <t>Número de Conceptos técnicos de seguimiento a licencias ambientales</t>
  </si>
  <si>
    <t>(# de actos administrativos finalizados que resuelven solicitudes de evaluación a licencias ambientales  dentro de téminos del decreto 1076 /# de solicitudes de licenciamiento ambiental a atender con vencimiento de términos) * 100</t>
  </si>
  <si>
    <t>Hidrocarburos</t>
  </si>
  <si>
    <t>Visitas a solicitudes de evaluación (nuevas y modificaciones)efectuadas dentro de los tiempos establecidos en la normatividad vigente.</t>
  </si>
  <si>
    <t>Conceptos Técnicos finalizados a solicitudes de evaluación (nuevas y modificaciones) dentro de los tiempos establecidos internamente</t>
  </si>
  <si>
    <t>Conceptos técnicos de seguimiento de las visitas realizadas a proyectos programados en la vigencia actual</t>
  </si>
  <si>
    <t>Conceptos técnicos de seguimiento documental de proyectos priorizados en la vigencia actual</t>
  </si>
  <si>
    <t xml:space="preserve">(# de visitas de evaluación realizadas dentro de téminos del decreto 1076 /# de expedientes de evaluación que requieran visita  con vencimiento de términos de la etapa) * 100 </t>
  </si>
  <si>
    <t>(# de conceptos técnicos de evaluación finalizados dentro de téminos internos  / # de expedientes de evaluación con vencimiento de términos de la etapa de finalización del concepto técnico) * 100</t>
  </si>
  <si>
    <t xml:space="preserve"># de conceptos técnicos  de seguimiento con visita aprobados en la vigencia actual </t>
  </si>
  <si>
    <t xml:space="preserve"># de conceptos técnicos  de seguimiento documental aprobados en la vigencia actual </t>
  </si>
  <si>
    <t>SUBDIRECTOR(A) EVALUACIÓN Y SEGUIMIENTO</t>
  </si>
  <si>
    <t>Infraestructura</t>
  </si>
  <si>
    <t>Energía</t>
  </si>
  <si>
    <t>Minería</t>
  </si>
  <si>
    <t>Agroquímicos y Especiales</t>
  </si>
  <si>
    <t>Derechos de petición a solicitudes prioritarias atendidos</t>
  </si>
  <si>
    <t>Solicitudes prioritarias de entes de control (ECOS) atendidos</t>
  </si>
  <si>
    <t>Porcentaje de cumplimiento de los términos de cambios menores y giros ordinarios resueltos</t>
  </si>
  <si>
    <t>Porcentaje de cumplimiento de los términos para la verificación preliminar de los ICA</t>
  </si>
  <si>
    <t>Porcentaje de cumplimiento de los términos para autos de inicio de trámites de los VPD aprobados</t>
  </si>
  <si>
    <t>Porcentaje de satisfacción de los usuarios que han recibido respuesta a solicitudes prioritarias por parte del grupo de RASP</t>
  </si>
  <si>
    <t>Número de derechos de petición a solicitudes prioritarias (DPE) atendidos</t>
  </si>
  <si>
    <t xml:space="preserve">Número de solicitudes prioritarias (ECOS) atendidos </t>
  </si>
  <si>
    <t>(# de Cambios menores y giros ordinarios resueltos dentro de téminos / # Cambios menores y giros ordinarios con vencimiento de términos) * 100</t>
  </si>
  <si>
    <t>(# ICAS revisados / # ICAS recibidos) * 100</t>
  </si>
  <si>
    <t>(# autos de inicio en términos / # VPD aprobados) * 100</t>
  </si>
  <si>
    <t>Porcentaje de la población objetivo satisfecha con la gestión efectuada por el grupo de RASP</t>
  </si>
  <si>
    <t>RASP</t>
  </si>
  <si>
    <t>Compensación y 1%</t>
  </si>
  <si>
    <t>Seguimiento a contingencias de  eventos reportados en la vigencia actual</t>
  </si>
  <si>
    <t>(# de eventos de contingencias atendidos  / # de eventos de contingencias reportados en la vigencia actual) * 100</t>
  </si>
  <si>
    <t>Contingencias</t>
  </si>
  <si>
    <r>
      <t xml:space="preserve">Pacto por Colombia 
</t>
    </r>
    <r>
      <rPr>
        <b/>
        <sz val="9"/>
        <color theme="1"/>
        <rFont val="Calibri"/>
        <family val="2"/>
        <scheme val="minor"/>
      </rPr>
      <t>Pacto por la equidad</t>
    </r>
  </si>
  <si>
    <t>Instituciones ambientales modernas, apropiación social de la biodiversidad y manejo efectivo de los conflictos socioambientales</t>
  </si>
  <si>
    <t>IV. Pacto por la sostenibilidad: producir conservando y conservar produciendo</t>
  </si>
  <si>
    <t>ORIENTACIÓN AL USUARIO</t>
  </si>
  <si>
    <t>Proceso de Evaluación</t>
  </si>
  <si>
    <t>SISTEMA DE INFORMACIÓN GEOGRÁFICO</t>
  </si>
  <si>
    <t>Mejora del sistema de información</t>
  </si>
  <si>
    <t xml:space="preserve"> Robustecer los sistemas de información en el proceso de licenciamiento y el acceso a la información</t>
  </si>
  <si>
    <t>Proceso de Seguimiento</t>
  </si>
  <si>
    <t>Mejorar el proceso de seguimiento, que incluya la gestión con las entidades del SINA, los sancionatorios y el recurso humano</t>
  </si>
  <si>
    <t>Recurso humano e instancias de decisión</t>
  </si>
  <si>
    <t xml:space="preserve"> Fortalecer la orientación al usuario y el acceso a la información</t>
  </si>
  <si>
    <t>Fortalecer el proceso de evaluación de las licencias ambientales y su aproximación regional</t>
  </si>
  <si>
    <t>Procesos Misionales</t>
  </si>
  <si>
    <t>Biodiversidad y riqueza natural: activos estrategicos de la Nación</t>
  </si>
  <si>
    <t>Valoración Económica</t>
  </si>
  <si>
    <t>Seguimiento y Evaluación del Desempeño Institucional</t>
  </si>
  <si>
    <t>4. Evaluación de Resultados</t>
  </si>
  <si>
    <t xml:space="preserve">Evaluar el logro de los resultados </t>
  </si>
  <si>
    <t>Promedio de avance en metas de Gestión</t>
  </si>
  <si>
    <t>Promedio de avance en metas de Producto</t>
  </si>
  <si>
    <t>Promedio de avance en metas de Producto SES</t>
  </si>
  <si>
    <t>Promedio de avance en metas de Gestión SES</t>
  </si>
  <si>
    <t>Numero</t>
  </si>
  <si>
    <t>Seguimiento a expedientes de vigencias anteriores por contingencias recurrentes</t>
  </si>
  <si>
    <t>482 - 2019</t>
  </si>
  <si>
    <t>608 - 2019</t>
  </si>
  <si>
    <t>506 - 2019</t>
  </si>
  <si>
    <t>599 - 2019</t>
  </si>
  <si>
    <t>483 - 2019</t>
  </si>
  <si>
    <t>256 - 2019</t>
  </si>
  <si>
    <t>564 - 2019</t>
  </si>
  <si>
    <t>614 - 2019</t>
  </si>
  <si>
    <t>611 - 2019</t>
  </si>
  <si>
    <t>616 - 2019</t>
  </si>
  <si>
    <t>210 - 2019</t>
  </si>
  <si>
    <t>711 - 2019</t>
  </si>
  <si>
    <t>551 - 2019</t>
  </si>
  <si>
    <t>644 - 2019</t>
  </si>
  <si>
    <t>659 - 2019</t>
  </si>
  <si>
    <t>002  -  2019</t>
  </si>
  <si>
    <t>698 - 2019</t>
  </si>
  <si>
    <t>007 - 2019</t>
  </si>
  <si>
    <t>613 - 2019</t>
  </si>
  <si>
    <t>308 - 2019</t>
  </si>
  <si>
    <t>511 - 2019</t>
  </si>
  <si>
    <t>192 - 2019</t>
  </si>
  <si>
    <t>194 - 2019</t>
  </si>
  <si>
    <t>199 - 2019</t>
  </si>
  <si>
    <t>267 - 2019</t>
  </si>
  <si>
    <t>285 - 2019</t>
  </si>
  <si>
    <t>176 - 2019</t>
  </si>
  <si>
    <t>592 - 2019</t>
  </si>
  <si>
    <t>601 - 2019</t>
  </si>
  <si>
    <t>444 - 2019</t>
  </si>
  <si>
    <t>490 - 2019</t>
  </si>
  <si>
    <t>157 - 2019</t>
  </si>
  <si>
    <t>225 - 2019</t>
  </si>
  <si>
    <t>828-2019</t>
  </si>
  <si>
    <t>894/2019</t>
  </si>
  <si>
    <t>1090/2019</t>
  </si>
  <si>
    <t>349/2019</t>
  </si>
  <si>
    <t>933/2019</t>
  </si>
  <si>
    <t>910/2019</t>
  </si>
  <si>
    <t>905/2019</t>
  </si>
  <si>
    <t>909/2019</t>
  </si>
  <si>
    <t>907/2019</t>
  </si>
  <si>
    <t>908/2019</t>
  </si>
  <si>
    <t>318/2019</t>
  </si>
  <si>
    <t>956/2019</t>
  </si>
  <si>
    <t>1197/2019</t>
  </si>
  <si>
    <t>1179/2019</t>
  </si>
  <si>
    <t>1238/2019</t>
  </si>
  <si>
    <t>1330/2019</t>
  </si>
  <si>
    <t>1237/2019</t>
  </si>
  <si>
    <t>464/2019</t>
  </si>
  <si>
    <t>1247/2019</t>
  </si>
  <si>
    <t>1524/2019</t>
  </si>
  <si>
    <t>1438/2019</t>
  </si>
  <si>
    <t>1470/2019</t>
  </si>
  <si>
    <t>1631/2019</t>
  </si>
  <si>
    <t>1563/2019</t>
  </si>
  <si>
    <t>1181/2019</t>
  </si>
  <si>
    <t>1360/2019</t>
  </si>
  <si>
    <t>1291/2019</t>
  </si>
  <si>
    <t>321/2019</t>
  </si>
  <si>
    <t>1331/2019</t>
  </si>
  <si>
    <t>2075/2019</t>
  </si>
  <si>
    <t>2350/2019</t>
  </si>
  <si>
    <t>2135/2019</t>
  </si>
  <si>
    <t>2144/2019</t>
  </si>
  <si>
    <t>2156/2019</t>
  </si>
  <si>
    <t>2184/2019</t>
  </si>
  <si>
    <t>2187/2019</t>
  </si>
  <si>
    <t>2188/2019</t>
  </si>
  <si>
    <t>2289/2019</t>
  </si>
  <si>
    <t>2303/2019</t>
  </si>
  <si>
    <t>2311/2019</t>
  </si>
  <si>
    <t>2312/2019</t>
  </si>
  <si>
    <t>2331/2019</t>
  </si>
  <si>
    <t>2083/2019</t>
  </si>
  <si>
    <t>322/2019</t>
  </si>
  <si>
    <t>698/2019</t>
  </si>
  <si>
    <t>518/2019</t>
  </si>
  <si>
    <t>1564/2019</t>
  </si>
  <si>
    <t>Conceptos técnicos numerados que incluyen  el componente de valoración económica en la etapa de evaluación de licenciamiento ambiental</t>
  </si>
  <si>
    <t>(# de conceptos técnicos de evaluación con el componente revisado por profesionales de valoración económica/ # de conceptos técnicos finalizados de evaluación de licenciamiento ambiental que incluyen el componente) * 100</t>
  </si>
  <si>
    <t>(# de conceptos técnicos de evaluación con el componente revisado por profesionales de compensación y 1 % / # de conceptos técnicos finalizados de evaluación de licenciamiento ambiental que incluyen el componente ) * 100</t>
  </si>
  <si>
    <t>Conceptos técnicos numerados que incluyen  el componente de compensación y 1 %  de licenciamiento ambiental</t>
  </si>
  <si>
    <t># de actos administrativos que acogen el seguimiento realizado a los expedientes priorizados de contingencias</t>
  </si>
  <si>
    <t>Actualización al Plan de gestión de riesgos (PGRD) revisado</t>
  </si>
  <si>
    <t xml:space="preserve"># de actos administrativos que incluyen el componente de verificación a la actualización al Plan de gestión de riesgos (PGRD) </t>
  </si>
  <si>
    <t>REPORTE AVANCE SEPTIEMBRE</t>
  </si>
  <si>
    <t xml:space="preserve">A corte 30 de septiembre de 2019, se realizó el seguimiento a 5 expedientes priorizados de vigencias anteriores por contingencias recurrentes  pertenecientes a los sectores de Energía (LAM2232 y LAM4090),  Hidrocarburos (LAM0232 y LAM0214) e Infraestructura (LAM6420).  
Adicionalmente a la fecha el grupo de Contingencias ha apoyado en el seguimiento de los siguientes expedienes priorizados LAM0215, LAM3518 y  LAM3341, los cuales ya cuenta con CT pendiente por acoger  </t>
  </si>
  <si>
    <t>A corte 30 de septiembre de 2019, se diligenciaron 418 reportes de matrices de seguimiento a eventos de 418 reportes iniciales reportados.</t>
  </si>
  <si>
    <t>A corte 30 de septiembre de 2019 el grupo contingencias ha realizado la verificación a la actualización al Plan de gestión de riesgos (PDGR) en 83 CT los cuales ya fueron acogidos por acto administrativo</t>
  </si>
  <si>
    <t xml:space="preserve">A corte 30 de septiembre de 2019 se han expedido 311 actos administrativos para resolver las solicitudes de evaluación de licencias ambientales </t>
  </si>
  <si>
    <t>A corte 30 de septiembre de 2019 se han realizado 84 visitas tecnicas  para el proceso de evaluación de licencias ambientales</t>
  </si>
  <si>
    <t>A corte 30 de septiembre de 2019 se han realizado 254 conceptos técnicos para resolver las solicitudes de evaluación de licencias ambientales</t>
  </si>
  <si>
    <t>A corte 30 septiembre de 2019  la ANLA debía resolver  94 solicitudes de licenciamiento ambiental; (50) Nuevas, (44) Modificaciones y resolvieron en ternminos 79 así: (41) Nuevas, (38) modificaciones</t>
  </si>
  <si>
    <t xml:space="preserve">A corte 30 de septiembre de 2019 se han realizado  29 visitas técnicas para el proceso de evaluación de licencias ambientales </t>
  </si>
  <si>
    <t>A corte 30 de septiembre se han realizado 26 CT para resolver las solicitudes de evaluación de licencias ambientales</t>
  </si>
  <si>
    <t>A corte 30 de septiembre de 2019 la ANLA debía resolver 18 solicitudes de licenciamiento ambiental;  (11) Nuevas, (7) Modificaciones y se  resolvieron 13 en terminos así: (8) Nuevas, (5) modificaciones.</t>
  </si>
  <si>
    <t>A corte 30 de septiembre de 2019 el sector de hidrocarburos debia realizar 21 visitas tecnicas, de las cuales solo se realizaron 17 en terminos.</t>
  </si>
  <si>
    <t>A corte 30 de septiembre de 2019  el sector de hidrocarburos debia finalizar 12 conceptos tecnicos, de los cuales se finalizo 3 en los plazos establecidos</t>
  </si>
  <si>
    <t xml:space="preserve">A corte 30 de septiembre de 2019 en  el sector de Infraestructura se han expedido 34 AA para resolver las solicitudes de evaluación de licencias ambientales </t>
  </si>
  <si>
    <t xml:space="preserve">A corte 30 de septiembre de 2019 se han realizado 30 visitas técnicas para el proceso de evaluación de licencias ambientales </t>
  </si>
  <si>
    <t>A corte 30 de septiembre de 2019 el sector de infraestructura debia realizar 31 visitas tecnicas, de las cuales se realizaron 20 en teminos.</t>
  </si>
  <si>
    <t>A corte 30 de septiembre de 2019 el sector de infraestructura debia finalizar 30 conceptos tecnicos, de los cuales 8 se finalizaron en los plazos establecidos</t>
  </si>
  <si>
    <t>A corte 30 de septiembre de 2019 la ANLA debía resolver 26 solicitudes e licenciamiento ambiental;  (9) Nuevas, (17) Modificaciones y y se resolvieron 21  así: (7) Nuevas, (14) modificaciones.</t>
  </si>
  <si>
    <t>A corte 30 de septiembre de 2019 se han finalizado 22 CT para resolver las solicitudes de evaluación de licencias ambientales</t>
  </si>
  <si>
    <t>A corte 30 de septiembre de 2019  se han realizado 12 visitas tecnicas para resolver las solicitudes de evaluación de licencias ambientales</t>
  </si>
  <si>
    <t>A corte 30 de septiembre de 2019 la ANLA debía resolver 12 solicitudes de licenciamiento ambiental;  (8) Nuevas, (4) Modificaciones  y se resolvieron en terminos 10  así:  (6) Nuevas, (4) modificaciones.</t>
  </si>
  <si>
    <t>A corte 30 de septiembre de 2019 el sector de energia debia realizar 8  vistas y realizo 6 en terminos</t>
  </si>
  <si>
    <t>A corte 30 de septiembre de 2019 el sector de energia debia finalizar 9 conceptos tecnicos, de los cuales 2 se finalizaron en los plazos establecidos</t>
  </si>
  <si>
    <t xml:space="preserve">A corte 30 de septiembre de 2019 se han expedido 16 autos administrativos que resuelven solicitudes de licenciamiento ambiental   </t>
  </si>
  <si>
    <t xml:space="preserve">A corte 30 de septiembre de 2019 se han realizado 11 CT para el proceso de evaluación de licencias ambientales </t>
  </si>
  <si>
    <t>A corte 30 de septiembre de 2019 se ha realizado 9 visitas tecnicas para resolver las solicitudes de evaluación de licencias ambientales</t>
  </si>
  <si>
    <t>A corte 30 de septiembre de 2019 el sector de mineria debia realizar 5 vistas que tenian vencimiento de terminos, de las cuales solo 7 se realizaron en los tiempos establecidos.</t>
  </si>
  <si>
    <t>A corte 30 de septiembre de 2019 el sector de mineria debia expedir 4 CT, los cuales se elaboraron fuera de terminos</t>
  </si>
  <si>
    <t xml:space="preserve">A corte 30 de septiembre de 2019 se han expedido 194 AA para resolver las solicitudes de evaluación de licencias ambientales </t>
  </si>
  <si>
    <t>A corte 30 de septiembre 2019 se ha realizado 161 CT para resolver las solicitudes de evaluación de licencias ambientales</t>
  </si>
  <si>
    <t xml:space="preserve">A corte 30 de septiembre 2019 se han realizado 4 visitas técnicas para el proceso de evaluación de licencias ambientales </t>
  </si>
  <si>
    <t xml:space="preserve">A corte 30 de septiembre de 2019 la ANLA debía resolver 32 solicitudes de licenciamiento ambiental;  (20) Nuevas, (12) Modificaciones  y se resolvieron en terminos 30  así:  (19) Nuevas, (11) modificaciones.;  (20) Nuevas, (11) Modificaciones </t>
  </si>
  <si>
    <t>A corte 30 de septiembre de 2019  el sector de agroquimicos debia realizar 6 visitas y  realizo 4 visitas en terminos</t>
  </si>
  <si>
    <t>A corte 30 de septiembre de 2019  el sector de agroquimicos debia finalizar 29 conceptos tecnicos, de los cuales 22 se finalizaron en los plazos establecidos</t>
  </si>
  <si>
    <t xml:space="preserve">A corte a 30 de septiembre  de 2019 el grupo de valoración económica ha tenido un total de 342 asignaciones. Se han evaluado desde el componente de valoración económica 220 actividades  y se han finalizado con CT numerado un total de 202 actividades. </t>
  </si>
  <si>
    <t>A corte 30 de septiembre de 2019 el grupo ha brindado apoyo en la elaboración y revisión del componente de compensación y 1%  en 515 CT, de los cuales se han finalizado 497,  así: 
-Apoyo a sectores: revisados 169, finalizados 151
-Recursos de reposición: revisados 94, finalizados 94
- CT. del grupo: revisados 252, finalizados 252</t>
  </si>
  <si>
    <t xml:space="preserve">Desde el 1 de enero y con corte 30 de Septiembre de 2019, en total acumulado el grupo RASP ha respondido 2133 radicados DPE, de los cuales 1642 tuvieron respuesta en términos, 77% sobre el total respondidos. </t>
  </si>
  <si>
    <t xml:space="preserve">Desde el 1 de enero y con corte 30 de Septiembre de 2019, en total acumulado el grupo RASP ha respondido 673 radicados ECO, de los cuales 529 tuvieron respuesta en términos, 78,6% sobre el total respondidos. </t>
  </si>
  <si>
    <t>Se han recibido 739 solicitudes de Cambio Menor/giro ordinario,  de las cuales 691 tienen vencimiento de terminos, durante el mismo periodo se ha emitido pronunciamiento y finalizado 686, de las cuales 264 se han emitido en Términos de ley.</t>
  </si>
  <si>
    <t>Desde el 1 de enero de 2019 al 30 de Septiembre de 2019, ingresaron al Grupo de Respuesta a Solicitudes Prioritarias 2222 actividades de verificación preliminar de ICA-VPI (descontando las DTA de agroquímicos), y durante el mismo periodo se han finalizado 2039  actividades de VPI, 837 salieron en términos</t>
  </si>
  <si>
    <t>A corte 30 de Septiembre de 2019, del total de los trámites radicados por VPD, una vez surtieron la respectiva revisión por parte de Geomática (cuando aplicaba), y RASP, se dio la conformidad a 105 solicitudes de VPD, de las cuales solo 20 tuvieron auto de inicio en términos.</t>
  </si>
  <si>
    <t>A corte 30 de septiembre de 2019 se culmina con la aplicación de la encuesta de satisfacción, ya se cuenta con los datos tabulados y el informe de resultados se entregará en el mes de octubre de 2019</t>
  </si>
  <si>
    <t>A corte 30 de septiembre de 2019 se han realizado 573 visitas técnicas de seguimiento de licenciamiento ambiental</t>
  </si>
  <si>
    <t>A corte 30 de septiembre  de 2019 se han finalizado 1433 Conceptos técnicos de seguimiento a licencias ambientales (411 con visita y 1021 documentales)</t>
  </si>
  <si>
    <t>A corte  30 de septiembre de 2019 la ANLA debía resolver 6 solicitudes de licenciamiento ambienta;  (2) Nuevas, (4) Modificaciones y resolvió  así (1) Nuevas, (4) modificaciones.A corte  30 de septiembre de 2019 la ANLA debía resolver 6 solicitudesl;  (2) Nuevas, (4) Modificaciones y se resolvieron 5 en terminos así: (1) Nuevas, (4) modificaciones.</t>
  </si>
  <si>
    <t xml:space="preserve">A corte 30 de septiembre de 2019 el sector de mineria han finalizado  23 conceptos técnicos documentales de seguimiento </t>
  </si>
  <si>
    <t xml:space="preserve">A corte 30 de septiembre de 2019 el sector de hidrocarburos expidió 162 actos administrativos que acogen conceptos técnicos de seguimiento con visita y/o documentales. </t>
  </si>
  <si>
    <t>A corte 30 de septiembre de 2019 se realizaron 349 visitas de seguimiento a los proyectos de hidrocarburos</t>
  </si>
  <si>
    <t xml:space="preserve">A corte 30 de septiembre de 2019 el sector de hidrocarburos  ha expidido 237 CT con visita.     </t>
  </si>
  <si>
    <t xml:space="preserve">A corte 30 de septiembre de 2019 el sector de infraestructura ha realizado 118 visitas tecnicas de seguimiento </t>
  </si>
  <si>
    <t xml:space="preserve">A corte  30 de septiembre de 2019 el sector de infraestructura ha finalizado 84 conceptos técnicos  de seguimiento con visita </t>
  </si>
  <si>
    <t xml:space="preserve">A corte 30 de septiembre de 2019 el sector de infraestructura ha finalizado 21 conceptos técnicos documentales  de seguimiento  </t>
  </si>
  <si>
    <t>A corte 30 de septiembre de 2019 el sector de energia expidio 71 actos administrativos que acogen  seguimiento</t>
  </si>
  <si>
    <t xml:space="preserve">A corte 30 de septiembre de 2019 el sector de energia ha realizado 84 visitas tecnicas de seguimiento </t>
  </si>
  <si>
    <t xml:space="preserve">A corte 30 de septiembre de 2019 el sector de energia ha finalizado 67 conceptos técnicos  de seguimiento con visita </t>
  </si>
  <si>
    <t xml:space="preserve">A corte 30 de septiembre de 2019 el sector de energia ha finalizado 12 conceptos técnicos documentales </t>
  </si>
  <si>
    <t>A corte 30 de septiembre de 2019  se han finalizado 41 actos administrativos correspondientes a seguimiento de vigencia actual</t>
  </si>
  <si>
    <t xml:space="preserve">A corte 30 de septiembre de 2019 el sector de mineria ha realizado 69 visitas tecnicas de seguimiento </t>
  </si>
  <si>
    <t xml:space="preserve">A corte 30 de septiembre de 2019 el sector de mineria han finalizado 42 conceptos técnicos  de seguimiento con visita </t>
  </si>
  <si>
    <t>A corte 30 de septiembre de 2019 el sector de agroquimicos ha expidio 1003 actos administrativos que acogen el seguimiento realizado</t>
  </si>
  <si>
    <t>A corte 30 de septiembre de 2019 se han realizado 104 visitas técnicas de seguimiento</t>
  </si>
  <si>
    <t>A corte 30 de septiembre de 2019 se han expedido 83 CT con visita</t>
  </si>
  <si>
    <t>A corte 30 de septiembre de 2019 se han expedido 1008 CT documentales</t>
  </si>
  <si>
    <t>A corte 30 de septiembre de 2019 el sector de infraestructura ha expedido 80 actos administrativos que acogen el seguimiento realizado</t>
  </si>
  <si>
    <t>A corte 30 de septiembre de 2019 se han expedido1904 actos administrativos que acogen el seguimiento a proyectos licenciados, de los cuales 547 son de vigencias anteriores (rezago) y 1357 de vigencia actual.</t>
  </si>
  <si>
    <t xml:space="preserve">A corte 30 de septiembre se han expedido 33 AA para resolver las solicitudes de evaluación de licencias ambientales.  </t>
  </si>
  <si>
    <t xml:space="preserve">A corte 30 de septiembre de 2019 el sector de hidrocarburos  ha expidido 65 CT documentales     </t>
  </si>
  <si>
    <t xml:space="preserve">Visitas técnicas de evaluación de solicitudes de licenciamiento ambiental
</t>
  </si>
  <si>
    <t>A corte 30 de septiembre de 2019 se han realizado 33 CT para resolver las solicitudes de evaluación de licencias ambientales</t>
  </si>
  <si>
    <t xml:space="preserve">A corte 30 de septiembre de 2019 se han expedido 31 AA para resolver las solicitudes de evaluación de licencias ambientales </t>
  </si>
  <si>
    <t>REPORTE AVANCE ENERO</t>
  </si>
  <si>
    <t>REPORTE AVANCE FEBRERO</t>
  </si>
  <si>
    <t>REPORTE AVANCE MARZO</t>
  </si>
  <si>
    <t>REPORTE AVANCE ABRIL</t>
  </si>
  <si>
    <t>REPORTE AVANCE MAYO</t>
  </si>
  <si>
    <t>REPORTE AVANCE JUNIO</t>
  </si>
  <si>
    <t>REPORTE AVANCE JULIO</t>
  </si>
  <si>
    <t>REPORTE AVANCE AGOSTO</t>
  </si>
  <si>
    <t>Gestión Interna</t>
  </si>
  <si>
    <t>PLANEACIÓN</t>
  </si>
  <si>
    <t>Mejorar la interacción con los actores internos y externos del proceso de licenciamiento ambiental</t>
  </si>
  <si>
    <t>2. Direccionamiento Estratégico y Planeación</t>
  </si>
  <si>
    <t>Política de Planeación institucional</t>
  </si>
  <si>
    <t>Atender los lineamientos previstos en las normas para la formulación de los planes estratégicos</t>
  </si>
  <si>
    <t>PROCESOS ESTRATÉGICOS</t>
  </si>
  <si>
    <t>ORIENTACIÓN ESTRATÉGICA</t>
  </si>
  <si>
    <t>PLANEACIÓN ESTRATÉGICA</t>
  </si>
  <si>
    <t>OAP</t>
  </si>
  <si>
    <t>Número de documentos de planeación realizados</t>
  </si>
  <si>
    <t>Número de documentos elaborados</t>
  </si>
  <si>
    <t>Porcentaje de avance en la elaboración del Plan Estratégico Institucional</t>
  </si>
  <si>
    <t>JEFE DE LA OFICINA DE PLANEACIÓN</t>
  </si>
  <si>
    <t>De acuerdo con el plan de trabajo que se adjunta como soporte, a la fecha se cuenta con un 10% de avance en la elaboración del Plan Estratégico Institucional (2 actividades cumplidas de 10 programadas)</t>
  </si>
  <si>
    <t>El porcentaje de avance reportado para el mes de marzo corresponde al promedio del avance reportado para cada uno de los 13 documentos de planeación programados para la vigencia</t>
  </si>
  <si>
    <t>Durante el mes de marzo se utilizó la metodología ágile para la elaboración del Plan Estratégico Institucional, comenzando por la fase de diagnóstico, el cual ya se encuentra en elaboración con un avance del 50% de acuerdo con el plan de trabajo</t>
  </si>
  <si>
    <t>Durante el mes de abril se realizó el diagnóstico del PEI, cumpliendo 3 actividades de las 10 esperadas</t>
  </si>
  <si>
    <t>Durante el mes de mayo se complementó el diagnóstico de acuerdo con la retroalimentación recibida por parte de los miembros del Comité Directivo y algunos colaboradores de la entidad. Durante el mes de junio,  se realizará el coaching con el Comité Directivo para definir las líneas estratégicas del PEI, base para continuar con la elaboración del documento.</t>
  </si>
  <si>
    <t>Durante el mes de mayo se finalizó el documento ténico de aumento de planta y se avanzó en la elaboración de los planes de acción de las políticas de participación ciudadana, transparencia y acceso a la información, servicio al ciudadano, defensa jurídica y participación ciudadana.</t>
  </si>
  <si>
    <t>Durante el mes de junio se realizó la primera propuesta de abordaje conceptual para las líneas estratégicas del plan, lo cual, de acuerdo con el plan de trabajo corresponde al 7,5%. Adicionalmente, se realizó la coordinación, gestión y programación del coaching para el Comité Directivo que será llevado a cabo en el mes de julio.</t>
  </si>
  <si>
    <t>A la fecha ya se cuenta con 6 documentos de planeación: 
1. Propuesta de reestructuración de la ANLA
2. Plan de acción Política Planeación institucional
3. Plan de acción Política de Gestión Documental
4.Plan de acción Politica de Defensa Jurídica
5. Plan de acción Política de Transparencia y acceso a la información
6.Plan de acción Política de Servicio al ciudadano</t>
  </si>
  <si>
    <t>Durante el mes de julio se realizó el Coaching con Directivos y se definieron las líneas y objetivos estratégicos, la cuales fueron aprobadas por el Comité Directivo</t>
  </si>
  <si>
    <t xml:space="preserve">A la fecha se cuenta con 6 documentos de planeación: 1) Plan de acción de la política de planeación institucional, 2) Plan de acción de la política de gestión documental, 3) Propuesta de reestructuración de la ANLA, 4)Plan de acción de la política de transparencia y acceso a la información, 5) Plan de acción de la política de servicio al ciudadano y 6)Plan de acción de la política de Defensa Jurídica </t>
  </si>
  <si>
    <t>Durante el mes de agosto se trabajo en la elaboración de las metas y objetivos de gestión con las dependencias de la entidad</t>
  </si>
  <si>
    <t>A corte 30 de septiembre se cuenta con los siguientes documentos  de planeación finalizados:
1. Propuesta de reestructuración de la ANLA
2. Plan de acción planeación institucional
3. Plan de acción transparencia y acceso a la información
4. Plan de acción servicio al ciudadano
5. Plan de acción gestión documental
6. Plan de acción defensa jurídica
7. Plan de acción participación ciudadana
8. Plan de acción gestión del conocimiento y la innovación</t>
  </si>
  <si>
    <t>A la fecha se cuenta con el diagnóstico, la misión, visión, líneas estratégicas, objetivos estratégicos, metas y objetivos de gestión. Se encuentra en proceso de ajuste y revisión</t>
  </si>
  <si>
    <t>6. Gestión del Conocimiento y lnnovación</t>
  </si>
  <si>
    <t>Gestión del Conocimiento y la Innovación</t>
  </si>
  <si>
    <t>Generación y producción del conocimiento</t>
  </si>
  <si>
    <t>Porcentaje de avance en la elaboración de la estrategia de gestión del conocimiento</t>
  </si>
  <si>
    <t>De acuerdo con el plan de trabajo que se adjunta como soporte, a la fecha se cuenta con un 15% de avance en la elaboración de la estrategia de gestión del conocimiento (2 actividades cumplidas de 9 programadas)</t>
  </si>
  <si>
    <t>Durante el mes se marzo de avanzó en la formulación del autodiagnóstico de gestión del conocimiento y la innovación de acuerdo con el plan de trabajo</t>
  </si>
  <si>
    <t>Durante el mes de abril se finalizó la formulación del autodiagnóstico de la política de gestión del conocimiento</t>
  </si>
  <si>
    <t>Durante el mes de mayo se realizó la revisión del autodiagnóstico oficial publicado en la página del DAFP y se contrastó con el que se venía trabajando. En este sentido, se ajustó y complementó, sin embargo, no se reporta avance adicional durante el mes.</t>
  </si>
  <si>
    <t>No se reporta avance para el mes de junio</t>
  </si>
  <si>
    <t>Durante el mes de julio se comenzó la formulación del plan de acción de la Política de Gestión del Conocimiento y la innovación</t>
  </si>
  <si>
    <t>Durante el mes de agosto se trabajo en la elaboración de la estrategia de gestión del conocimiento y la innovación y en la formulación del plan de acción de gestión del conocimiento y la innovación</t>
  </si>
  <si>
    <t xml:space="preserve">Durante el mes de septiembre se elaboró el plan de acción de la Política de Gestión del conocimiento y la innovación, el cual fue aprobado en el Comité de Gestión y Desempeño del 30 de septiembre
</t>
  </si>
  <si>
    <t>Formulación de planes</t>
  </si>
  <si>
    <t>Porcentaje de avance en la elaboración del análisis de sensibilidad (visitas de seguimiento)</t>
  </si>
  <si>
    <t>El indicador de gestión no presenta avance en este mes. Inicio de la actividad programada para el mes de abril.</t>
  </si>
  <si>
    <t>"Dando cumplimiento al cronograma de trabajo, en el mes de abril se avanzó en:
1. Revisión de literatura para construcción de metodología a aplicar (5%)
2. Recolección de información de ingresos históricos ANLA (5%)
3. Recolección de información de bases de seguimiento históricas ANLA (5%)
4. Recolección de información de bases de cobro históricas ANLA (5%)"</t>
  </si>
  <si>
    <t>Durante el mes de mayo no se reporta avance para este indicador</t>
  </si>
  <si>
    <t>Para el mes de julio se efectuó: Cruce de bases de datos históricas ANLA (ingresos, seguimiento, cobros), 1. información de resultado (comparación de tiempos de recaudo Vs. Seguimientos realizados), 2. información de resultado (comparación de cobros  Vs. Recaudo efectivo). Con este desatraso de actividades, se avanza de acuerdo a lo esperado en el plan de trabajo propuesto.</t>
  </si>
  <si>
    <t>Durante el mes de agosto no se reporta avance para esta actividad</t>
  </si>
  <si>
    <t xml:space="preserve">En el mes de septiembre se definieron los hitos que llevará el documento final y se revisaron las bases de contratistas enviadas por la SAF. Se mantiene el porcentaje de avance, dado que estas dos actividades no se encontraban dentro del plan de trabajo con peso en el porcentaje de avance </t>
  </si>
  <si>
    <t>3. Gestión con Valores para el Resultado</t>
  </si>
  <si>
    <t>Política de Fortalecimiento organizacional y simplificación de procesos</t>
  </si>
  <si>
    <t>Entender la situación</t>
  </si>
  <si>
    <t>Porcentaje de avance del análisis de los sistemas de información de la ANLA</t>
  </si>
  <si>
    <t>Se realizaron las siguientes actividades en el mes de febrero:        
•	Reunión con TICs  - unificar criterios para diagnostico
•	Reunión con TICs - revisión aplicativos e interacción
•	Reunión con dependencias recolectar información
•	Primera Revisión y ajustes estudios previos del diagnóstico SI</t>
  </si>
  <si>
    <t>Se realizó reunión con la Agencia Nacional Digital para realizar convenio de cooperacción institucional. En espera de la propuesta de la Agencia.</t>
  </si>
  <si>
    <t>En el mes de mayo se realizaron las siguientes actividades:
1. Recolección información de aplicativos (Interrelación, errores generados, módulos por complementar, ajustes, etc)
2. Consolidación documentos por aplicativo (VITAL)</t>
  </si>
  <si>
    <t>Se finalizó la elaboración del documento, se pasa a revisión final</t>
  </si>
  <si>
    <t>Documento se encuentra en revisión final</t>
  </si>
  <si>
    <t xml:space="preserve">Durante el mes de septiembre no se reportó avance de este indicador
</t>
  </si>
  <si>
    <t>Diseñar o rediseñar lo necesario</t>
  </si>
  <si>
    <t>Porcentaje de avance de la propuesta de reestructuración de la ANLA</t>
  </si>
  <si>
    <t>Se realizaron las siguientes actividades en el mes de enero: 
Consolidación de Información
Elaboración de Reportes y Estadísticas
Análisis de Reportes y Estadísticas
Recolección de Requerimientos de las diferentes áreas
Estructuración propuesta Planta Temporal
Elaboración presentación para Dirección
Revisión propuesta 1 - Reunión
Realizar Ajustes propuestos 1
Revisión propuesta 2 - Reunión
Realizar Ajustes propuestos 2</t>
  </si>
  <si>
    <t>Se realizaron las siguientes actividades en el mes de febrero: 
1. Revisión Entidades Externas mediante reuniones:
     * Ministerio de Hacienda
     * Departamento Administrativo d ela Función Pública
     * Departamento Nacional de Planeación
     * Presidencia de la República
2. Con los comentarios de las diferentes entidades se ajustó la presentación y se mostro en comité de Dirección el día 18 de febrero de 2019 y se tomaron decisiones para continuar con el proceso.
3. Se  encuentra en elaboración el documento técnico y el levantamiento de cargas.</t>
  </si>
  <si>
    <t>Se realizaron las siguientes actividades en el mes de marzo: 
1. En elaboración del documentos técnico
2. Se realizó reunión con el DAFP para explicar el archivo de diligenciamiento en el levantamiento de cargas. Actividad actualmente en el Grupo de Talento Humano.</t>
  </si>
  <si>
    <t>En el mes de mayo se realizaron las siguientes actividades:
1. Propuesta Técnica Modificación Decreto 3573 revisada por las dependencias
2. Documento Técnico elaborado y enviado a revisión de las dependencias</t>
  </si>
  <si>
    <t>Se finalizó la elaboración y revisión del documento técnico de aumento de planta permanente y modificación de la estructura organica de la ANLA. El documento incluye la propuesta de modificación al Decreto 3573 de 2011.
El documento fue radicado al MADS el día 20 de junio de 2019.</t>
  </si>
  <si>
    <t>El documento se finalizó en el mes de junio</t>
  </si>
  <si>
    <t>Actividad cumplida</t>
  </si>
  <si>
    <t>Seguimiento y evaluación del desempeño institucional</t>
  </si>
  <si>
    <t xml:space="preserve">Adelantar un ejercicio de autodiagnóstico </t>
  </si>
  <si>
    <t>Planes de acción elaborados de las políticas del MIPG</t>
  </si>
  <si>
    <t>Se realiza y presenta en reunión del día 28 de enero de 2019, al comité de Gestión y Desempeño Institucional el cronograma de trabajo para la elaboración de los autodiagnósticos y plan de acción de las políticas del MIPG.</t>
  </si>
  <si>
    <t>Se llevan a cabo reuniones de trabajo con las áreas , con respecto a la implementación del MIPG, así como la revisión de los autodiagnósticos de Gestión Documental y planeación estratégica , los cuales, de acuerdo con el cronograma presentado y aprobado en el prime comité del MIPG, se presentaran para aprobación en el mes de abril.</t>
  </si>
  <si>
    <t xml:space="preserve">
Criterios de cumplimiento:
Realización de 4 actividades para 7 políticas (1.	Planeación Institucional, 2.Transparencia, acceso a la información pública y lucha contra la corrupción, 3.Servicio al ciudadano, 4.Participación ciudadana en la gestión pública, 5.Gestión documental, 6.Defensa jurídica y 7.Gestión del conocimiento y la innovación), con la siguiente ponderación:
Autodiagnóstico 40%
Formulación Plan de Acción 30%
Aprobación Comité Institucional de Gestión y Desempeño 20%
Implementación y seguimiento plan de acción 10%
A la fecha se lleva un porcentaje de avance de 70% para las politicas de Planeación Institucional , Participación ciudadana en la gestión pública  y Gestión documental y de 40% para la politica de Gestión del Conocimiento y la Innovación, lo que equivale al 36% de avance con respecto a la meta.
</t>
  </si>
  <si>
    <t xml:space="preserve">Criterios de cumplimineto:
Realización de 4 actividades para 7 políticas 
1.	Planeación Institucional 
2.	Transparencia, acceso a la información pública y lucha contra la corrupción 
3.	Servicio al ciudadano 
4.	Participación ciudadana en la gestión pública 
5.	Gestión documental 
6.	Defensa jurídica 
7.	Gestión del conocimiento y la innovación 
Con los siguientes puntajes autodiagnósticos
Autodiagnóstico 40%
Formulación Plan de Acción 30%
Aprobación Comité Institucional de Gestión y Desempeño 30%
de lo cual se lleva un porcentaje de avance del 100% para las politicas de Planeación Institucional y Gestión documental, 70% para las politica  Participación ciudadana en la gestión pública y del 40% para las politicas de Gestión del Conocimineto y la Innovación y Transparencia, acceso a la información pública y lucha contra la corrupción;  lo que equivale al 47% de avance con respecto a la meta.
</t>
  </si>
  <si>
    <t>De acuerdo con el plan de trabajo establecido con corte al mes de mayo la actividad tiene 61 % de avance con respecto a la meta.
Criterios de cumplimineto:
Realización de 4 actividades para 7 políticas 
1.	Planeación Institucional 
2.	Transparencia, acceso a la información pública y lucha contra la corrupción 
3.	Servicio al ciudadano 
4.	Participación ciudadana en la gestión pública 
5.	Gestión documental 
6.	Defensa jurídica 
7.	Gestión del conocimiento y la innovación 
Con los siguientes puntajes autodiagnósticos
Autodiagnóstico 40%
Formulación Plan de Acción 30%
Aprobación Comité Institucional de Gestión y Desempeño 20%
Implementación y seguimiento plan de acción 10%
de lo cual se lleva un porcentaje de avance del 100% para las politicas de Planeación Institucional y Gestión documental, 70% para la politica  Participación ciudadana en la gestión pública y del 40% para las politicas de Gestión del Conocimineto y la Innovación, Transparencia, acceso a la información pública y lucha contra la corrupción, servicio al ciudadano, Defensa Jurídica  lo que equivale al 61% de avance con respecto a la meta.</t>
  </si>
  <si>
    <t>De acuerdo con el plan de trabajo establecido con corte al mes de junio la actividad tiene 74% de avance con respecto a la meta.
Criterios de cumplimiento:
Realización de 4 actividades para 7 políticas 
1.	Planeación Institucional 
2.	Transparencia, acceso a la información pública y lucha contra la corrupción 
3.	Servicio al ciudadano 
4.	Participación ciudadana en la gestión pública 
5.	Gestión documental 
6.	Defensa jurídica 
7.	Gestión del conocimiento y la innovación 
Con los siguientes puntajes:
Autodiagnóstico 40%
Formulación Plan de Acción 30%
Aprobación Comité Institucional de Gestión y Desempeño 30%
De lo cual se lleva un porcentaje de avance del 100% para las políticas de Planeación Institucional y Gestión documental, 70% para las política de  Participación ciudadana, Transparencia, acceso a la información pública y lucha contra la corrupción, servicio al ciudadano, Defensa Jurídica en la gestión pública y del 40% para las políticas de Gestión del Conocimiento y la Innovación, lo que equivale al 74% de avance con respecto a la meta.</t>
  </si>
  <si>
    <t>De acuerdo con el plan de trabajo establecido con corte al mes de abril la actividad tiene 71 % de avance con respecto a la meta.
Criterios de cumplimineto:
Realización de 4 actividades para 7 políticas 
1.	Planeación Institucional 
2.	Transparencia, acceso a la información pública y lucha contra la corrupción 
3.	Servicio al ciudadano 
4.	Participación ciudadana en la gestión pública 
5.	Gestión documental 
6.	Defensa jurídica 
7.	Gestión del conocimiento y la innovación 
Con los siguientes puntajes autodiagnósticos
Autodiagnóstico 40%
Formulación Plan de Acción 30%
Aprobación Comité Institucional de Gestión y Desempeño 30%
De lo cual se lleva un porcentaje de avance del 100% para las politicas de Planeación Institucional, Gestión documental, Transparencia, acceso a la información pública y lucha contra la corrupción, Servicio al ciudadano y Defensa jurídica, 70% para la politica  Participación ciudadana en la gestión pública y del 40% para la politicas de Gestión del Conocimineto y la Innovación, lo que equivale al 87% de avance con respecto a la meta.</t>
  </si>
  <si>
    <t>Durante el mes de agosto no se reporta avance para esta actividad. Lo anterior, debido a que el Comité de Gestión y Desempeño se reune hasta el mes de septiembre.</t>
  </si>
  <si>
    <t>De acuerdo con el plan de trabajo establecido con corte al mes de septiembre  la actividad tiene 90% de avance con respecto a la meta.
Para este mes el porcentaje disminuye con respecto al anterior, por cuanto se incluyó la política de Control Interno.
Criterios de cumplimineto:
Realización de 4 actividades para 7 políticas 
1.Planeación Institucional 
2.Transparencia, acceso a la información pública y lucha contra la corrupción 
3.Servicio al ciudadano 
4.Participación ciudadana en la gestión pública 
5.Gestión documental 
6.Defensa jurídica 
7.Gestión del conocimiento y la innovación
8.Control Interno
Con los siguientes puntajes autodiagnósticos
Autodiagnóstico 40%
Formulación Plan de Acción 30%
Aprobación Comité Institucional de Gestión y Desempeño 30%
De lo cual se lleva un porcentaje de avance del 100% para las politicas de Planeación Institucional, Gestión documental, Transparencia, acceso a la información pública y lucha contra la corrupción, Servicio al ciudadano y Defensa jurídica, Participación ciudadana en la gestión pública y Gestión del Conocimineto y la Innovación y del 21% para la  política de Control Interno, lo que equivale al 90% de avance con respecto a la meta.</t>
  </si>
  <si>
    <t xml:space="preserve">Seguimiento y evaluación del desempeño institucional </t>
  </si>
  <si>
    <t>Herramientas para el seguimiento a metas institucionales</t>
  </si>
  <si>
    <t>Número de herramientas diseñadas</t>
  </si>
  <si>
    <t>Funcionalidades desarrolladas dentro de la herramienta de control de términos en evaluación de licencias</t>
  </si>
  <si>
    <t>Se realizaron los siguientes modulos adicionales :
- Recursos de Reposición
- Tablero para coordinadores
-Alerta de Hitos.</t>
  </si>
  <si>
    <t>Se realizaron los siguientes módulos adicionales :
- Recursos de Reposición
- Tablero para coordinadores
-Alerta de Hitos.
-Alertas de Recursos de Reposición
-Actualización de la fecha de notificación después del auto de inicio.
-Tablero grafico de cambios menores</t>
  </si>
  <si>
    <t>Se cuenta con los siguientes módulos adicionales :
- Recursos de Reposición
- Tablero para coordinadores
-Alerta de Hitos.
-Alertas de Recursos de Reposición
-Actualización de la fecha de notificación después del auto de inicio.
-Tablero grafico de cambios menores
- Diseño grafico de la app móvil.
-Base de datos para creación del modulo de notificaciones.</t>
  </si>
  <si>
    <t>Se realizaron los siguientes módulos adicionales :
- Recursos de Reposición
- Tablero para coordinadores
-Alerta de Hitos.
-Alertas de Recursos de Reposición
-Actualización de la fecha de notificación después del auto de inicio.
-Tablero grafico de cambios menores
- Diseño grafico de la app móvil.
-Base de datos para creación del modulo de notificaciones.
- Reunion de notificaciones
- Integracion diseño movil con base de datos</t>
  </si>
  <si>
    <t>Se realizaron los siguientes módulos adicionales :
- Recursos de Reposición
- Tablero para coordinadores
-Alerta de Hitos.
-Alertas de Recursos de Reposición
-Actualización de la fecha de notificación después del auto de inicio.
-Tablero grafico de cambios menores
- Diseño grafico de la app móvil.
-Base de datos para creación del modulo de notificaciones.
- Reunión de notificaciones
- Integración diseño móvil con base de datos
-Aplicación Móvil</t>
  </si>
  <si>
    <t>Durante el mes de septiembre se avanzó en la elaboración del documento técnico de soporte de la herramienta para permisos y trámites ambientales</t>
  </si>
  <si>
    <t>No se reporta avance durante el mes de septiembre</t>
  </si>
  <si>
    <t>Gestión Externa</t>
  </si>
  <si>
    <t>4.Evaluación de Resultados</t>
  </si>
  <si>
    <t xml:space="preserve">Porcentaje de avance en el diseño de la herramienta de control de seguimiento de licencias </t>
  </si>
  <si>
    <t>Se realizaron los siguientes modulos adicionales :
-Diagrama macro de los hitos involucrados en el proceso de seguimiento de t</t>
  </si>
  <si>
    <t>Se realizaron los siguientes módulos adicionales :
-Diagrama macro de los hitos involucrados en el proceso de seguimiento.
-Verificar Estructura De Herramienta, Version 1
-Identificar actividades SILA</t>
  </si>
  <si>
    <t>Se cuenta con los siguientes módulos:
-Diagrama macro de los hitos involucrados en el proceso de seguimiento.
-Verificar Estructura De Herramienta, Versión 1
-Identificar actividades SILA
-Diseño base para la integración de los módulos.</t>
  </si>
  <si>
    <t>Se realizaron los siguientes módulos adicionales :
-Diagrama macro de los hitos involucrados en el proceso de seguimiento.
-Verificar Estructura De Herramienta, Versión 1
-Identificar actividades SILA
-Diseño base para la integración de los módulos.
- Modelo entidad relación
- Diccionario de datos
- Creacion y conexion de base de datos</t>
  </si>
  <si>
    <t>Se realizaron los siguientes módulos adicionales :
-Diagrama macro de los hitos involucrados en el proceso de seguimiento.
-Verificar Estructura De Herramienta, Versión 1
-Identificar actividades SILA
-Diseño base para la integración de los módulos.
- Modelo entidad relación
- Diccionario de datos
- Creación y conexión de base de datos
- Se Definiera las salidas de información
- Se cargo la información necesaria para la primera validación
- Se avanzaron reuniones para agilizar el avance</t>
  </si>
  <si>
    <t>A la fecha se ha realizado lo siguiente:
-Diagrama macro de los hitos involucrados en el proceso de seguimiento.
-Verificar Estructura De Herramienta, Versión 1
-Identificar actividades SILA
-Diseño base para la integración de los módulos.
- Modelo entidad relación
- Diccionario de datos
- Creación y conexión de base de datos
- Se Definiera las salidas de información
- Se cargo la información necesaria para la primera validación
- Se avanzaron reuniones para agilizar el avance
-Se realizaron las salidas de informacion iniciales.</t>
  </si>
  <si>
    <t xml:space="preserve">Porcentaje de avance en el diseño de la herramienta de control de términos para permisos y trámites </t>
  </si>
  <si>
    <t>Se realizaron los siguientes modulos adicionales :
-Diagrama macro de los tramites de la Subdireccion de Permisos y Tramites Ambientales</t>
  </si>
  <si>
    <t>Se realizaron los siguientes módulos adicionales :
-Diagrama macro de los tramites de la Subdirección de Permisos y Tramites Ambientales
-Presentacion al Area Tecnica Estructura Version 1</t>
  </si>
  <si>
    <t>Se realizaron los siguientes módulos adicionales :
-Diagrama macro de los tramites de la Subdirección de Permisos y Tramites Ambientales
-Presentación al Área Técnica Estructura Versión 1
-Arquitectura del diseño.</t>
  </si>
  <si>
    <t>Se realizaron los siguientes módulos adicionales :
-Diagrama macro de los tramites de la Subdirección de Permisos y Tramites Ambientales
-Presentación al Área Técnica Estructura Versión 1
-Arquitectura del diseño.
-Diseño Inicial</t>
  </si>
  <si>
    <t xml:space="preserve">Durante el mes de septiembre se culminó la elaboración del documento técino de soporte de la herramienta
</t>
  </si>
  <si>
    <t>Gestión Presupuestal y Eficiencia del Gasto Público</t>
  </si>
  <si>
    <t>Ejecutar el presupuesto</t>
  </si>
  <si>
    <t>GESTIÓN DE RECURSOS</t>
  </si>
  <si>
    <t>Número de informes físicos y financieros realizados por dependencia</t>
  </si>
  <si>
    <t>Durante el mes de junio se entregó a las dependencias el informe del mes de mayo, completando 5 informes a la fecha</t>
  </si>
  <si>
    <t>Durante el mes de julio se entregó a las dependencias el informe del mes de junioo, completando 6 informes a la fecha</t>
  </si>
  <si>
    <t>Durante el mes de agosto se entregó a las dependencias el informe del mes de julio, completando 7 informes a la fecha</t>
  </si>
  <si>
    <t xml:space="preserve">Porcentaje de implementación de la herramienta de planeación estratégica </t>
  </si>
  <si>
    <t>Se adjunta plan de trabajo para este indicador. Se contemplan 12 actividades para el logro de la meta</t>
  </si>
  <si>
    <t>En el mes de Marzo se realizaron las hojas de vida con cada una de las dependencias en excel, pero debido a la migración de la herramienta al servidor de la Anla no se pudo avanzar en el cargue de los planes en GESPLAN ni la respectiva revisión con las áreas</t>
  </si>
  <si>
    <t>En el mes de Abril se terminó de realizar las hojas de vida con cada una de las dependencias y se realizaron ajustes. 
Se realizaron diferentes reuniones para gestionar los ajustes de la herramienta y para lograr el paso a producción de la misma.
La migración de la herramienta al servidor de la Anla a corte del 30 de abril no se realizó, por consiguiente no se pudo avanzar en el cargue de los planes en GESPLAN ni la respectiva revisión con las áreas.</t>
  </si>
  <si>
    <t>En el mes de mayo se realizan una serie de pruebas de la herramienta de planeación, ya que presentaba fallas en el ingreso al sistema, por usuario y contraseña. 
Se solicitó un reunión con tecnología y el ingeniero de la empresa ITS, bajo la cual el día 21 de mayo, se realizó un ajuste fundamental a la herramienta que le permite a la herramienta funcionar correctamente en el portal de la ANLA y se concretaron compromisos por parte de la ANLA y de ITS.
El cargue de información en GESPLAN empieza el día 28 de mayo con información de Plan Nacional de Desarrollo, Plan Estratégico sectorial, Plan Estratégico Institucional, MIPG, etc</t>
  </si>
  <si>
    <t>En el mes de junio se realizan una serie de pruebas de la herramienta de planeación, ya que presentaba fallas en la asignación de dependencias por usuario. Adicionalmente, los usuarios mal asignados a las dependencias y los jefes de cada proceso fueron modificados con éxito de acuerdo al perfil dentro de la entidad. Estas fallas fueron reportadas a la empresa Its, y de manera inmediata se presta el soporte, modificando los archivos de raíz del sistema para que estas inconsistencias fueran resueltas.
Adicionalmente se realizan pruebas, verificando que los informes, de planes, dimensiones y políticas del MIPG y fuentes y recursos de financiación, funcione de manera correcta. Además, se inicia el cargue de los indicadores de la Oficina Asesora de Planeación, con el fin de verificar que el proceso que siguen los indicadores sea eficiente para todas las áreas.</t>
  </si>
  <si>
    <t>En el mes julio se realizan una serie de pruebas de la herramienta de planeación en el ambiente de pruebas y se encontró que la herramienta tenía fallas en la asignación de dependencias por usuario, los reportes estadísticos de los indicadores no son coherentes con la planeación anual y al final del año no arroja un resultado acumulado sino mes a mes, entre otras cosas.
 Las fallas de la herramienta fueron reportadas a la empresa Its. A partir de esto se sostuvieron reuniones con los técnicos en la Anla, se generaron los casos y la última reunión con la empresa ITS se sostuvo el día 30 de julio.
Se elabora una presentación con el avance mes a mes de la implementación de la herramienta GESPLAN desde que dicha herramienta se encontraba en ambiente de pruebas, hasta que se inicia el cargue de planes e indicadores dentro de la misma.</t>
  </si>
  <si>
    <t>En el mes de agosto se detectó un error en el reporte de los indicadores, debido a que los cálculos acumulados de los indicadores no se estaban realizando de manera correcta. Con la detección de esto, se realizó una reunión el día 15 de Agosto con la OAP, Tecnología y la empresa ITS
Se envían los respectivos minutogramas, formatos y requerimientos de base de datos para solucionar el inconveniente que sigue persistiendo, luego del envío de la aparente solución de los errores en los reportes de indicadores. 
aDEMÁS, Se presenta error en los servidores de la ANLA por lo cual no se permite visualizar el portal de pruebas, de manera idéntica al de producción, se envían evidencias al grupo de tecnología.</t>
  </si>
  <si>
    <t xml:space="preserve">En el mes de septiembre ITS nos envía la actualización del requerimiento solicitado por los cálculos en indicadores en la salida del reporte. De esta manera el área de tecnologías realiza el despliegue del mismo, y nos confirma su funcionamiento en el servidor de pruebas.
Se envía el formato de requerimiento a la empresa ITS con el requerimiento de base solucionar el inconveniente en la salida del reporte de indicadores, el cual sigue persistiendo, luego del envío de la aparente solución de los errores en los reportes de indicadores. 
Se elabora un archivo consolidado con todos los indicadores de las áreas de Comunicaciones, OAJ, SAF y Control Interno para realizar cargue masivo al servidor de pruebas de GESPLAN. De la misma manera se inicia con el cargue de los mismos.                                      </t>
  </si>
  <si>
    <t xml:space="preserve"> Mejorar la interacción con los actores internos y externos del proceso de licenciamiento ambiental</t>
  </si>
  <si>
    <t>Transversal MIPG</t>
  </si>
  <si>
    <t>SISTEMAS INTEGRADOS DE GESTIÓN</t>
  </si>
  <si>
    <t>Certificación de calidad obtenida</t>
  </si>
  <si>
    <t>Auditorías realizadas</t>
  </si>
  <si>
    <t># auditorias realizadas</t>
  </si>
  <si>
    <t>Reporte trimestral</t>
  </si>
  <si>
    <t>Indicador de reporte trimestral</t>
  </si>
  <si>
    <t>Indicador no se reporta en este mes</t>
  </si>
  <si>
    <t>Avance indicadores de gestión</t>
  </si>
  <si>
    <t>Avance indicadores de producto</t>
  </si>
  <si>
    <t>REPORTE AVANCE MENSUAL ENERO</t>
  </si>
  <si>
    <t>REPORTE AVANCE MENSUAL FEBRERO</t>
  </si>
  <si>
    <t>REPORTE AVANCE MENSUAL MARZO</t>
  </si>
  <si>
    <t>REPORTE AVANCE MENSUAL ABRIL</t>
  </si>
  <si>
    <t>REPORTE AVANCE MENSUAL MAYO</t>
  </si>
  <si>
    <t>REPORTE AVANCE MENSUAL JUNIO</t>
  </si>
  <si>
    <t>REPORTE AVANCE MENSUAL JULIO</t>
  </si>
  <si>
    <t>REPORTE AVANCE MENSUAL AGOSTO</t>
  </si>
  <si>
    <t>REPORTE AVANCE MENSUAL SEPTIEMBRE</t>
  </si>
  <si>
    <t>Pacto por Colombia 
Pacto por la equidad</t>
  </si>
  <si>
    <t>Sectores comprometidos con la sostenibilidad y la mitigación del cambio climático</t>
  </si>
  <si>
    <t>PROCESOS MISIONALES</t>
  </si>
  <si>
    <t>GESTIÓN DE PERMISOS Y TRÁMITES AMBIENTALES</t>
  </si>
  <si>
    <t>SIPTA</t>
  </si>
  <si>
    <t>Permisos</t>
  </si>
  <si>
    <t>Actos administrativos expedidos para resolver las solicitudes de evaluación de los permisos y trámites ambientales</t>
  </si>
  <si>
    <t># actos administrativos que resuelven solicitudes de permisos ambientales</t>
  </si>
  <si>
    <t>Conceptos técnicos emitidos para resolver las solicitudes de evaluación a permisos y trámites ambientales</t>
  </si>
  <si>
    <t># conceptos técnicos emitidos para resolver las solicitudes de evaluación a permisos y trámites ambientales</t>
  </si>
  <si>
    <t>SUBDIRECTOR(A) DE INSTRUMENTOS PERMISOS Y TRÁMITES AMBIENTALES</t>
  </si>
  <si>
    <t>Se gestiono 15 AA de la vigencia 2019 adicional 42 correspondientes a rezago 2018</t>
  </si>
  <si>
    <t>Adicional se gestiono 17 de la vigencia 2018</t>
  </si>
  <si>
    <t>El valor acumulado de AA corresponde a 71 de los cuales 56 se gestionaron en febrero
Adicionalmente se gestiono 1 solicitud de la vigencia 2018 y AA de EPD</t>
  </si>
  <si>
    <t>El valor acumulado de CT corresponde a 12 de enero y 56 de febrero</t>
  </si>
  <si>
    <t>35 Beneficios tributarios 
202 Prueba dinámica 
4 Permisos fuera de Licencia 
65 relacionados con diversidad biólogica 
2 SRS
10 VDI
4342 VUCE</t>
  </si>
  <si>
    <t>66 Beneficios tributarios 
294 Prueba dinámica 
5 Permisos fuera de Licencia 
69 relacionados con diversidad biólogica 
4 SRS</t>
  </si>
  <si>
    <t>100 Beneficios tributarios 
296 Prueba dinámica 
10 Permisos fuera de Licencia
2 Dirimir de competencia (se reportan este mes ya que fueron parametrizados para la subdirección a finales del mes de abril) 
110 relacionados con diversidad biólogica 
2 SRS
23 VDI
5849 VUCE</t>
  </si>
  <si>
    <t>129 Beneficios tributarios 
426 Prueba dinámica 
8 Permisos fuera de Licencia 
4 Dirimir Competencia
 114 relacionados con diversidad biólogica 
7 SRS</t>
  </si>
  <si>
    <t>204 Beneficios tributarios 
376 Prueba dinámica 
19 Permisos fuera de Licencia
3 Dirimir de competencia
148 Relacionados con diversidad biólogica
1 AER
 6 SRS
39 VDI
 7529 VUCE</t>
  </si>
  <si>
    <t>217 Beneficios tributarios 
571 Prueba dinámica 
15 Permisos fuera de Licencia 
6 Dirimir de competencia
149 relacionados con diversidad biólogica 
 6 SRS</t>
  </si>
  <si>
    <t>278 Beneficios tributarios 
454 Prueba dinámica 
27 Permisos fuera de Licencia
7 Dirimir de competencia
179 Relacionados con diversidad biólogica
2 AER
 8 SRS
48 VDI
 8826 VUCE</t>
  </si>
  <si>
    <t>287 Beneficios tributarios 
655 Prueba dinámica 
18 Permisos fuera de Licencia 
8 Dirimir de competencia
185 relacionados con diversidad biólogica 
 8 SRS
1 AER</t>
  </si>
  <si>
    <t xml:space="preserve">Diversidad Biologica	2,14%	 293 
Beneficios	3,70%	 508 
Prueba Dinámica	5,30%	 727 
VUCE	87,87%	 12.052 
Posconsumo	0,09%	 12 
PFL	0,32%	 54 
VDI	0,50%	 69 </t>
  </si>
  <si>
    <t>Diversidad Biologica	16,60%	 296 
Beneficios	23,89%	 426 
Prueba Dinámica	56,70%	 1.011 
VUCE	0,00%	 - 
Posconsumo	0,67%	 12 
PFL	2,13%	 38</t>
  </si>
  <si>
    <t>Diversidad Biológica	2,29%	 358 
Beneficios	3,53%	 551 
Prueba Dinámica	5,37%	 838 
VUCE	87,78%	 13.702 
Posconsumo	0,10%	 16 
PFL	0,40%	 63 
VDI	0,53%	 82</t>
  </si>
  <si>
    <t xml:space="preserve">Diversidad Biológica	17,66%	 357 
Beneficios	22,65%	 458 
Prueba Dinámica	56,92%	 1.151 
Posconsumo	0,79%	 16 
PFL	1,98%	 40 </t>
  </si>
  <si>
    <t>Visitas técnicas de evaluación realizadas</t>
  </si>
  <si>
    <t># de visitas de evaluación realizadas</t>
  </si>
  <si>
    <t>Corresponde a los expediente PAF0003-00-2017, POC0076-00, CSP0001-00-2019, PAF0001-00-2019, AFC0303-00</t>
  </si>
  <si>
    <t>Ver Excel reporte visitas en carpeta permisos mayo</t>
  </si>
  <si>
    <t>Ver soporte en L:\CARPETAS_AREAS\SUBDIRECCION_INSTRUMENTOS_PERMISOS_Y_ TRAMITES_ AMBIENTALES\PLAN_DE_ACCION\2019\3 Permisos\03. Marzo\Visitas</t>
  </si>
  <si>
    <t>D:\OneDrive - ANLA - Autoridad Nacional de Licencias Ambientales\PAI 2019\3 Permisos\07 julio</t>
  </si>
  <si>
    <t>D:\OneDrive - ANLA - Autoridad Nacional de Licencias Ambientales\PAI 2019\3 Permisos\08 Agosto</t>
  </si>
  <si>
    <t>Porcentaje de reprocesos por verificación de documentos inicial</t>
  </si>
  <si>
    <t># de devoluciones por verificación de documentos inicial/# total de solicitudes</t>
  </si>
  <si>
    <t>De 256 VDI que ingresaron  82 tuvieron requerimiento de Información</t>
  </si>
  <si>
    <t>Este indicador es de seguimiento trimestral, en este sentido el siguiente reporte será en el mes de junio</t>
  </si>
  <si>
    <t>Promedio de la reducción porcentual de los contaminantes emitidos por la flota de vehículos pesados al implementar la normativa vigente (Resolución 910 del 2008, modificada por la Resolución 1111 del 2013, o Resolución 2604 del 2009)</t>
  </si>
  <si>
    <t>x ̅=1/n ∑_i^n▒x_i 
x ̅: Promedio de la reducción en porcentaje de los contaminantes emitidos por la flota de vehículos pesados al implementar la normativa vigente.
n: Cantidad de contaminantes
x_i: Reducción en porcentaje del contaminante i emitido por la flota de vehículos pesados al implementar la normativa vigente
i: Monóxido de Carbono (CO), Hidrocarburos, Óxidos de Nitrógeno (NOx), Material Particulado (MP), Metano (CH4), Hidrocarburos diferentes del Metano (HCNM)
x_i=(m_(i,anterior a normativa)-m_(i,con normativa))/m_(i,anterior a normativa) 
m_(i,anterior a normativa): Masa en g/kWh del contaminante i de la flota si ésta solamente cumpliera con los estándares de emisiones anteriores a la Resolución 910 del 2008
m_(i,con normativa): Masa en g/kWh del contaminante i de la flota con los datos de CEPD aprobados
m_(i,anterior a normativa)=z∙l_i
m_(i,con normativa)=∑_j^y▒〖m_(i,j) z_j 〗
z: Cantidad de vehículos importados en la vigencia
l_i: Límite de emisiones para el contaminante i descrito en la normativa anterior a la actual
j: CEPD
y: Cantidad de CEPD utilizados en la vigencia
m_(i,j): Masa en g/kWh del contaminante i que se encuentra en el CEPD j
z_j: Cantidad de vehículos importados por CEPD j 
Normativa anterior: Resolución 1048 de 1999</t>
  </si>
  <si>
    <t>Este indicador es de seguimiento semestral, por lo tanto se reportará con corte junio</t>
  </si>
  <si>
    <t>Promedio de la reducción porcentual de los contaminantes emitidos por la flota de vehículos livianos y motocicletas  al implementar la normativa vigente (Resolución 910 del 2008, modificada por la Resolución 1111 del 2013, o Resolución 2604 del 2009)</t>
  </si>
  <si>
    <t>x ̅=1/n ∑_i^n▒x_i 
x ̅: Promedio de la reducción en porcentaje de los contaminantes emitidos por la flota de vehículos livianos y motocicletas al implementar la normativa vigente.
n: Cantidad de contaminantes
x_i: Reducción en porcentaje del contaminante i emitido por la flota de vehículos livianos y motocicletas al implementar la normativa vigente
i: Monóxido de Carbono (CO), Hidrocarburos, Óxidos de Nitrógeno (NOx), Material Particulado (MP), Metano (CH4), Hidrocarburos diferentes del Metano (HCNM)
x_i=(m_(i,anterior a normativa)-m_(i,con normativa))/m_(i,anterior a normativa) 
m_(i,anterior a normativa): Masa en g/kWh del contaminante i de la flota si ésta solamente cumpliera con los estándares de emisiones anteriores a la Resolución 910 del 2008
m_(i,con normativa): Masa en g/kWh del contaminante i de la flota con los datos de CEPD aprobados
m_(i,anterior a normativa)=z∙l_i
m_(i,con normativa)=∑_j^y▒〖m_(i,j) z_j 〗
z: Cantidad de vehículos importados en la vigencia
l_i: Límite de emisiones para el contaminante i descrito en la normativa anterior a la actual
j: CEPD
y: Cantidad de CEPD utilizados en la vigencia
m_(i,j): Masa en g/kWh del contaminante i que se encuentra en el CEPD j
z_j: Cantidad de vehículos importados por CEPD j 
Normativa anterior: Resolución 1048 de 1999</t>
  </si>
  <si>
    <t>Actos administrativos expedidos para resolver el seguimiento de los permisos y trámites ambientales</t>
  </si>
  <si>
    <t>Conceptos técnicos emitidos para resolver el seguimiento a permisos y trámites ambientales</t>
  </si>
  <si>
    <t># conceptos técnicos emitidos para resolver las solicitudes de seguimiento a permisos y trámites ambientales</t>
  </si>
  <si>
    <t>Para el mes de enero se gestiono 16 AA de rezago del año 2018: 3 AFC, 5 relacionados con diversidad biológica, 8 de posconsumo (SRS,SAC)</t>
  </si>
  <si>
    <t>Para el mes de enero se gestiono 2 CT de rezago de 2018: Corresponde al expediente AFC0302-00</t>
  </si>
  <si>
    <t>En el mes de febrero se gestiono 44 AA rezago de la vigencia 2018</t>
  </si>
  <si>
    <t>En el mes de febrero se gestionaron 8 CT correspondientes a rezago de 2018</t>
  </si>
  <si>
    <t>2 Permisos fuera de Licencia 
1 GDP
2 GDP Nuevos ingresados adicionales al seguimiento programado (PDP0001-00-2019, GDP0182-00)
1 IDB
1 SAC
1 URB</t>
  </si>
  <si>
    <t>12 Permisos fuera de Licencia 
 8 relacionados con diversidad biólogica 
8 GDP
2 GDP Nuevos ingresados adicionales al seguimiento programado (PDP0001-00-2019, GDP0182-00)
7 RJD
3 SAC
4 URB</t>
  </si>
  <si>
    <t>11 Permisos fuera de Licencia 
11 GDP
3 GDP Nuevos ingresados adicionales al seguimiento programado (PDP0001-00-2019, GDP0182-00, GDP0183-00)
11 IDB
5 RJD
3 SAC
1 SRS
3 URB</t>
  </si>
  <si>
    <t>13 Permisos fuera de Licencia 
  21 relacionados con diversidad biólogica 
20 GDP
 GDP Nuevos ingresados adicionales al seguimiento programado (PDP0001-00-2019, GDP0182-00, GDP0183-00)
13 RJD
3 SAC
5 SRS
 8 URB</t>
  </si>
  <si>
    <t xml:space="preserve"> 18 Permisos fuera de Licencia 
35 GDP
 3 GDP Nuevos ingresados adicionales al seguimiento programado (PDP0001-00-2019, GDP0182-00, GDP0183-00)
27 IDB
8 RJD
5 SAC
10 SRS
10 URB</t>
  </si>
  <si>
    <t>25 Permisos fuera de Licencia 
 41 Relacionados con diversidad biólogica 
37 GDP
 3 GDP Nuevos ingresados adicionales al seguimiento programado (PDP0001-00-2019, GDP0182-00, GDP0183-00)
24 RJD  
4 SAC
22 SRS
  16 URB</t>
  </si>
  <si>
    <t> 29 Permisos fuera de Licencia 
38 GDP
 3 GDP Nuevos ingresados adicionales al seguimiento programado (PDP0001-00-2019, GDP0182-00, GDP0183-00)
41 IDB
30 RJD
5 SAC
22 SRS
16 URB</t>
  </si>
  <si>
    <t>38 Permisos fuera de Licencia 
   59 Relacionados con diversidad biólogica 
51 GDP
 3 GDP Nuevos ingresados adicionales al seguimiento programado (PDP0001-00-2019, GDP0182-00, GDP0183-00)
44 RJD  
5 SAC
38 SRS
  20 URB</t>
  </si>
  <si>
    <t xml:space="preserve">Posconsumo	38%	 233 
Diversidad Biologica	44%	 270 
Permisos Fuera de Licencia	18%	 107 </t>
  </si>
  <si>
    <t>Posconsumo	  45%  	 272
Diversidad Biologica	  16%	   96
Permisos Fuera de Licencia	  9%	  57</t>
  </si>
  <si>
    <t>Posconsumo	38%		311
Diversidad Biológica	44%		103
Permisos Fuera de Licencia	18%		62</t>
  </si>
  <si>
    <t>Posconsumo	64%	317
Diversidad Biologica	21%	107
Permisos Fuera de Licencia	15%	74</t>
  </si>
  <si>
    <t xml:space="preserve">Visitas técnicas de seguimiento realizadas </t>
  </si>
  <si>
    <t># visitas de seguimiento realizadas</t>
  </si>
  <si>
    <t>Porcentaje de cumplimiento de  la meta de gestión de Baterías Plomo Acido</t>
  </si>
  <si>
    <t>Sumatoria total de BUPAS validadas/ sumatoria total de BUPAS de meta de gestión</t>
  </si>
  <si>
    <t>Este indicador es de seguimiento anual, por lo tanto se reportará con corte 31 de diciembre</t>
  </si>
  <si>
    <t>Porcentaje de cumplimiento de la meta de gestión de Bombillas</t>
  </si>
  <si>
    <t>Sumatoria total de bombillas validadas/ sumatoria total de bombillas de meta de gestión</t>
  </si>
  <si>
    <t>Porcentaje de cumplimiento de la meta de gestión de llantas</t>
  </si>
  <si>
    <t>Sumatoria total de llantas validadas/ sumatoria total de llantas de meta de gestión</t>
  </si>
  <si>
    <t>Porcentaje de cumplimiento de la meta de gestión de pilas y/o  acumuladores</t>
  </si>
  <si>
    <t>Sumatoria total de pilas y/o acumuladoras validadas/ sumatoria total de pilas y/o acumuladoras de meta de gestión</t>
  </si>
  <si>
    <t>Porcentaje de cumplimiento de la meta de gestión de computadores y/o perifericos validadas</t>
  </si>
  <si>
    <t>Sumatoria total de computadores y/o perifericos validadas/ sumatoria total de computadores y/o perifericos de meta de gestión</t>
  </si>
  <si>
    <t>Gestión Regional</t>
  </si>
  <si>
    <t>GESTIÓN DE INSTRUMENTOS</t>
  </si>
  <si>
    <t>N/A</t>
  </si>
  <si>
    <t>Instrumentos</t>
  </si>
  <si>
    <t>Instrumentos técnicos de apoyo ambiental externo elaborados</t>
  </si>
  <si>
    <t># de instrumentos técnicos de apoyo ambiental externo elaborados</t>
  </si>
  <si>
    <t>Instrumentos de gestión y control optimizados</t>
  </si>
  <si>
    <t># propuestas de instrumentos elaborados</t>
  </si>
  <si>
    <t>Adicional a los instrumentos proyectados se realizó el apoyo al proyecto normativo de la modificación del artículo 5 de la Resolución 1402 de 2018.</t>
  </si>
  <si>
    <t>Se encuentra en actualización el procedimiento: Seguimiento a instrumentos de manejo y control ambiental (SL-PR-1). Se realizaron 2 reuniones en enero y se soporta con las actas correspondientes</t>
  </si>
  <si>
    <t xml:space="preserve">Durante la vigencia febrero 2019 se realizó actualización en el formato de CT de seguimiento, para lo cual se realizaron las siguientes actividades:
Reunión con coordinadores de la SES donde informaron la necesidad del ajuste al formato de CT
Reunión donde se socializó el ajuste solicitado y aprobación por parte de los coordinadores vía correo electrónico.
Publicación del procedimiento de seguimiento en la intranet con fecha 12 de febrero de 2019.
Socialización con técnicos y jurídicos de la SES de la actualización del formato de CT de seguimiento donde participaron mas de 300 profesionales.
El procedimiento de seguimiento se encuentra en actualización y modificación en general incluyendo VPI, SDE y oralidaes </t>
  </si>
  <si>
    <t>Externo: El avance de 34% reportado corresponde al promedio de avance desarrollado para los siguientes instrumentos: Anexo túneles 65% (INS0007-00-2018), TdR para DAA proyectos puntuales de infraestructura de transporte 70% (INS0013-00-2017), TdR para EIA dragados de profundización de los canales de acceso a puertos marítimos 65% (INS0016-00-2018), TdR para EIA de recuperación mejorada 9% (INS0008-00-2019), TdR para EIA de disposición de aguas mediante inyección 9% (INS0009-00-2019), Valoraciones económicas de referencia sector minero (recurso agua y aire) 10% (INS0047-00-2016) y Gestión para la adopción de la Guía para la definición de la TAD 80% (INS0006-00-2018).</t>
  </si>
  <si>
    <t>El avance de 5% reportado corresponde al promedio de avance desarrollado para los siguientes instrumentos: Procedimiento evaluación 2% (INS0010-00-2019), Manual de evaluación 10% (INS0025-00-2016), Manual de seguimiento 10% (INS0026-00-2016), Jerarquización de Impactos 2% (INS0045-00-2016), Estandarización de obligaciones mínimas 1% (INS0012-00-2019), Propuesta actualización manual de multas 14% (INS0004-00-2019), Propuesta preliminar para el análisis de los impactos acumulativos (sector minero) – Regionalización 9% (REG0012-00-2016) y Actualización matriz de seguimiento: sistematización de información CT relacionada con VE 9% (INS0004-00-2019).</t>
  </si>
  <si>
    <t>Externo: El avance de 38% reportado corresponde al promedio de avance desarrollado para los siguientes instrumentos: Anexo túneles 70% (INS0007-00-2018), TdR para DAA proyectos puntuales de infraestructura de transporte 70% (INS0013-00-2017), TdR para EIA dragados de profundización de los canales de acceso a puertos marítimos 70% (INS0016-00-2018), TdR para EIA de recuperación mejorada 20% (INS0008-00-2019), TdR para EIA de disposición de aguas mediante inyección 20% (INS0009-00-2019), Valoraciones económicas de referencia sector minero (recurso agua y aire) 20% (INS0047-00-2016) y Gestión para la adopción de la Guía para la definición de la TAD 70% (INS0006-00-2018).</t>
  </si>
  <si>
    <t>El avance de 24,4% reportado corresponde al promedio de avance desarrollado para los siguientes instrumentos: Procedimiento evaluación 17% (INS0010-00-2019), Procedimiento de seguimiento 100% (INS0006-00-2019), Estandarización de fichas de PMA y PSM 11% (INS0011-00-2019), Manual de evaluación 0% (INS0025-00-2016), Manual de seguimiento 0% (INS0026-00-2016), Jerarquización de Impactos 29% (INS0045-00-2016), Estandarización de obligaciones mínimas 11% (INS0012-00-2019), Propuesta actualización manual de multas 27% (INS0004-00-2019), Propuesta preliminar para el análisis de los impactos acumulativos (sector minero) – Regionalización 27% (REG0012-00-2016), Actualización matriz de seguimiento: sistematización de información CT relacionada con VE 33% (INS0004-00-2019), Y Lineamientos metodológicos para el índice de desempeño ambiental 13% (INS0013-00-2019).
Los soportes de gestión de cada instrumento, como: documentos consultados, actas de reuniones, elaboración de propuestas preliminares, etc. se encuentran en los respectivos expedientes.</t>
  </si>
  <si>
    <t>Externo: El avance de 43% reportado  de caracter cualitativo corresponde al promedio de avance desarrollado para los siguientes instrumentos: Anexo túneles 70% (INS0007-00-2018), TdR para DAA proyectos puntuales de infraestructura de transporte 70% (INS0013-00-2017), TdR para EIA dragados de profundización de los canales de acceso a puertos marítimos 70% (INS0016-00-2018), TdR para EIA de recuperación mejorada 20% (INS0008-00-2019), TdR para EIA de disposición de aguas mediante inyección 25% (INS0009-00-2019), TdR para EIA de Termoeléctricas (30%) Valoraciones económicas de referencia sector minero (recurso agua y aire) 30% (INS0047-00-2016) y Gestión para la adopción de la Guía para la definición de la TAD 70% (INS0006-00-2018). Adicionalmente se encuentra en desarrollo el instrumento Incorporar/resaltar la variable Cambio Climático en el licenciamiento ambiental</t>
  </si>
  <si>
    <t>Indicador Trimestral reporte con corte junio</t>
  </si>
  <si>
    <t>Externo: El avance de 47% reportado  de caracter cualitativo corresponde al promedio de avance desarrollado para los siguientes instrumentos: Anexo túneles 70% (INS0007-00-2018), TdR para DAA proyectos puntuales de infraestructura de transporte 70% (INS0013-00-2017), TdR para EIA dragados de profundización de los canales de acceso a puertos marítimos 70% (INS0016-00-2018), TdR para EIA de recuperación mejorada 30% (INS0008-00-2019), TdR para EIA de disposición de aguas mediante inyección 30% (INS0009-00-2019), TdR para EIA de Termoeléctricas (30%) Valoraciones económicas de referencia sector minero (recurso agua y aire) 40% (INS0047-00-2016) y Gestión para la adopción de la Guía para la definición de la TAD 70% (INS0006-00-2018). Adicionalmente se encuentra en desarrollo el instrumento Incorporar/resaltar la variable Cambio Climático en el licenciamiento ambiental</t>
  </si>
  <si>
    <t>El avance de 45% reportado corresponde al promedio de avance desarrollado para los siguientes instrumentos: Procedimiento evaluación 91% (INS0010-00-2019), Procedimiento de seguimiento 100% (INS0006-00-2019), Estandarización de fichas de PMA y PSM 44% (INS0011-00-2019), Manual de evaluación 0% (INS0025-00-2016), Manual de seguimiento 0% (INS0026-00-2016), Jerarquización de Impactos 43% (INS0045-00-2016), Estandarización de obligaciones mínimas 55% (INS0012-00-2019), Propuesta actualización manual de multas 50% (INS0004-00-2019), Propuesta preliminar para el análisis de los impactos acumulativos (sector minero) – Regionalización 30% (REG0012-00-2016), Actualización matriz de seguimiento: sistematización de información CT relacionada con VE 45% (INS0004-00-2019), Y Lineamientos metodológicos para el índice de desempeño ambiental 33% (INS0013-00-2019).
Los soportes de gestión de cada instrumento, como: documentos consultados, actas de reuniones, elaboración de propuestas preliminares, etc. se encuentran en los respectivos expedientes</t>
  </si>
  <si>
    <t>Externo: El avance de 49% reportado  de caracter cualitativo corresponde al promedio de avance desarrollado para los siguientes instrumentos: Anexo túneles 70% (INS0007-00-2018), TdR para DAA proyectos puntuales de infraestructura de transporte 70% (INS0013-00-2017), TdR para EIA dragados de profundización de los canales de acceso a puertos marítimos 70% (INS0016-00-2018), TdR para EIA de recuperación mejorada 30% (INS0008-00-2019), TdR para EIA de disposición de aguas mediante inyección 30% (INS0009-00-2019), TdR para EIA de Termoeléctricas (30%) Valoraciones económicas de referencia sector minero (recurso agua y aire) 40% (INS0047-00-2016) y Gestión para la adopción de la Guía para la definición de la TAD 70% (INS0006-00-2018). Adicionalmente se encuentra en desarrollo el instrumento Incorporar/resaltar la variable Cambio Climático en el licenciamiento ambiental</t>
  </si>
  <si>
    <t>No aplica reporte es trimestral</t>
  </si>
  <si>
    <t>Externo: El avance de 60% reportado corresponde al promedio de avance desarrollado para los siguientes instrumentos: 
1 Anexo túneles 70% (INS0007-00-2018), 
2 TdR para DAA proyectos puntuales de infraestructura de transporte 70% (INS0013-00-2017), 
3 TdR para EIA dragados de profundización de los canales de acceso a 4 puertos marítimos 70% (INS0016-00-2018),
5 TdR para EIA de recuperación mejorada 30% (INS0008-00-2019), 
6 TdR para EIA de disposición de aguas mediante inyección 50% (INS0009-00-2019), 
7 TdR para EIA de Termoeléctricas (50%) 
8 Valoraciones económicas de referencia sector minero (recurso agua y aire) 50% (INS0047-00-2016) 
9 Gestión para la adopción de la Guía para la definición de la TAD 70% (INS0006-00-2018). 
Adicionalmente se encuentra en desarrollo el instrumento Incorporar/resaltar la variable Cambio Climático en el licenciamiento ambiental</t>
  </si>
  <si>
    <t>No aplica reporte es trimestral reporte en corte de septiembre</t>
  </si>
  <si>
    <t xml:space="preserve">El porcentaje de avance con corte al mes de septiembre de 2019 es del 64%, el cual corresponde al promedio de avance ejecutado para los siguientes instrumentos externos:
1 Anexo de túneles. (85%)
2. DAA proyectos puntuales puertos y aeropuertos. (85%)
3 Anexo técnico ampliación aeropuertos internacionales con pistas en el mar. (30%)
4. Recuperación mejorada. (30%)
5. Reinyección. (30%)
6. Dragados de profundización acceso a puertos marítimos. (85%)
7. Termoeléctricas. (30%)
8. Valoraciones económicas de referencia sector minero (recurso agua y aire). (70%)
9. Guía para la definición de la tasa ambiental de descuento TAD. (85%)
10. DAA Hidroeléctricas.  (85%)
11. EIA Biomasa.  (85%)
12. EIA Exploración geotérmica.  (85%)
</t>
  </si>
  <si>
    <t>Oportunidad de mejora cambios menores - Aplicativo	100%
Actualización procedimiento de evaluación	100%
Oportunidad de mejora cambios menores - Criterios	95%
Estandarización y jerarquización de impactos	95%
Desmantelamiento y Abandono	90%
Estandarización de obligaciones mínimas	85%
Estandarización de Fichas PMA - PSM	65%
Periodicidad ICAs	60%
Lineamiento metodologico IDA	55%
Concepto Tecnico de Seguimiento	25%</t>
  </si>
  <si>
    <t>Solicitudes atendidas</t>
  </si>
  <si>
    <t># solicitudes de términos de referencia específicos atendidos</t>
  </si>
  <si>
    <t>TdR Específicos: Con corte a 31 de marzo de 2019, se han recibido 4 solicitudes de términos de referencia específicos: 1) TdR específicos introducción de organismos ornamentales marinos, 2) TdR específicos IDU, 3) TdR específicos glifosato y 4) TdR específicos vertimientos Doña Juana, de los cuales se reporta el 75% de avance para estos 4 instrumentos. 
De los 4 TdR específicos, sólo 1 ha sido entregado al usuario URIBE VEGA LARA Y URIBE HOSIE S.A.S. mediante radicación 2019031794-2-000 del 14 de marzo de 2019, el cual corresponde a TdR específicos introducción de organismos ornamentales marinos.</t>
  </si>
  <si>
    <t>TdR Específicos: Con corte a 30 de abril de 2019, se han recibido 4 solicitudes de términos de referencia específicos: 1) TdR específicos introducción de organismos ornamentales marinos, 2) TdR específicos IDU, 3) TdR específicos glifosato y 4) TdR específicos vertimientos Doña Juana, de los cuales se reporta el 75% de avance para estos 4 instrumentos. 
De los 4 TdR específicos, sólo 1 ha sido entregado al usuario URIBE VEGA LARA Y URIBE HOSIE S.A.S. mediante radicación 2019031794-2-000 del 14 de marzo de 2019, el cual corresponde a TdR específicos introducción de organismos ornamentales marinos.
A continuación se describe el avance de los 3 TdR que a la fecha no han sido remitidos al usuario final (interno o externo):
2) TdR específicos IDU: Estos términos de referencia tienen un avance del 90%, equivalente a la construcción conjunta SES- SIPTA de los TdR y la mesa de trabajo con PNN, a la fecha la ANLA s encuentra a la espera del concepto de PNN sobre el proyecto, lo cual es de vital importancia para la generación de los TdR en mención.
3) TdR específicos glifosato: Estos términos de referencia tienen un avance del 90%, y Estos términos de referencia se encuentran en fase de validación por parte de la Oficina Asesora Jurídica de la ANLA.
4) TdR específicos vertimientos Doña Juana: Estos términos de referencia tienen un avance del 90%, toda vez que el grupo de infraestructutura solicitó tiempo para revisar una posible oportunidad de mejora en relación con los términos relacionados con el tema.
La información sobre avances de estos TdR, se encuentran disponibles para consulta en los expedientes INS0011-00-2018 e INS0003-00-2019.</t>
  </si>
  <si>
    <t xml:space="preserve">TdR Específicos: Con corte a 30 de mayo de 2019, se han recibido 10 solicitudes de términos de referencia específicos de 8 proyectadas, lo cuales tienen un avance cualitativo del 98% en su desarrollo: 
TdR específicos introducción de organismos ornamentales marinos
TdR específicos IDU
TdR específicos glifosato
TdR específicos vertimientos Doña Juana
TdR Específicos introducción  y comercialización de  Orius Insidiosus (Insecto) Biobest
TdR Específicos introducción  y comercialización de  Phytoseiulus permisimilis (ácaro) Biobest (Ph)
TdR Específicos introducción  y comercialización de Neoseiulus californicus (ácaro)  Biobest
TdR Específicos introducción  y comercialización de Amblyseius limonicus (ácaro)    Biobest
TdR Específicos para perforación exploratoria de hidrocarburos Off Shore (alta Guajira) REPSOL.
Ampliación aeropuerto de Buenaventura (Dirimir conflicto de competencias)
De los 10 TdR específicos, 3 estan en 100% 
</t>
  </si>
  <si>
    <t>Respuesta a las solicitudes de Términos de Referencia Específicos
Con corte a 30 de junio de 2019, se han recibido 12 solicitudes de términos de referencia específicos de 8 proyectadas, los cuales tienen un avance cualitativo del
 97% en su desarrollo:
1. TdR específicos introducción de organismos ornamentales marinos: enviados al usuario 100%
2.TdR específicos IDU: enviados al usuario 100%
3.TdR específicos glifosato: 95% se encuentran en revisión de la OAJ
4.TdR específicos vertimientos Doña Juana: 100% enviados al grupo de trabajo interno de infraestructura para su remisión a la UAESP.
5 TdR Específicos introducción  y comercialización de  Orius Insidiosus (Insecto) Biobest: Se encuentran en un estado de avance en la elaboración del 90% y fueron remitidos a la DBBSE del MADS para validación y pronunciamiento en conjunto con el comite de especies invasoras.
6. TdR Específicos introducción  y comercialización de  Phytoseiulus permisimilis (ácaro) Biobest (Ph): Enviados al usuario el 26/06/2019.100%
7. TdR Específicos introducción  y comercialización de Neoseiulus californicus (ácaro)  Biobest:  Enviados al usuario el 26/06/2019.100%
8. TdR Específicos introducción  y comercialización de Amblyseius limonicus (ácaro)   Biobest: Se encuentran en un estado de avance en la elaboración del 90% y fueron remitidos a la DBBSE del MADS para validación y pronunciamiento en conjunto con el comite de especies invasoras.
9.TdR Específicos para perforación exploratoria de hidrocarburos Off Shore (alta Guajira) REPSOL. En proceso de revisión por parte del INVEMAR.95%
10. Ampliación aeropuerto de Buenaventura (Dirimir conflicto de competencias) 100%
11. TdR específicos zoocría -  Ambystama Mexicanum (anfibio) traslado Corpoamazonía: 10% de avance, se solicitará información al usuario para poder generar los términos solicitados.
12. TdR específicos para centros experimentales y de desarrollo agronómico de sustancias codificadas en fase de investigación y desarrollo:10% de avance, se solicitará información al usuario para poder generar los términos solicitados.
De los 12 TdR específicos, 5 están en 100%.  La solicitud realizada para la ampliación del aeropuerto de Buenaventura finalmente no resultó procedente para emitir TdR específicos, no obstante se respondió al usuario informando que primero se debía cerciorar de la competencia de la Autoridad Ambiental a donde se debía realizar la solicitud de TdR específicos.</t>
  </si>
  <si>
    <t xml:space="preserve">Respuesta a las solicitudes de Términos de Referencia Específicos
Con corte a 30 de julio de 2019, se han recibido 13 solicitudes de términos de referencia  específicos de 8 proyectadas, es preciso aclarar que la solicitud de buenaventura no genero TdR, por lo que no se cuenta en los avances
1. TdR específicos introducción de organismos ornamentales marinos: enviados al usuario 100%
2.TdR específicos IDU: enviados al usuario 100%
3.TdR específicos glifosato: 100% se encuentran en revisión de la OAJ
4.TdR específicos vertimientos Doña Juana: 100% enviados al grupo de trabajo interno de infraestructura para su remisión a la UAESP.
5 TdR Específicos introducción  y comercialización de  Orius Insidiosus (Insecto) Biobest: Se encuentran en un estado de avance en la elaboración del 90% y fueron remitidos a la DBBSE del MADS para validación y pronunciamiento en conjunto con el comite de especies invasoras.
6. TdR Específicos introducción  y comercialización de  Phytoseiulus permisimilis (ácaro) Biobest (Ph): Enviados al usuario el 26/06/2019.100%
7. TdR Específicos introducción  y comercialización de Neoseiulus californicus (ácaro)  Biobest:  Enviados al usuario el 26/06/2019.100%
8. TdR Específicos introducción  y comercialización de Amblyseius limonicus (ácaro)   Biobest: Se encuentran en un estado de avance en la elaboración del 90% y fueron remitidos a la DBBSE del MADS para validación y pronunciamiento en conjunto con el comite de especies invasoras.
9.TdR Específicos para perforación exploratoria de hidrocarburos Off Shore (alta Guajira) REPSOL. En proceso de revisión por parte del INVEMAR
10. Ampliación aeropuerto de Buenaventura (Dirimir conflicto de competencias) no se genero TdR
11. TdR específicos zoocría -  Ambystama Mexicanum (anfibio) traslado Corpoamazonía: 1
12. TdR específicos para centros experimentales y de desarrollo agronómico de sustancias codificadas en fase de investigación y desarrollo
13. TdR específicos para Planta de licuefacción de gas natural
De los 12 TdR específicos, 6 están en 100%.  </t>
  </si>
  <si>
    <t xml:space="preserve">Respuesta a las solicitudes de Términos de Referencia Específicos
Con corte a 30 de agosto 2019, se han recibido 13 solicitudes de términos de referencia  específicos de 8 proyectadas, es preciso aclarar que la solicitud de buenaventura no genero TdR, por lo que no se cuenta en los avances
1. TdR específicos introducción de organismos ornamentales marinos: enviados al usuario 100%
2.TdR específicos IDU: enviados al usuario 100%
3.TdR específicos glifosato: 100% 
4.TdR específicos vertimientos Doña Juana: 100% enviados al grupo de trabajo interno de infraestructura para su remisión a la UAESP.
5 TdR Específicos introducción  y comercialización de  Orius Insidiosus (Insecto) Biobest: Se encuentran en un estado de avance en la elaboración del 90% y fueron remitidos a la DBBSE del MADS para validación y pronunciamiento en conjunto con el comite de especies invasoras.
6. TdR Específicos introducción  y comercialización de  Phytoseiulus permisimilis (ácaro) Biobest (Ph): Enviados al usuario el 26/06/2019.100%
7. TdR Específicos introducción  y comercialización de Neoseiulus californicus (ácaro)  Biobest:  Enviados al usuario el 26/06/2019.100%
8. TdR Específicos introducción  y comercialización de Amblyseius limonicus (ácaro)   Biobest: Se encuentran en un estado de avance en la elaboración del 90% y fueron remitidos a la DBBSE del MADS para validación y pronunciamiento en conjunto con el comite de especies invasoras.
9.TdR Específicos para perforación exploratoria de hidrocarburos Off Shore (alta Guajira) REPSOL. En proceso de revisión por parte del INVEMAR
10. Ampliación aeropuerto de Buenaventura (Dirimir conflicto de competencias) no se genero TdR
11. TdR específicos zoocría -  Ambystama Mexicanum (anfibio) traslado Corpoamazonía
12. TdR específicos para centros experimentales y de desarrollo agronómico de sustancias codificadas en fase de investigación y desarrollo
13. TdR específicos para Planta de licuefacción de gas natural
De los 12 TdR específicos, 6 están en 100%.  </t>
  </si>
  <si>
    <t xml:space="preserve">Respuesta a las solicitudes de Términos de Referencia Específicos
Con corte a 30 de septiembre 2019, se han recibido 13 solicitudes de términos de referencia  específicos de 8 proyectadas, es preciso aclarar que la solicitud de buenaventura no genero TdR, por lo que no se cuenta en los avances
1. TdR específicos introducción de organismos ornamentales marinos: enviados al usuario 100%
2.TdR específicos IDU: enviados al usuario 100%
3.TdR específicos glifosato: 100% 
4.TdR específicos vertimientos Doña Juana: 100% enviados al grupo de trabajo interno de infraestructura para su remisión a la UAESP.
5 TdR Específicos introducción  y comercialización de  Orius Insidiosus (Insecto) Biobest: Se encuentran en un estado de avance en la elaboración del 90% y fueron remitidos a la DBBSE del MADS para validación y pronunciamiento en conjunto con el comite de especies invasoras.
6. TdR Específicos introducción  y comercialización de  Phytoseiulus permisimilis (ácaro) Biobest (Ph): Enviados al usuario el 26/06/2019.100%
7. TdR Específicos introducción  y comercialización de Neoseiulus californicus (ácaro)  Biobest:  Enviados al usuario el 26/06/2019.100%
8. TdR Específicos introducción  y comercialización de Amblyseius limonicus (ácaro)   Biobest: Se encuentran en un estado de avance en la elaboración del 90% y fueron remitidos a la DBBSE del MADS para validación y pronunciamiento en conjunto con el comite de especies invasoras.
9.TdR Específicos para perforación exploratoria de hidrocarburos Off Shore (alta Guajira) REPSOL. En proceso de revisión por parte del INVEMAR
10. Ampliación aeropuerto de Buenaventura (Dirimir conflicto de competencias) no se genero TdR
11. TdR específicos zoocría -  Ambystama Mexicanum (anfibio) traslado Corpoamazonía
12. TdR específicos para centros experimentales y de desarrollo agronómico de sustancias codificadas en fase de investigación y desarrollo
13. TdR específicos para Planta de licuefacción de gas natural
De los 12 TdR específicos, 7 están en 100%.  </t>
  </si>
  <si>
    <t>3.Gestión con Valores para el Resultado</t>
  </si>
  <si>
    <t>Racionalización de trámites</t>
  </si>
  <si>
    <t>Resultados de la racionalización cuantificados y difundidos</t>
  </si>
  <si>
    <t>Trámites racionalizados</t>
  </si>
  <si>
    <t># de trámites racionalizados</t>
  </si>
  <si>
    <t>En el periodo se avanzó en las acciones asi: Certificado de emisiones por prueba dinámica y visto bueno por protocolo de Montrea
1. Normativa: Se avanzó realizando un analisis de los puntos de odificacion de la resolucion que slio a conulta en 2018, se realizó reunion con el objetivo de establecer los lineamientos para el cmabio de resolucion y en recolectar la informacion de memoria jsutificativa de la resoluciones vigentes.
2. Tecnologica: se realizó recopilacion de la informacion asocida al modulo de modifcacion por parte del area tecnica.
Exclusión del IVA por Adquisición de Elementos, Maquinaria y Equipos Requeridos para Sistemas de Control y Monitoreo Ambiental. Se tiene identificados los cambios y se está trabajando en el borrador del proyecto de resolución Versión 1
Se tiene identificados los cambios y se está trabajando en el borrador del proyecto de resolución Versión 1
Se incluyó en la propuesta de agenda regulatoria, se inicio el proceso de revisión documental.
Revisar avance en soporte de carpeta en fileserver en detalle</t>
  </si>
  <si>
    <t>Se reporta avance en los tramites planeados para racionalizacion:
 1."Certificación de soluciones ambientales, biodegradabilidad y reutilización de bolsas plásticas." Se avanzó con el flujo de atencion del tramite, el formulario vital y parametrizacion. 
2. Certificación de Beneficio Ambiental por nuevas inversiones en proyectos de fuentes no convencionales de energía renovables – FNCER y gestión eficiente de la energía.Acción 1:Version ajustada de Resolucion según comentarios de OAJ MADS, Borrador de Memoria Justificativa
Avance: 70%
Acción 2: Se tiene avance de Fase 1 del proceso de Interoperabilidad UPME-ANLA y Avance de Fase 2 nuevo desarrrollo segun cambio normativo 
Avance: 46%
Avance consolidado 54%
Nota: el detalle del avance de la totalidad de los trámites que responden al 11% de avance se puede consultar en matriz de avance de PAI, disponible en el fileserver L:\CARPETAS_AREAS\SUBDIRECCION_INSTRUMENTOS_PERMISOS_Y_ TRAMITES_ AMBIENTALES\PLAN_DE_ACCION\2019\2 Instrumentos\Marzo\Instrumentos</t>
  </si>
  <si>
    <t>Se registra avance cualitativo enmarcadas en el desarrllo de acciones para lograr la racionalziación de los trámites propuestos: 
1. Visto Bueno por medio de la Ventanilla Única de Comercio Exterior - VUCE para la importación de equipos de refrigeración, aires acondicionados y filtros de agua.
2. Cetrería como medida de manejo para la fauna silvestre presente en áreas aeroportuarias y superficies de transición y aproximación de las aeronaves en Colombia.}
Nota: el detalle del avance de la totalidad de los trámites se puede consultar en matriz de avance de PAI, disponible en el fileserver L:\CARPETAS_AREAS\SUBDIRECCION_INSTRUMENTOS_PERMISOS_Y_ TRAMITES_ AMBIENTALES\PLAN_DE_ACCION\2019\2 Instrumentos\Marzo\Instrumentos</t>
  </si>
  <si>
    <t>Se registra avance cualitativo enmarcadas en el desarrllo de acciones para lograr la racionalziación de los trámites propuestos: 
Nota: el detalle del avance de la totalidad de los trámites se puede consultar en matriz de avance de PAI en excel mes de mayo.</t>
  </si>
  <si>
    <t>Se cuenta con un avance de gestión del 41% sobre 17 tramites potenciales para intervenir en terminos de racionalización en excel soporte se evidencia el detalle de cada uno.</t>
  </si>
  <si>
    <t>Se cuenta con un avance de gestión del 50 sobre 17 tramites potenciales para intervenir en terminos de racionalización en excel soporte se evidencia el detalle de cada uno. A 31 de julio se |</t>
  </si>
  <si>
    <t xml:space="preserve">Se cuenta con un avance de gestión del 55% sobre 17 tramites potenciales para intervenir en terminos de racionalización en excel soporte se evidencia el detalle de cada uno. </t>
  </si>
  <si>
    <t xml:space="preserve">Se cuenta con un avance de gestión del 62% sobre  los tramites potenciales para intervenir en terminos de racionalización en excel soporte se evidencia el detalle de cada uno. </t>
  </si>
  <si>
    <t>Porcentaje de reprocesos de solicitud de información adicional</t>
  </si>
  <si>
    <t># solicitudes de información adicional/#total de solicitudes</t>
  </si>
  <si>
    <t>Porcentaje de información adicional solicitada en los términos de referencia (EIA) relacionada con el área de influencia</t>
  </si>
  <si>
    <t># solicitudes de información adicional relacionada con el área de influencia / Número total de solicitudes</t>
  </si>
  <si>
    <t>Indicador de medicion programado a monitoreo trimestral</t>
  </si>
  <si>
    <t>Se realizó la construcción de la "Base de datos de proyectos con información adicional" y se hizo la revisión de 82 expedientes, de un total de 210.</t>
  </si>
  <si>
    <t xml:space="preserve">Se finalizó con la construcción de la "Base de datos de proyectos con información adicional" donde se hizo la revisión de 210 expedientes. Adicionalmente, se realizó un reporte de la consolidación (presentación) y se socializó con la profesional de la SES encargada de su implementación. </t>
  </si>
  <si>
    <t>Se llevó a cabo reunión entre SIPTA, SES y OAP (soporte acta de reunión 25/04/2019), con el fin de aclarar los siguientes temas:
1. Quien dilgiencia la matriz de Información Adicional; conclusión: la diligencia la SES y lo informa a la SIPTA para efectos del reporte de indicadores.
2. Periodicidad del informe de la SES; conclusión: periodicidad quincenal.
3. Periodicidad de medición según hoja de vida del indicador; conclusión: mensual.
4. Definición de responsable de ajsuta de la hoja de vida del indicador y reporte de indicadores; conclusión: Diana Lozano.</t>
  </si>
  <si>
    <t xml:space="preserve">La línea base de comparación, corresponde a un total de 126 autos de inicio durante el período 01/11/2017 al 01/11/2018, de los cuales se solicitó información adicional a 90, correspondiendo a un 71,4%.   el 0% corresponde a que no se dieron autos de inicio en el men, ni se realizaron audiencias de informacion adicional </t>
  </si>
  <si>
    <t>El 0% corresponde a que no se dieron autos de inicio en el mayo, ni se realizaron audiencias de informacion adicional.</t>
  </si>
  <si>
    <t>Se procede a plantear plan de mejoramiento</t>
  </si>
  <si>
    <t>Una vez replanteado el indicador y tomando como referencia la herramienta de control de términos, se evidencia en la gráfica una disminución significativa con respecto a la línea base 2018 ( 72%).  La disminución del 20% de la línea base se ve representada en la gráfica y se muestra en porcentaje acumulado, indicándome que estoy en el 55% acumulado, acercándose a la meta del 57%.</t>
  </si>
  <si>
    <t>Robustecer los sistemas de información en el proceso de licenciamiento y el acceso a la información</t>
  </si>
  <si>
    <t>GESTIÓN DE TECNOLOGÍAS, COMUNICACIONES Y SEGURIDAD DE LA INFORMACIÓN</t>
  </si>
  <si>
    <t>GESTIÓN DE DATOS E INFORMACIÓNM GEOGRÁFICA</t>
  </si>
  <si>
    <t>Geomática</t>
  </si>
  <si>
    <t>Eficacia en la transferencia del conocimiento</t>
  </si>
  <si>
    <t># preguntas correctas en la prueba/# total de preguntas</t>
  </si>
  <si>
    <t xml:space="preserve">Este indicador se contemplo trimestral por lo que debe reconsiderarse este dato hasta que se tenga claridad de las frecuencias de medición. </t>
  </si>
  <si>
    <t>Valoración porcentual de conocimiento adquirido mediante taller de aclaración de dudas Modelo 2182 de 2016. Expediente No GEO0001-00-2019</t>
  </si>
  <si>
    <t>Se Report bimensual, con corte  febrero fue un avance del 91% frente a la meta de 90% de eficiencia en los ejercicios de gestión del conocimiento</t>
  </si>
  <si>
    <t>Se evidencia que las sesiones de gestión del conocimiento con los sectores han sido de alto impacto. Ver matriz de tabulación de cuestionarios</t>
  </si>
  <si>
    <t xml:space="preserve">Indicador trimestral </t>
  </si>
  <si>
    <t>En lo corrido del año se han ejecutado 14 espacios para lograr medir el indicador de los cual 13 presentaron la prueba diseñada el promedio de los porcentajes de aprobacion de los 13 corresponde al 93% registrado en el indicador (ver soporte)</t>
  </si>
  <si>
    <t>No requiere reporte</t>
  </si>
  <si>
    <t>Se cuenta con cumplimiento con tres puntos porcentuales por encima de la meta</t>
  </si>
  <si>
    <t>Documentos de revisión de información geográfica de proyectos (evaluación)</t>
  </si>
  <si>
    <t># de documentos de revisión de información geográfica de proyectos</t>
  </si>
  <si>
    <t>El registro corresponden a 29 documentos de información geográfica revisados de los cuales:
*28 corresponden a VPD revisados de 23 allegados y 11 de rezago para un total de 34, gestionando el 82%.
* 1 de información adicional de 4 allegados a la entidad</t>
  </si>
  <si>
    <t>El registro corresponden a 72 documentos de información geográfica revisados de los cuales:
*60 corresponden a VPD revisados de 51 allegados y 17 de rezago para un total de 68, gestionando el 88%.
* 11 de información adicional de 14 allegados a la entidad, gestionando el 78%.</t>
  </si>
  <si>
    <t>El registro corresponden a 96 documentos de información geográfica revisados de los cuales:
*79 corresponden a VPD revisados de 62 allegados y 17 de rezago para un total de 79.
* 17 de información adicional de 18 allegados a la entidad.
Sistema Ágil  (Análisis y Gestión de Infromación de Licenciamiento Ambiental)</t>
  </si>
  <si>
    <t>El registro corresponden a 121 documentos de información geográfica revisados de los cuales:
*99 corresponden a VPD revisados de 82 allegados y 17 de rezago.
* 22 de información adicional de 26 allegados a la entidad.</t>
  </si>
  <si>
    <t>El registro corresponden a 139 documentos de información geográfica revisados de los cuales:
*108 corresponden a VPD revisados de 92 allegados y 17 de rezago.
* 31 de información adicional de 35 allegados a la entidad.</t>
  </si>
  <si>
    <t>El registro corresponden a 168 documentos de información geográfica revisados de los cuales:
*121 corresponden a VPD revisados de 108 allegados y 17 de rezago.
* 47 de información adicional de 53 allegados a la entidad.</t>
  </si>
  <si>
    <t>El registro corresponden a 192 documentos de información geográfica revisados de los cuales:
*149 corresponden a VPD revisados de 145 allegados y 17 de rezago.
* 52 de información adicional de 53 allegados a la entidad.</t>
  </si>
  <si>
    <t>El registro corresponden a 239 documentos de información geográfica revisados de los cuales:
*182 corresponden a VPD revisados de 174 allegados y 17 de rezago.
* 57 de información adicional de 57 allegados a la entidad.</t>
  </si>
  <si>
    <t>El registro corresponden a 257 documentos de información geográfica revisados de los cuales:
*200 corresponden a VPD revisados de 189 allegados y 17 de rezago.
* 57 de información adicional de 60 allegados a la entidad.</t>
  </si>
  <si>
    <t>Documentos de revisión de información geográfica de proyectos (seguimiento)</t>
  </si>
  <si>
    <t>22 ICAS revisadps de 53 allegados por usuarios y priorizados, gestionando el 43% de lo recibido en el mes</t>
  </si>
  <si>
    <t>161 ICAS revisados de 223 allegados por usuarios y priorizados, gestionando el 72% de lo recibido en el mes</t>
  </si>
  <si>
    <t>272 ICAS revisados de 292 allegados por usuarios y priorizados, gestionando el 93% de lo recibido en el mes
Fuente de datos: Sistema Ágil  (Análisis y Gestión de Infromación de Licenciamiento Ambiental)</t>
  </si>
  <si>
    <t>508 ICAS revisados de 600 allegados por usuarios y priorizados, gestionando el 84% de lo recibido en el mes.</t>
  </si>
  <si>
    <t>836 ICAS revisados de 905 allegados por usuarios y priorizados, gestionando el 92% de lo recibido en el mes.</t>
  </si>
  <si>
    <t>1113 ICAS revisados de 1204 allegados por usuarios y priorizados</t>
  </si>
  <si>
    <t>1485 ICAS revisados de 1660 allegados por usuarios y priorizados, gestionando el 89% de lo recibido en el mes.</t>
  </si>
  <si>
    <t>1857 ICAS revisados de 2064 allegados incluyendo rezago</t>
  </si>
  <si>
    <t xml:space="preserve">2198 ICAS revisados de 2368 allegados </t>
  </si>
  <si>
    <t>Regionalización</t>
  </si>
  <si>
    <t>Documentos técnicos de modelación regional de medios biótico, abiótico y social elaborados</t>
  </si>
  <si>
    <t># de documentos técnicos de modelación regional de medios biótico, abiótico y social elaborados</t>
  </si>
  <si>
    <t>´0</t>
  </si>
  <si>
    <t>Nodo regional de información operando</t>
  </si>
  <si>
    <t># de reportes de alertas regionales elaborados</t>
  </si>
  <si>
    <t>Se inicia con la elaboración de uno de los tres reportes de alertas el cual se denomina SZH Bajo San Jorge, Mojana y Directos Caribe. Para materializar cada reporte de alertas adelantan 7 actividades, lo que correspondería a 0.14 unidades por cada actividad. Para el reporte en mención se desarrolló la definición del área de estudio el día 8 de febrero (0.14) y la revisión de información de archivo (0.02). Estas actividades corresponden a 0.16 de avance para la actividad</t>
  </si>
  <si>
    <t>Se inicia con la elaboración de uno de los tres reportes de alertas el cual se denomina SZH Bajo San Jorge, Mojana y Directos Caribe. Para materializar cada reporte de alertas se adelantan 7 actividades, lo que correspondería a 0.14 unidades por cada actividad. Para el reporte en mención se desarrolló la definición del área de estudio el día 8 de febrero (0.14) y se culminó con la solicitud y descargue de información de archivo (aprox 600 anexos)(0.04). Estas actividades corresponden a 0.18 de avance para la actividad</t>
  </si>
  <si>
    <t>Reporte de alertas SZH Bajo San Jorge, Mojana y Directos Caribe. Para el reporte en mención se desarrolló la actividad 1 de definición del área de estudio el día 8 de febrero (0.14), se avanzó con la actividad  2 Revisión información primaria y secundaria interna y externa del área de estudio (SILA, GDB y externo) y gestión información interinstitucional (0.08), para la actividad 3 se finalizó con la sistematización para el componente hídrico superficial y ajustes del componente de 1% y compensaciones y se inicia con sistematización de componente de recurso hídrico subterráneo (0.0262) y para la actividad 4 se cuenta con avance para el medio biótico (0.005). Estas actividades corresponden a 0.25 de avance para este reporte de alertas. Análisis regional de impactos ambientales acumulativos en la bahía de Buenaventura por efecto de las actividades de dragado del subsector portuario.  La definición del área de estudio se realizó en reuniones el día 1 y 18 de marzo (0.10), se realizó la revisión de información, gestión información interinstitucional y se está adelantando la sistematización (0,21) y se esta en la elaboración del reporte con un avance de (0,19). Estas actividades corresponden a 0,50 de avance para este reporte de alertas. De acuerdo a lo anterior se reporta un avance de 0.75 para la actividad.</t>
  </si>
  <si>
    <r>
      <t xml:space="preserve">Reporte de alertas SZH Bajo San Jorge, Mojana y Directos Caribe. Para el reporte en mención se desarrolló la actividad 1 de definición del área de estudio el día 8 de febrero (0.14); se continua con la actividad 2) Revisión información y gestión información interinstitucional para lo cual se realizó la visita de presentación del instrumentos a cuatro corporaciones regionales  y se realizó gestión para agendar visita técnica de pares técnicos para el 12 y 13 (Carsucre y CSB) y 18 Cardique (0.10). Para la actividad 3 se finalizó la sistematización para el componente hídrico superficial; componente hídrico subterréneo; componente de 1% y compensaciones y se continua con la sistematización de componente de atmosfera y ruido. De igual manera se inicio con la sistematización de la información de aprovechamiento forestal al ser un tema identificado en la reuniones del equipo del medio biótico (0,11).  Para la actividad 4 se cuenta con avance para el medio biótico (0.010) con los temas de áreas protegidas y el insumo de fauna para conectividad; así mismo se inició con la elaboración del componente hídrico superfical. Estas actividades corresponden a 0,35 de avance para este reporte de alertas. 
Análisis regional de la bahía de Buenaventura.  La definición del área de estudio se realizó los días 1 y 18 de marzo (0.10). Se realizó la revisión de información, sistematización de información, y gestión información interinstitucional, también se llevó a cabo reunión interinstitucional el 25 de Abril, en la cual se gestionó información adicional. El día 22-05-2019 la información solicitada a la DIMAR fue allegada y se continua con su revisión para los ajustes solicitados al documento (0.23). La elaboración del reporte presenta un avance de 0,33 con la primera entrega del documento fisico-biótico; y se inició el capítulo del medio socioeconómico con la contratación de la profesional social el 27-05-2019. De igual manera, se realizó una reunión técnica de presentación y retroalimentación de los resultados con el grupo de infraestructrura de la SES para ser incluidos en el ajustes al documento (20-05-2019); por último se finalizó el proceso de revisión del documento entregado y se  realizaron dos reuniones de retroalimentación y lineamientos para el ajuste al documento (27-05-2019 y 29-05-2019)(0.10). Estas actividades corresponden a 0,77 de avance para este reporte de alertas. 
Análisis regional para la cuenca alta del río Lebrija, cuenca del río Cucutilla y cuenca alta del río Chitagá.
Para el reporte se desarrollo la actividad 1) </t>
    </r>
    <r>
      <rPr>
        <i/>
        <sz val="9"/>
        <color theme="1"/>
        <rFont val="Calibri"/>
        <family val="2"/>
        <scheme val="minor"/>
      </rPr>
      <t>definición del área de estudio</t>
    </r>
    <r>
      <rPr>
        <sz val="9"/>
        <color theme="1"/>
        <rFont val="Calibri"/>
        <family val="2"/>
        <scheme val="minor"/>
      </rPr>
      <t xml:space="preserve">  se desarrollo el día 22 de mayo de 2019 y se afinó a partir de las revisiones del medio biótico y del componente hídrico (0.14). Se inició la actividad </t>
    </r>
    <r>
      <rPr>
        <i/>
        <sz val="9"/>
        <color theme="1"/>
        <rFont val="Calibri"/>
        <family val="2"/>
        <scheme val="minor"/>
      </rPr>
      <t>2) Revisión información y gestión información interinstitucional</t>
    </r>
    <r>
      <rPr>
        <sz val="9"/>
        <color theme="1"/>
        <rFont val="Calibri"/>
        <family val="2"/>
        <scheme val="minor"/>
      </rPr>
      <t xml:space="preserve">  con la identificación de la información a solicitar a las Corporaciones relacionadas con el medio biótico, recurso hídrico superficial y subterráneo y atmosférico y la remisión de oficio a Corpornor (0.005). Estas actividades corresponden a 0,145 de avance para este reporte de alertas. 
De acuerdo con lo anterior se reporta un avance de 1,27 para el indicador.</t>
    </r>
  </si>
  <si>
    <t>Reporte de alertas SZH Bajo San Jorge, Mojana y Directos Caribe. Para el reporte en mención se desarrolló la actividad 1 de definición del área de estudio  (0.14); se continua con la actividad 2) Revisión información y gestión información interinstitucional para lo cual se realizó oficio de alcance de solicitud de información con base en las reuniones realizadas en CARSUCRE y CSB. De igual manera, se esta revisando la información entregada por las Corporaciones en las visitas de pares técnicos. Asimismo se adelanto la gestión para el memorando de entidimiento ANLA-CORPOMOJANA para revisión de contratos, requerido para la gestión de información de esta Corporación (0,118). Para la actividad 3 se finalizó con la sistematización de los componentes del medio abiótico y biótico (0.14).   Para la actividad 4 se cuenta con avances parciales en cada uno de los omponentes que se relacionan con el procesamiento de la información interna y de la información secundaria entregada hasta la fecha las corporaciones (0,23). En relación con el medio socioeconómico no se presenta avance ya que la profesional desinga se encuentra con dedicación completa en  la elaboración de otro reporte. Estas actividades corresponden al 0,42 de avance para este reporte de alertas. 
Análisis regional de la bahía de Buenaventura.  La definición del área de estudio se realizó los días 1 y 18 de marzo (0.10). Se realizó la revisión de información, sistematización de información, y gestión información interinstitucional, también se llevó a cabo reunión interinstitucional el 25 de Abril, en la cual se gestionó información adicional (0.25). La elaboración del reporte presenta un avance de (0,35) con una entrega del documento con los capítulos establecidos. De igual manera, se realizó una reunión técnica de presentación y retroalimentación de los resultados con el grupo de infraestructrura de la SES para ser incluidos en el ajuste al documento; también se llevó a cabo el proceso de revisión del documento entregado y se realizaron cinco reuniones de retroalimentación y lineamientos para el ajuste del mismo (0.10). Respecto al ajuste del documento se realizó la entrega del documento ajustado para revisión el día 27-06-2019 (0,10). Estas actividades corresponden al 0,90 de avance para este reporte de alertas. 
Análisis regional para la cuenca alta del río Lebrija, cuenca del río Cucutilla y cuenca alta del río Chitagá. Para el reporte se desarrollo la actividad 1) definición del área de estudio  se desarrollo el día 22 de mayo de 2019 y se afinó a partir de las revisiones del medio biótico y del componente hídrico (0.14). Se inició la actividad 2) Revisión información y gestión información interinstitucional  con la identificación de la información a solicitar a las Corporaciones, con la visita y gestión de información con CORPONOR. De otro lado, aunque con CDMB se buscó gestionar la información con la inspectora regional, se decidió realizar al reunión de presentación del instrumento y gestión de información para contextualizar el alcance del estudio, por lo tanto, se proyecto oficio para la solicitud de un espacio de reunión. (0.029). Asimismo se continua con la la revisión y procesamiento de información (0.0029), sin embargo en el componente hídrico superficial y socioeconómico no se ha dado inicio ya que las profesionales desingadas se encuentran con dedicación completa en la elaboración de otro reporte. Estas actividades corresponden a 0,17 de avance para este reporte de alertas. 
De acuerdo con lo anterior se reporta un avance de 1,50 para el indicador.</t>
  </si>
  <si>
    <t>Reporte de alertas SZH Bajo San Jorge, Mojana y Directos Caribe. Para el reporte en mención se desarrolló la actividad 1 de definición del área de estudio (0.14); De la actividad 2) se encuentra pendiente la respuesta de la solicitud a contratos del memorando de entendimiento ANLA-CORPOMOJANA, requerido para la gestión de información de esta Corporación (0,118). Para la actividad 3, se finalizó con la sistematización de los componentes del medio abiótico y biótico y se avanzó con el medio socioeconómico (0,16).  Para la actividad 4 se encuentran en desarrollo del análisis regional en cada uno de los componentes (0,076). Estas actividades corresponden al 0,498 de avance para este reporte de alertas. 
Análisis regional de la bahía de Buenaventura.  La definición del área de estudio se realizó los días 1 y 18 de marzo (0.10). Se realizó la revisión de información, sistematización de información, y gestión información interinstitucional, también se llevó a cabo reunión interinstitucional el 25 de abril, en la cual se gestionó información adicional (0.25). La elaboración del reporte presenta un avance de (0,35) con una entrega del documento con los capítulos establecidos. De igual manera, se realizó una reunión técnica de presentación y retroalimentación de los resultados con el grupo de infraestructura de la SES para ser incluidos en el ajuste al documento; también se llevó a cabo el proceso de revisión del documento entregado y se realizaron cinco reuniones de retroalimentación y lineamientos para el ajuste del mismo (0.10). Respecto al ajuste del documento se realizó la entrega del documento ajustado para revisión el día 27-06-2019 (0,10). Para la revisión y ajuste final se realizó la reunión de los resultados al Director de ANLA y Subdirector de SIPTA, el día 9 y 18 de julio de 2019: de igual manera se realizó una presentación de los resultados a la Viceministra de Ambiente el viernes 19 de julio y el 23 de julio se realizó una reunión de presentación y retroalimentación de resultados con las entidades SINA en la ciudad de Buenaventura 0,007. Se encuentra pendiente la finalización de la revisión y ajuste final al documento. Estas actividades corresponden al 0,97 de avance para este reporte de alertas. 
Análisis regional para la cuenca alta del río Lebrija, cuenca del río Cucutilla y cuenca alta del río Chitagá. Para el reporte se desarrolló la actividad 1) definición del área de estudio el día 22 de mayo de 2019, sin embargo, a partir de las visitas a CORPONOR y CDMB se redelimitó y se amplió el área inicial; lo que conllevó a incluir una actividad de medición adicional al reporte relacionada con la gestión documental en archivo y sistematización de expedientes (0.14). Para la actividad 2) se cumplió con gestión información interinstitucional, sobre lo cual queda pendiente alguna remisión de información solicitada a las Corporaciones. Asimismo, se inició el 26 de julio, la gestión de archivo para la solicitud de anexos necesarios para la sistematización (0,059).  Para la actividad 3, se reporta el avance en revisión de información secundaria, ya que la actividad de sistematización de expediente iniciará al partir del 9 de agosto, cuando se finalizará la gestión de archivo. Estas actividades corresponden a 0,0133 de avance para este reporte de alertas. 
De acuerdo con lo anterior se reporta un avance de 1,68 para el indicador.</t>
  </si>
  <si>
    <r>
      <rPr>
        <b/>
        <sz val="9"/>
        <color theme="1"/>
        <rFont val="Calibri"/>
        <family val="2"/>
        <scheme val="minor"/>
      </rPr>
      <t>Reporte de alertas SZH Bajo San Jorge, Mojana y Directos Caribe.</t>
    </r>
    <r>
      <rPr>
        <sz val="9"/>
        <color theme="1"/>
        <rFont val="Calibri"/>
        <family val="2"/>
        <scheme val="minor"/>
      </rPr>
      <t xml:space="preserve"> Para el reporte en mención se desarrolló la actividad 1 de definición del área de estudio  (0.14); 2) En cuanto a la revisión información y gestión información interinstitucional, sólo se encuentra pendiente la remisión de información de CORPOMOJANA. Para esto se remitió oficio a CORPOMOJANA solicitando la información de esta Corporación, ya que no se recomendó desde el área jurídica  de ANLA el memorando de entendimiento por la necesidad puntual de la ANLA de información (0,118). Para la actividad 3 se finalizó con la sistematización de los medios (0,17).  Para la actividad 4 se finalizaron los componentes: aire, ruido, recurso hidrico superficial y subtérraneo, y valoración económica. Se encuentra en desarrollo el medio biótico y el medio socioeconómico. De igual manera se realizó reunión de integralidad e identificación de VEC para el análisis de impactos acumualativos, y se encuentra en el desarrollo este análisis (0,12). Respecto a la actividad 5 se realizó revisión de los documentos por componente entregados a la fecha y se generaron las observaciones para ajuste (0,10). Estas actividades corresponden al 0,54 de avance para este reporte de alertas. 
</t>
    </r>
    <r>
      <rPr>
        <b/>
        <sz val="9"/>
        <color theme="1"/>
        <rFont val="Calibri"/>
        <family val="2"/>
        <scheme val="minor"/>
      </rPr>
      <t>Análisis regional de la bahía de Buenaventura.</t>
    </r>
    <r>
      <rPr>
        <sz val="9"/>
        <color theme="1"/>
        <rFont val="Calibri"/>
        <family val="2"/>
        <scheme val="minor"/>
      </rPr>
      <t xml:space="preserve">  La definición del área de estudio se realizó los días 1 y 18 de marzo (0.10). Se realizó la revisión de información, sistematización de información, y gestión información interinstitucional, también se llevó a cabo reunión interinstitucional el 25 de Abril, en la cual se gestionó información adicional (0.25). La elaboración del reporte presenta un avance de (0,35) con la entrega del documento con los capítulos establecidos. De igual manera,  se realizaron cinco reuniones de retroalimentación y lineamientos para el ajuste del mismo (0.10). Respecto al ajuste del documento se realizó la entrega del documento ajustado para revisión el día 27-06-2019 (0,10). Para la revisión y ajuste final se realizó la reunión de los resultados al Director de ANLA y Subdirector de SIPTA, el día 9 y 18 de julio de 2019 y se entregó revisión para ajustes finales. El día 3i de agosto se finaliza el documento. Estas actividades corresponden al 1,00 de avance para este reporte de alertas. 
</t>
    </r>
    <r>
      <rPr>
        <b/>
        <sz val="9"/>
        <color theme="1"/>
        <rFont val="Calibri"/>
        <family val="2"/>
        <scheme val="minor"/>
      </rPr>
      <t>Análisis regional para la cuenca alta del río Lebrija, cuenca del río Cucutilla y cuenca alta del río Chitagá</t>
    </r>
    <r>
      <rPr>
        <sz val="9"/>
        <color theme="1"/>
        <rFont val="Calibri"/>
        <family val="2"/>
        <scheme val="minor"/>
      </rPr>
      <t>. En  razón a la ampliación del área de estudip, se modificó su nombre a: Análisis regional para la cuenca alta del río Lebrija, cuenca del río Pamplonita  y cuenca del río Zulia. Para este reporte se desarrolló la actividad 1) definición del área de estudio el día 22 de mayo de 2019 y se afinó a partir de las revisiones del medio biótico y del componente hídrico, y la retroalimentación recibida en las visitas a las Corporaciones CDMB y CORPONOR (0.14). Se realizó la actividad 2) Revisión información y gestión información interinstitucional con la identificación de la información a solicitar a las Corporaciones,  la visita y gestión de información con CORPONOR y la  CDMB, y se gestionó la entrega del la mayor parte de la información solicitada. A raíz de la visita a las Corporaciones se requirió una revisión y nueva definición del área de estudio, por lo cual se incluyó la etapa de sistematización de expedientes, lo que requirió el descargue de anexos de 32 expedientes (0,11). El mes de agosto se inició la etapa de sistematización de expedientes por componente con un avance de 0,0386. Respecto a la actidad 4, se presentan avances en la elaboración del medio biótico (0,008). Estas actividades corresponden al 0,32 de avance para este reporte de alertas
De acuerdo con lo anterior se reporta un avance de 1,87 para el indicador.</t>
    </r>
  </si>
  <si>
    <t>Reporte de alertas SZH Bajo San Jorge, Mojana y Directos Caribe. Para el reporte en mención se desarrolló la actividad 1 de definición del área de estudio  (0.14); 2) En cuanto a la revisión información y gestión información interinstitucional, sólo se encuentra pendiente la remisión de información de CORPOMOJANA. Para esto se remitió oficio a CORPOMOJANA solicitando la información de esta Corporación, ya que no se recomendó desde el área jurídica  de ANLA el memorando de entendimiento por la necesidad puntual de la ANLA de información (0,118). Para la actividad 3 se finalizó con la sistematización de los medios (0,17).  Para la actividad 4 se finalizaron los componentes: aire, ruido, recurso hidrico superficial y subtérraneo, y valoración económica. Se encuentra en desarrollo el medio biótico y el medio socioeconómico. De igual manera se realizó reunión de integralidad e identificación de VEC para el análisis de impactos acumualativos, y se encuentra en el desarrollo este análisis (0,12). Respecto a la actividad 5 se realizó revisión de los documentos por componente entregados a la fecha y se generaron las observaciones para ajuste (0,10). Estas actividades corresponden al 0,54 de avance para este reporte de alertas. 
Análisis regional de la bahía de Buenaventura.  La definición del área de estudio se realizó los días 1 y 18 de marzo (0.10). Se realizó la revisión de información, sistematización de información, y gestión información interinstitucional, también se llevó a cabo reunión interinstitucional el 25 de Abril, en la cual se gestionó información adicional (0.25). La elaboración del reporte presenta un avance de (0,35) con la entrega del documento con los capítulos establecidos. De igual manera,  se realizaron cinco reuniones de retroalimentación y lineamientos para el ajuste del mismo (0.10). Respecto al ajuste del documento se realizó la entrega del documento ajustado para revisión el día 27-06-2019 (0,10). Para la revisión y ajuste final se realizó la reunión de los resultados al Director de ANLA y Subdirector de SIPTA, el día 9 y 18 de julio de 2019 y se entregó revisión para ajustes finales. El día 3i de agosto se finaliza el documento. Estas actividades corresponden al 1,00 de avance para este reporte de alertas. 
Análisis regional para la cuenca alta del río Lebrija, cuenca del río Cucutilla y cuenca alta del río Chitagá. En  razón a la ampliación del área de estudip, se modificó su nombre a: Análisis regional para la cuenca alta del río Lebrija, cuenca del río Pamplonita  y cuenca del río Zulia. Para este reporte se desarrolló la actividad 1) definición del área de estudio el día 22 de mayo de 2019 y se afinó a partir de las revisiones del medio biótico y del componente hídrico, y la retroalimentación recibida en las visitas a las Corporaciones CDMB y CORPONOR (0.14). Se realizó la actividad 2) Revisión información y gestión información interinstitucional con la identificación de la información a solicitar a las Corporaciones,  la visita y gestión de información con CORPONOR y la  CDMB, y se gestionó la entrega del la mayor parte de la información solicitada. A raíz de la visita a las Corporaciones se requirió una revisión y nueva definición del área de estudio, por lo cual se incluyó la etapa de sistematización de expedientes, lo que requirió el descargue de anexos de 32 expedientes (0,11). El mes de agosto se inició la etapa de sistematización de expedientes por componente con un avance de 0,0386. Respecto a la actidad 4, se presentan avances en la elaboración del medio biótico (0,008). Estas actividades corresponden al 0,32 de avance para este reporte de alertas
De acuerdo con lo anterior se reporta un avance de 1,87 para el indicado</t>
  </si>
  <si>
    <t>Reporte de alertas SZH Bajo San Jorge, Mojana y Directos Caribe. Para el reporte en mención se desarrolló la actividad 1 de definición del área de estudio  (0.14); 2) En cuanto a la revisión información y gestión de información interinstitucional, se incorporó la información allegada por las coporaciones y la disponible en sitios web  (0,14). Para la actividad 3 se finalizó con la sistematización de los medios (0,17).  Para la actividad 4 se realizó la elaboración de cada uno de los componentes aire, ruido, recurso hidrico superficial y subtérraneo, valoración económica, medio biótico y abiótico. De igual manera se realizó reunión de integralidad e identificación de VEC para el análisis de impactos acumulativos, y se elaboró el documento (0,13). Respecto a la actividad 5 se realizó revisión de los documentos por componente entregados y se generaron las observaciones para ajuste (0,14). Se hrealizó la revisión de forma y fondo y los ajustes correspondientes al documento. Estas actividades corresponden al 1,00 de avance para este reporte de alertas. 
Análisis regional de la bahía de Buenaventura.  La definición del área de estudio se realizó los días 1 y 18 de marzo (0.10). Se realizó la revisión de información, sistematización de información, y gestión información interinstitucional, también se llevó a cabo reunión interinstitucional el 25 de Abril, en la cual se gestionó información adicional (0.25). La elaboración del reporte presenta un avance de (0,35) con la entrega del documento con los capítulos establecidos. De igual manera,  se realizaron cinco reuniones de retroalimentación y lineamientos para el ajuste del mismo (0.10). Respecto al ajuste del documento se realizó la entrega del documento ajustado para revisión el día 27-06-2019 (0,10). Para la revisión y ajuste final se realizó la reunión de los resultados al Director de ANLA y Subdirector de SIPTA, el día 9 y 18 de julio de 2019 y se entregó revisión para ajustes finales. El día 31 de agosto se finaliza el documento. Estas actividades corresponden al 1,00 de avance para este reporte de alertas. 
Análisis regional para la cuenca alta del río Lebrija, cuenca del río Cucutilla y cuenca alta del río Chitagá. En  razón a la ampliación del área de estudio, se modificó su nombre a: Análisis regional para la cuenca alta del río Lebrija, cuenca del río Pamplonita  y cuenca del río Zulia. Para este reporte se desarrolló la actividad 1) definición del área de estudio el día 22 de mayo de 2019 y se afinó a partir de las revisiones del medio biótico y del componente hídrico, y la retroalimentación recibida en las visitas a las Corporaciones CDMB y CORPONOR (0.14). Se realizó la actividad 2) Revisión información y gestión información interinstitucional con la identificación de la información a solicitar a las Corporaciones,  la visita y gestión de información con CORPONOR y la  CDMB, y se gestionó la entrega del la mayor parte de la información solicitada. A raíz de la visita a las Corporaciones se requirió una revisión y nueva definición del área de estudio, por lo cual se incluyó la etapa de sistematización de expedientes, lo que requirió el descargue de anexos de 32 expedientes (0,14). En el mes de agosto se inició la etapa de sistematización de expedientes por componente y a lafecha se tiene un avance de 0,013, solo se encuentra pediente la finalización del medio bióticio. Respecto a la actividad 4, se presentan avances en la elaboración del medio biótico e hídrico subtérraneo (0,011). Estas actividades corresponden al 0,43 de avance del documento.</t>
  </si>
  <si>
    <t>Documentos de soporte elaborados</t>
  </si>
  <si>
    <t># de propuestas de documento de las estrategias de redes de monitoreo para las regiones priorizadas</t>
  </si>
  <si>
    <t>Estrategia componente atmósfera zona minera del Cesar. Para la estrategia en mención se desarrolló la revisión de expedientes (0.5), elaboración de 9 conceptos (0.3) y se avanzo considerablemente en las reuniones de ajuste y retroalimentación (0.1). Estas actividades corresponden a 0.9 de avance para esta estrategia. Estrategia componente hídrico superficial Tillavá. Para la estrategia en mención se avanza en la revisión de expedientes (0.5), elaboración de 5 conceptos (0.3) y se avanzo considerablemente en las reuniones de ajuste y retroalimentación (0.1). Estas actividades corresponden a 0.9 de avance para esta estrategia. De acuerdo a lo anterior se reporta un avance de 1.8 para la actividad</t>
  </si>
  <si>
    <t>Estrategia componente atmósfera zona minera del Cesar. Para la estrategia en mención se desarrolló la revisión de expedientes (0.5), elaboración de 9 conceptos (0.3) y se finalizó con las reuniones de ajuste y retroalimentación (0.2). Los conceptos recibieron visto bueno de técnicos y jurídicos SIPTA y SES y se finalizaron en SILA. En proceso de acogimiento mediante acto administrativo a cargo de SES. De acuerdo a lo anterior se registra finalización en la estrategia.(1)                                                                                                                                                                                    Estrategia componente hídrico superficial Tillavá.Para la estrategia en mención se desarrolló la revisión de expedientes (0.5), elaboración de 9 conceptos (0.3) y se finalizó con las reuniones de ajuste y retroalimentación (0.2). Los conceptos recibieron visto bueno de técnicos y jurídicos SIPTA y SES y se finalizaron en SILA. En proceso de acogimiento mediante acto administrativo a cargo de SES. De acuerdo a lo anterior se registra finalización en la estrategia.(1)                                                                                                                                                                                                                               Estrategia componente hídrico superficial Cusiana. Para la estrategia en mención se avanza en la revisión de expedientes (0.1).                                                                                                                                                                        Estrategia componente hídrico superficial Cerromatoso. Para la estrategia en mención se avanza en la formulación de la red (0.1).                                                                                                                                                                       De acuerdo a lo anterior se reporta un avance de 2.2 para la actividad</t>
  </si>
  <si>
    <t xml:space="preserve">Estrategia componente atmósfera zona minera del Cesar. Actas de reunión y control de seguimiento ambiental cerradas. De acuerdo a lo anterior se registra finalización en la estrategia.(1)                                                                                                                                                                                                                                                                                                                                        Estrategia componente hídrico superficial Tillavá.Acogimiento mediante acto administrativo. En proceso de notificación. De acuerdo a lo anterior se registra finalización en la estrategia.(1)                                                                                                                                                                                                                                                                                                                                      Estrategia componente hídrico superficial Cusiana. Para la estrategia en mención se avanza en la revisión de expedientes (0.5) e inicio en la elaboración de 1 de 14 conceptos.                                                                                                                                                                                                                                                                                                                                                                De acuerdo a lo anterior se reporta un avance de 2.5 para la actividad                                                                                                           Adicionalmente el equipo se encuentra adelantando la la fase de formulación e implementación de las siguientes estrategias de monitoreo:                                                                                                                                                                                                                         Estrategia componente hídrico superficial Cerromatoso. Para la estrategia en mención se avanza en la formulación de la red.                                                                                                                                                                                                                         Estrategia componente hídrico superficial Zona Minera del Cesar: Se realizó reunión de concertación con IDEAM sobre propuesta de precampañas y campañas de monitoreo del convenio, y se acompañó al ajuste y revisión del documento radicado para primer desembolso. Se cuenta con cronograma de precampaña, campaña y presentación de informes                                                      </t>
  </si>
  <si>
    <t xml:space="preserve">Estrategia componente atmósfera zona minera del Cesar. Actas de reunión y control de seguimiento ambiental cerradas. De acuerdo a lo anterior se registra finalización en la estrategia.(1)                                                                                                                                                                                                         Estrategia componente hídrico superficial Tillavá.Acogimiento mediante acto administrativo. En proceso de notificación. De acuerdo a lo anterior se registra finalización en la estrategia.(1)                                                                                                                                                                                                   Estrategia componente hídrico superficial Cusiana. Para la estrategia en mención se avanza en la revisión de expedientes (0.5) y la elaboración de 1 de 14 conceptos.                                                                                                                                                                                                                                               De acuerdo a lo anterior se reporta un avance de 2.5 para la actividad                                                      Adicionalmente el equipo se encuentra adelantando la la fase de formulación e implementación de las siguientes estrategias de monitoreo:                                                                                                     Estrategia componente hídrico superficial Cerromatoso. Para la estrategia en mención se avanza en la formulación de la red, la reunión de inicio con los sectores minería y energía y la elaboración de 1 de los cuatro conceptos de la estrategia.                                                                                                           Estrategia componente atmósfera Cerromatoso: Se participó en la reunión de inicio con los sectores minería y energía. Se inicia con la revisión de expedientes.                                                                          Estrategia componente hídrico superficial Zona Minera del Cesar: Se realizó acompañamiento al IDEAM en la pecampaña desarrollada del 3 al 9 de julio de 2019, se recibe para revisión la propuesta de primera campaña, se participa en la reunión de seguimiento al convenio con la participación del subdirector y la Directora General de IDEAM.                                                                                                   Estrategia componente hídrico subterráneo Tillavá: Se realiza reunión de inicio con el sector de hidrocarburos. Se inicia con la revision de expedientes.                        </t>
  </si>
  <si>
    <t xml:space="preserve">*Estrategia componente atmósfera zona minera del Cesar. Actas de reunión y control de seguimiento ambiental cerradas. De acuerdo a lo anterior se registra finalización en la estrategia.(1)                                       *Estrategia componente hídrico superficial Tillavá.Acogimiento mediante acto administrativo. En proceso de notificación. De acuerdo a lo anterior se registra finalización en la estrategia.(1)                           *Estrategia componente hídrico superficial Cusiana. Para la estrategia en mención se avanza en la revisión de expedientes (0.5) y la elaboración de 2 de 14 conceptos.                                                                                 De acuerdo a lo anterior se reporta un avance de 2 estrategias en fase de implementación                                  Adicionalmente el equipo se encuentra adelantando la la fase de formulación e implementación de las siguientes estrategias de monitoreo:                                                                                                                                               *Estrategia componente hídrico superficial Cerromatoso. Para la estrategia en mención se avanza en la formulación de la red, la reunión de inicio con los sectores minería y energía y la elaboración de 1 de los cuatro conceptos de la estrategia.                                                                                                                                             *Estrategia componente atmósfera Cerromatoso: Se participó en la reunión de inicio con los sectores minería y energía. Se culmina con la revisión de expedientes y se inicia con la elaboración de 1 de tres conceptos a generar.                                                                                                                                                                                 *Estrategia componente hídrico superficial Zona Minera del Cesar: Se realizó acompañamiento al IDEAM en la pecampaña desarrollada del 3 al 9 de julio  y la campaña realizada del 11 al 14 de agosto de 2019, se participa en las reuniones de seguimiento al convenio con la participación de los supervisores por parte de ANLA e IDEAM.                                                                                                                                                                            *Estrategia componente hídrico subterráneo Tillavá: Se realiza reunión de inicio con el sector de hidrocarburos. Se culmina con la revisión de expedientes y se inicia con la elaobración de 1 de 12 conceptos a generar.                       </t>
  </si>
  <si>
    <t xml:space="preserve">Espacios de divulgación de resultados </t>
  </si>
  <si>
    <t># socializaciones y/o divulgaciones de las estrategias de redes de monitoreo para las regiones priorizadas</t>
  </si>
  <si>
    <t>El 5 de marzo de 2019 los profesionales William Pabon y Oscar Guerrero se desplazaron a la ciudad de Valledupar para la socialización de la estrategia de monitoreo del componente atmósfera para la zona minera del Cesar</t>
  </si>
  <si>
    <t>Estrategia componente atmósfera Zona Minera del Cesar: El 5 de marzo de 2019 los profesionales William Pabon y Oscar Guerrero se desplazaron a la ciudad de Valledupar para la socialización de la estrategia de monitoreo del componente atmósfera para la zona minera del Cesar.
Estrategias componente atmósfera e hídrico Guajira: EL 14 de Junio Ludy Forero y William Pabon socializan las estrategias de monitoreo para los componentes atmósfera e hídrico en Corpoguajira.
Estrategia componente hídrico superficial Tillavá. 21 de junio se socializa en CORMACARENA</t>
  </si>
  <si>
    <t>*Estrategia componente atmósfera Zona Minera del Cesar: El 5 de marzo de 2019 los profesionales William Pabon y Oscar Guerrero se desplazaron a la ciudad de Valledupar para la socialización de la estrategia de monitoreo del componente atmósfera para la zona minera del Cesar.
*Estrategias componente atmósfera e hídrico Guajira: EL 14 de Junio Ludy Forero y William Pabon socializan las estrategias de monitoreo para los componentes atmósfera e hídrico en Corpoguajira.
*Estrategia componente hídrico superficial Tillavá. 21 de junio se socializa en CORMACARENA</t>
  </si>
  <si>
    <t>Áreas disponibles para 1% y compensación en primera fase diagnostica</t>
  </si>
  <si>
    <t xml:space="preserve">Áreas disponibles ONG´s para 1% y compensaciones en primera fase diagnostica / ∑ Áreas priorizadas por la línea estratégica de 1% y compensaciones por Autoridades Ambientales regionales + áreas priorizadas por subzonas por la línea estratégica de 1% y compensaciones </t>
  </si>
  <si>
    <t>10 de abril de 2019. Se realiza reunión línea estratégica compensaciones - planeación - regionalización para definición alcance del indicadores. Se define como primera área prioritaria a habilitar la generada por CRA. 16 de abril. Se remite por parte de SES portafolio CRA para iniciar con el proceso de habilitar áreas. 24 de abril. Se realiza reunión con CRA para definir superficie a habilitar. Se proyecta iniciar con fase de revisión y validación la última semana de mayo.</t>
  </si>
  <si>
    <t>10 de abril de 2019. Se realiza reunión línea estratégica compensaciones - planeación - regionalización para definición alcance del indicadores. Se define como primera área prioritaria a habilitar la generada por CRA. 16 de abril. Se remite por parte de SES portafolio CRA para iniciar con el proceso de habilitar áreas. 24 de abril. Se realiza reunión con CRA para definir superficie a habilitar. Se proyecta iniciar con fase de revisión y validación durante el mes de junio</t>
  </si>
  <si>
    <t>no se tiene avance, se remite a consideración de ajuste del indicador</t>
  </si>
  <si>
    <t>En revisión propuesta de ajuste</t>
  </si>
  <si>
    <t>No se reporta avance, se encuentra en proceso de priorización por parte de las ONGs</t>
  </si>
  <si>
    <t>Actos administrativos relacionados con la evaluación y/o modificación de Licencias Ambientales en áreas regionalizadas que incluyan condicionantes de análisis regional</t>
  </si>
  <si>
    <t>Número de actos administrativos relacionados con la evaluación de proyectos y/o modificación de Licencias Ambientales que incluyan condicionantes de análisis regional/Número de actos administrativos emitidos en áreas regionalizadas o relacionados con proyectos de alta complejidad</t>
  </si>
  <si>
    <t xml:space="preserve">A la fecha se asigna la evaluación del capítulo de uso y aprovechamiento para el proyecto acordionero LAV0105-00-2014. Se culminó con las fases de presentación del proyecto, revisión de información radicada por el licenciatario, salida de campo, reunión postcampo y reunión de solicitud información adicional. El equipo se encuentra a la espera de la información solicitada al licenciatario </t>
  </si>
  <si>
    <t>A la fecha se asigna la evaluación del capítulo de uso y aprovechamiento para el proyecto modificación Campo Rubiales LAM0019. Se culminó con las fases de presentación del proyecto y revisión de información radicada por el licenciatario. El equipo realizará salida de campo y solicitud de información adicional durante el mes de marzo.</t>
  </si>
  <si>
    <t>Se han solicitado 4 apoyo por parte de las SES los cuales se encuentran en proceso de revisión de información y/o solicitud de información adicional: Rubiales, Acordionero, SotoNorte, Parque Eólico BETA.</t>
  </si>
  <si>
    <t>A la fecha se han solicitado apoyo en la elaboración de 6 solicitudes de licencia ambiental o modificación: Acordionero, Rubiales, Parque Eólico Beta, Soto Norte, Reficar y El Hatillo. 3 de ellas se encuentran en fase de elaboración y/o revisión de concepto (Reficar, Acordionero, Beta), 2 se encuentran a la espera de solicitud de información adicional (Rubiales y Hatillo) y 1 en revisión de información radicada por parte del licenciatario (Soto Norte).</t>
  </si>
  <si>
    <t>A la fecha se han solicitado apoyo en la elaboración de 9 solicitudes de licencia ambiental o modificación: Acordionero, Rubiales, Parque Eólico Beta, Soto Norte, Reficar, El Hatillo, Línea de transmisión La Virginia - Nueva Esperanza y Modificación PMA Mina Carbones de la Jagua. 1 de ellas se encuentran en fase de ajuste final de concepto (Acordionero), 2 se encuentran a la espera de solicitud de información adicional (Rubiales y Hatillo), 3 en revisión de información radicada por parte del licenciatario (Soto Norte, La Jagua y La Virginia), 1 en fase de salida de campo (Parque Fotovoltaico La Loma), 1 de ellas se encuentra suspendida por trámite de sustracción (Beta) y de una desistió la empresa (Reficar)</t>
  </si>
  <si>
    <t>A la fecha se han solicitado apoyo en la elaboración de 9 solicitudes de licencia ambiental o modificación: Acordionero, Rubiales, Parque Eólico Beta, Soto Norte, Reficar, El Hatillo, Línea de transmisión La Virginia - Nueva Esperanza, Parque Fotovolotáico La Loma  y Modificación PMA Mina Carbones de la Jagua. 1 cuenta con acto administrativo que otorga modificación (Acordionero), 2 se encuentran en fase de elaboración de concepto (La Jagua y Rubiales) 2 se encuentran a la espera de información adicional (Hatillo y Parque La Loma), 2 en revisión de información radicada por parte del licenciatario (Soto Norte y La Virginia), 1 de ellas se encuentra suspendida por trámite de sustracción (Beta) y de 1 desistió la empresa (Reficar)</t>
  </si>
  <si>
    <t>A la fecha se han solicitado apoyo en la elaboración de 11 solicitudes de licencia ambiental o modificación: Acordionero, Rubiales, Parque Eólico Beta, Soto Norte, Reficar, El Hatillo, Línea de transmisión La Virginia - Nueva Esperanza, Parque Fotovolotáico La Loma, Modificación PMA Mina Carbones de la Jagua, Modificación Área de Explotacion Llanos 58 y Modificación Área de Exploración Lince Lince. 2 cuentan con acto administrativo que otorga modificación (Acordionero y La Jagua), 1 se encuentra en fase de revisión de concepto (Hatillo), 1 se encuentra en fase de elaboración de concepto (Rubiales), 2 se encuentran a la espera de información adicional (Parque La Loma, La Virginia), 3 en revisión de información radicada por parte del licenciatario (Soto Norte, Llanos 58 y Lince Lince), 1 de ellas se encuentra suspendida por trámite de sustracción (Beta) y de 1  se generó auto de archivo (Reficar). De acuerdo a lo anterior se han generado a la fecha tres actos administrativos para 11 proyectos evaluados en áreas regionalizadas 2 de modiicación y uno de archivo)</t>
  </si>
  <si>
    <t>A la fecha se han solicitado apoyo en la elaboración de 12 solicitudes de licencia ambiental o modificación: Acordionero, Rubiales, Parque Eólico Beta, Soto Norte, Reficar, El Hatillo, Línea de transmisión La Virginia - Nueva Esperanza, Modificación PMA Mina Carbones de la Jagua, Modificación Área de Explotacion Llanos 58, Modificación Área de Exploración Lince Lince, Área de Licenciamiento Ambiental Proyecto Verderón (BLOQUE PUT-4) y Modificación de Licencia Ambiental alProyecto ““Explotación de materiales de construcción y minerales asociados”. Expediente: LAV0050-13. 6 cuentan con acto administrativo  de otorgamiento o archivo (Acordionero, Rubiales, Beta, Reficar, Hatillo y La Jagua), 2 se encuentran en fase de elaboración o revisión de concepto (La Virginia, Lince Lince), 2 se encuentran a la espera de información adicional (Llanos 58 y Conconcreto), 1 en revisión de información radicada por parte del licenciatario (Soto Norte) y 1 en fase de campo (Verderón). Se retira del reporte el proyecto Parque Fotovolotáico La Loma teniendo en cuenta que no se firmo concepto técnico que vinculara condicionantes de análisis regional.</t>
  </si>
  <si>
    <t xml:space="preserve">A la fecha se han solicitado apoyo en la elaboración de 12 solicitudes de licencia ambiental o modificación: Acordionero, Rubiales, Parque Eólico Beta, Soto Norte, Reficar, El Hatillo, Línea de transmisión La Virginia - Nueva Esperanza, Modificación PMA Mina Carbones de la Jagua, Modificación Área de Explotacion Llanos 58, Modificación Área de Exploración Lince Lince, Área de Licenciamiento Ambiental Proyecto Verderón (BLOQUE PUT-4) y Modificación de Licencia Ambiental alProyecto ““Explotación de materiales de construcción y minerales asociados”. Expediente: LAV0050-13. 6 cuentan con acto administrativo  de otorgamiento o archivo (Acordionero, Rubiales, Beta, Reficar, Hatillo y La Jagua), 1 se encuentra suspendido (La Virginia), 1 en fase de revisión de concepto por parte de la coordinación de hidrocarburos (Lince Lince), 1 en fase de elaboración de concepto (Llanos 58),  1 se encuentra a la espera de información adicional (Conconcreto), 1 en revisión de información radicada por parte del licenciatario (Soto Norte) y 1 en espera de radicación de información adicional (Verderón). </t>
  </si>
  <si>
    <t>Conceptos técnicos de seguimiento de apoyo a la Subdirección de Evaluación y Seguimiento - SES</t>
  </si>
  <si>
    <t>Número de conceptos técnicos realizados / número de apoyos solicitados * 100</t>
  </si>
  <si>
    <t>A la fecha se han solicitado apoyo en la elaboración de 5 conceptos de seguimiento: Hidroituango, Gecelca, Cerrejón, Lisama y El Portón. Se cuenta con 3 conceptos elaborados y numerados, 1 en fase de elaboración de concepto y 1 en fase de revisión de información</t>
  </si>
  <si>
    <t>A la fecha se han solicitado apoyo en la elaboración de 6 conceptos de seguimiento: Hidroituango, Cerrejón, Lisama, APE El Portón y renovación de permisos de emisión atmosférica para el sector minero PEA0004 y PEA0011. Se cuenta con 3 conceptos elaborados y numerados (Lisama, Hidroituango y Cerrejón)  fase de elaboración de concepto (PEA0011), 1 en fase de revisión (Portón) y 1 en fase de participación de reuniones (PEA 0004). Se retira el concepto de GECELCA porque se consideró que de acuerdo al avance del proyecto, no se firmará concepto, simplemente se realizaran comentarios al mismo</t>
  </si>
  <si>
    <t>A la fecha se han solicitado apoyo en la elaboración de 6 conceptos de seguimiento: Hidroituango, Cerrejón, Lisama, APE El Portón y renovación de permisos de emisión atmosférica para el sector minero PEA0004 y PEA0011. Se cuenta con 3 conceptos elaborados y numerados (Lisama, Hidroituango y Cerrejón), 2 en fase de revisión jurídica (PEA0011 y Portón) y 1 en fase de participación de reuniones (PEA 0004). Se retira el concepto de GECELCA porque se consideró que de acuerdo al avance del proyecto, no se firmará concepto, simplemente se realizaran comentarios al mismo</t>
  </si>
  <si>
    <t xml:space="preserve">A la fecha se han solicitado apoyo en la elaboración de 8 conceptos de seguimiento: Hidroituango, Cerrejón, Lisama, APE El Portón, renovación de permisos de emisión atmosférica para el sector minero PEA0004 y PEA0011, Matachín y Gasoducto Puente Parejo. Se cuenta con 6 conceptos elaborados y numerados (Lisama, Hidroituango, Cerrejón, PEA0011, Portón y Matachín), 1 en fase de revisión (Gasoducto Puente Pumarejo) y 1 en fase de elaboración de concepto (PEA0004). </t>
  </si>
  <si>
    <t xml:space="preserve">A la fecha se han solicitado apoyo en la elaboración de 10 conceptos de seguimiento: Hidroituango, Cerrejón, Lisama, APE El Portón, renovación de permisos de emisión atmosférica para el sector minero PEA0004 y PEA0011, Matachín, Gasoducto Puente Parejo, Explotación Aurífera en la cuenca del río Nechi y Puerto Nuevo. Se cuenta con 6 conceptos elaborados y numerados (Lisama, Hidroituango, Cerrejón, PEA0011, Portón y Matachín), 1 en fase de revisión (Gasoducto Puente Pumarejo),  1 en fase de elaboración de concepto (PEA0004) y 2 en fase de campo (Nechí y Puerto Nuevo). </t>
  </si>
  <si>
    <t>A la fecha se han solicitado apoyo en la elaboración de 12 conceptos de seguimiento: Hidroituango, Cerrejón, Lisama, APE El Portón, renovación de permisos de emisión atmosférica para el sector minero PEA0004 y PEA0011, Matachín, Explotación Aurífera en la cuenca del río Nechi, Cantera Santa Ana, Puerto Nuevo, LAM3308 La Loma y LAV0106-00-2014 Caporo Norte. Se cuenta con 6 conceptos elaborados y numerados (Lisama, Hidroituango, Cerrejón, PEA0011, Portón y Matachín), 3 en fase de elaboración de concepto (PEA0004, Nechí, Puerto Nuevo), 1 en fase de revisión (Cantera Santa Ana) y 2 en fase preparatoria de campo (La Loma y Caporo Norte). Se retira el proyecto gasoducto Puente Pumarejo, teniendo en cuenta que la OAJ no ha definido el alcance del pronunciamiento a generar (concepto u oficio)</t>
  </si>
  <si>
    <t>ENERO</t>
  </si>
  <si>
    <t>FEBRERO</t>
  </si>
  <si>
    <t>ABRIL</t>
  </si>
  <si>
    <t>MAYO</t>
  </si>
  <si>
    <t>JUNIO</t>
  </si>
  <si>
    <t>JULIO</t>
  </si>
  <si>
    <t>AGOSTO</t>
  </si>
  <si>
    <t>SEPTIEMBRE</t>
  </si>
  <si>
    <t>REPORTE AVANCE MENSUAL</t>
  </si>
  <si>
    <t>REPORTE AVANCE Septiembre</t>
  </si>
  <si>
    <t>Monitoreo de usuarios y medios</t>
  </si>
  <si>
    <t>Fortalecer la orientación al usuario y el acceso a la información</t>
  </si>
  <si>
    <t>Servicio al ciudadano</t>
  </si>
  <si>
    <t>Gestión de PQRS</t>
  </si>
  <si>
    <t>PROCESOS DE APOYO</t>
  </si>
  <si>
    <t>ATENCIÓN AL CIUDADANO</t>
  </si>
  <si>
    <t>SAF</t>
  </si>
  <si>
    <t>Atención al ciudadano</t>
  </si>
  <si>
    <t>Porcentaje de peticiones, quejas, reclamos y sugerencias (PQRS) atendidas de manera oportuna</t>
  </si>
  <si>
    <t>N° de PQRS  respondidos en los términos legales durante el periodo / N° de PQRS radicados en la entidad cumplidos en el periodo.</t>
  </si>
  <si>
    <t>SUBDIRECTOR(A) ADMNISTRATIVA Y FINANCIERA</t>
  </si>
  <si>
    <r>
      <t xml:space="preserve">Recibidos en diciembre de 2018 que se atendieron en enero 2019: 89
Recibidos en enero 2019 que se atendieron en enero de 2019 dentro del término: 263 </t>
    </r>
    <r>
      <rPr>
        <b/>
        <sz val="9"/>
        <color theme="1"/>
        <rFont val="Calibri"/>
        <family val="2"/>
        <scheme val="minor"/>
      </rPr>
      <t xml:space="preserve"> </t>
    </r>
    <r>
      <rPr>
        <sz val="9"/>
        <color theme="1"/>
        <rFont val="Calibri"/>
        <family val="2"/>
        <scheme val="minor"/>
      </rPr>
      <t>Recibidos en diciembre 2018 que se encuentran vencidos en enero de 2019:</t>
    </r>
    <r>
      <rPr>
        <b/>
        <sz val="9"/>
        <color theme="1"/>
        <rFont val="Calibri"/>
        <family val="2"/>
        <scheme val="minor"/>
      </rPr>
      <t xml:space="preserve"> 2 </t>
    </r>
    <r>
      <rPr>
        <sz val="9"/>
        <color theme="1"/>
        <rFont val="Calibri"/>
        <family val="2"/>
        <scheme val="minor"/>
      </rPr>
      <t xml:space="preserve">
Recibidos en enero de 2019 que serán atendidos en febrero de 2019:</t>
    </r>
    <r>
      <rPr>
        <b/>
        <sz val="9"/>
        <color theme="1"/>
        <rFont val="Calibri"/>
        <family val="2"/>
        <scheme val="minor"/>
      </rPr>
      <t xml:space="preserve"> 157</t>
    </r>
    <r>
      <rPr>
        <sz val="9"/>
        <color theme="1"/>
        <rFont val="Calibri"/>
        <family val="2"/>
        <scheme val="minor"/>
      </rPr>
      <t xml:space="preserve">
</t>
    </r>
  </si>
  <si>
    <r>
      <t>Recibidos en 2018 que se atendieron en febrero de 2019:</t>
    </r>
    <r>
      <rPr>
        <b/>
        <sz val="9"/>
        <rFont val="Calibri"/>
        <family val="2"/>
        <scheme val="minor"/>
      </rPr>
      <t xml:space="preserve"> 2       </t>
    </r>
    <r>
      <rPr>
        <sz val="9"/>
        <rFont val="Calibri"/>
        <family val="2"/>
        <scheme val="minor"/>
      </rPr>
      <t xml:space="preserve">                                                                     Recibidos en enero de 2019 que se atendieron en  febrero de 2019: </t>
    </r>
    <r>
      <rPr>
        <b/>
        <sz val="9"/>
        <rFont val="Calibri"/>
        <family val="2"/>
        <scheme val="minor"/>
      </rPr>
      <t xml:space="preserve">149                                            </t>
    </r>
    <r>
      <rPr>
        <sz val="9"/>
        <rFont val="Calibri"/>
        <family val="2"/>
        <scheme val="minor"/>
      </rPr>
      <t xml:space="preserve"> Recibido en enero que se cambio de connotación para gestión de  financiera:</t>
    </r>
    <r>
      <rPr>
        <b/>
        <sz val="9"/>
        <rFont val="Calibri"/>
        <family val="2"/>
        <scheme val="minor"/>
      </rPr>
      <t xml:space="preserve"> 1</t>
    </r>
    <r>
      <rPr>
        <sz val="9"/>
        <rFont val="Calibri"/>
        <family val="2"/>
        <scheme val="minor"/>
      </rPr>
      <t xml:space="preserve">  (2019007467-1-000)              Recibido en enero será atendido en marzo:</t>
    </r>
    <r>
      <rPr>
        <b/>
        <sz val="9"/>
        <rFont val="Calibri"/>
        <family val="2"/>
        <scheme val="minor"/>
      </rPr>
      <t>1</t>
    </r>
    <r>
      <rPr>
        <sz val="9"/>
        <rFont val="Calibri"/>
        <family val="2"/>
        <scheme val="minor"/>
      </rPr>
      <t xml:space="preserve"> (2019008802-1-000)                                                                 Recibidos en febrero de 2019 que se atendieron en febrero dentro del termino:</t>
    </r>
    <r>
      <rPr>
        <b/>
        <sz val="9"/>
        <rFont val="Calibri"/>
        <family val="2"/>
        <scheme val="minor"/>
      </rPr>
      <t xml:space="preserve"> 299                                </t>
    </r>
    <r>
      <rPr>
        <sz val="9"/>
        <rFont val="Calibri"/>
        <family val="2"/>
        <scheme val="minor"/>
      </rPr>
      <t xml:space="preserve"> Recibidos en 2018 que se encuentran vencidos en febrero:</t>
    </r>
    <r>
      <rPr>
        <b/>
        <sz val="9"/>
        <rFont val="Calibri"/>
        <family val="2"/>
        <scheme val="minor"/>
      </rPr>
      <t xml:space="preserve">1    </t>
    </r>
    <r>
      <rPr>
        <sz val="9"/>
        <rFont val="Calibri"/>
        <family val="2"/>
        <scheme val="minor"/>
      </rPr>
      <t xml:space="preserve">                                                                    Recibidos en enero y febrero que serán atendidos en marzo: </t>
    </r>
    <r>
      <rPr>
        <b/>
        <sz val="9"/>
        <rFont val="Calibri"/>
        <family val="2"/>
        <scheme val="minor"/>
      </rPr>
      <t xml:space="preserve">181   </t>
    </r>
    <r>
      <rPr>
        <sz val="9"/>
        <rFont val="Calibri"/>
        <family val="2"/>
        <scheme val="minor"/>
      </rPr>
      <t xml:space="preserve">                                                          Para elaborar auto de desistimiento en marzo: </t>
    </r>
    <r>
      <rPr>
        <b/>
        <sz val="9"/>
        <rFont val="Calibri"/>
        <family val="2"/>
        <scheme val="minor"/>
      </rPr>
      <t>3</t>
    </r>
  </si>
  <si>
    <r>
      <t>Recibidos en 2018 que se atendieron en marzo de 2019:</t>
    </r>
    <r>
      <rPr>
        <b/>
        <sz val="9"/>
        <color theme="1"/>
        <rFont val="Calibri"/>
        <family val="2"/>
        <scheme val="minor"/>
      </rPr>
      <t xml:space="preserve"> 2       </t>
    </r>
    <r>
      <rPr>
        <sz val="9"/>
        <color theme="1"/>
        <rFont val="Calibri"/>
        <family val="2"/>
        <scheme val="minor"/>
      </rPr>
      <t xml:space="preserve">                                                                     Recibidos en enero de 2019 que se atendieron en  marzo de 2019: </t>
    </r>
    <r>
      <rPr>
        <b/>
        <sz val="9"/>
        <color theme="1"/>
        <rFont val="Calibri"/>
        <family val="2"/>
        <scheme val="minor"/>
      </rPr>
      <t xml:space="preserve">3                                                              </t>
    </r>
    <r>
      <rPr>
        <sz val="9"/>
        <color theme="1"/>
        <rFont val="Calibri"/>
        <family val="2"/>
        <scheme val="minor"/>
      </rPr>
      <t xml:space="preserve">Recibidos en febrero que se atendieron en marzo : </t>
    </r>
    <r>
      <rPr>
        <b/>
        <sz val="9"/>
        <color theme="1"/>
        <rFont val="Calibri"/>
        <family val="2"/>
        <scheme val="minor"/>
      </rPr>
      <t xml:space="preserve">177                                                                                                            </t>
    </r>
    <r>
      <rPr>
        <sz val="9"/>
        <color theme="1"/>
        <rFont val="Calibri"/>
        <family val="2"/>
        <scheme val="minor"/>
      </rPr>
      <t xml:space="preserve">                                Recibidos en marzo de 2019 que se atendieron en marzo dentro del termino:</t>
    </r>
    <r>
      <rPr>
        <b/>
        <sz val="9"/>
        <color theme="1"/>
        <rFont val="Calibri"/>
        <family val="2"/>
        <scheme val="minor"/>
      </rPr>
      <t xml:space="preserve"> 315                              </t>
    </r>
    <r>
      <rPr>
        <sz val="9"/>
        <color theme="1"/>
        <rFont val="Calibri"/>
        <family val="2"/>
        <scheme val="minor"/>
      </rPr>
      <t xml:space="preserve"> Recibidos en marzo de 2019 que serán atendidos en  Abril de 2019: </t>
    </r>
    <r>
      <rPr>
        <b/>
        <sz val="9"/>
        <color theme="1"/>
        <rFont val="Calibri"/>
        <family val="2"/>
        <scheme val="minor"/>
      </rPr>
      <t xml:space="preserve">124   </t>
    </r>
    <r>
      <rPr>
        <sz val="9"/>
        <color theme="1"/>
        <rFont val="Calibri"/>
        <family val="2"/>
        <scheme val="minor"/>
      </rPr>
      <t xml:space="preserve">       
Recibido en febrero que se atenderá en abril: </t>
    </r>
    <r>
      <rPr>
        <b/>
        <sz val="9"/>
        <color theme="1"/>
        <rFont val="Calibri"/>
        <family val="2"/>
        <scheme val="minor"/>
      </rPr>
      <t>1</t>
    </r>
    <r>
      <rPr>
        <sz val="9"/>
        <color theme="1"/>
        <rFont val="Calibri"/>
        <family val="2"/>
        <scheme val="minor"/>
      </rPr>
      <t xml:space="preserve"> (2019024163-1-000). 
Recibido en febrero y que se respondió en marzo fuera de términos: </t>
    </r>
    <r>
      <rPr>
        <b/>
        <sz val="9"/>
        <color rgb="FFFF0000"/>
        <rFont val="Calibri"/>
        <family val="2"/>
        <scheme val="minor"/>
      </rPr>
      <t>1 (2019015490-1-000)</t>
    </r>
    <r>
      <rPr>
        <sz val="9"/>
        <color theme="1"/>
        <rFont val="Calibri"/>
        <family val="2"/>
        <scheme val="minor"/>
      </rPr>
      <t xml:space="preserve">
</t>
    </r>
    <r>
      <rPr>
        <b/>
        <sz val="9"/>
        <color rgb="FFFF0000"/>
        <rFont val="Calibri"/>
        <family val="2"/>
        <scheme val="minor"/>
      </rPr>
      <t xml:space="preserve">   </t>
    </r>
    <r>
      <rPr>
        <sz val="9"/>
        <color theme="1"/>
        <rFont val="Calibri"/>
        <family val="2"/>
        <scheme val="minor"/>
      </rPr>
      <t xml:space="preserve">                                                          </t>
    </r>
    <r>
      <rPr>
        <b/>
        <sz val="9"/>
        <color theme="1"/>
        <rFont val="Calibri"/>
        <family val="2"/>
        <scheme val="minor"/>
      </rPr>
      <t xml:space="preserve"> </t>
    </r>
    <r>
      <rPr>
        <sz val="9"/>
        <color theme="1"/>
        <rFont val="Calibri"/>
        <family val="2"/>
        <scheme val="minor"/>
      </rPr>
      <t xml:space="preserve">                                                          </t>
    </r>
  </si>
  <si>
    <r>
      <t xml:space="preserve">
Recibidos en febrero que se  atendieron en abril dentro del termino : </t>
    </r>
    <r>
      <rPr>
        <b/>
        <sz val="9"/>
        <color theme="1"/>
        <rFont val="Calibri"/>
        <family val="2"/>
        <scheme val="minor"/>
      </rPr>
      <t xml:space="preserve">1
</t>
    </r>
    <r>
      <rPr>
        <u/>
        <sz val="9"/>
        <color theme="1"/>
        <rFont val="Calibri"/>
        <family val="2"/>
        <scheme val="minor"/>
      </rPr>
      <t xml:space="preserve">Recibidos en febrero que se atenderán en mayo : </t>
    </r>
    <r>
      <rPr>
        <b/>
        <u/>
        <sz val="9"/>
        <color theme="1"/>
        <rFont val="Calibri"/>
        <family val="2"/>
        <scheme val="minor"/>
      </rPr>
      <t>2</t>
    </r>
    <r>
      <rPr>
        <u/>
        <sz val="9"/>
        <color theme="1"/>
        <rFont val="Calibri"/>
        <family val="2"/>
        <scheme val="minor"/>
      </rPr>
      <t xml:space="preserve"> (para elaborar auto de desistimiento)</t>
    </r>
    <r>
      <rPr>
        <sz val="9"/>
        <color theme="1"/>
        <rFont val="Calibri"/>
        <family val="2"/>
        <scheme val="minor"/>
      </rPr>
      <t xml:space="preserve">
Recibidos en marzo que se atendieron en abril dentro del termino : </t>
    </r>
    <r>
      <rPr>
        <b/>
        <sz val="9"/>
        <color theme="1"/>
        <rFont val="Calibri"/>
        <family val="2"/>
        <scheme val="minor"/>
      </rPr>
      <t xml:space="preserve">115
</t>
    </r>
    <r>
      <rPr>
        <sz val="9"/>
        <color theme="1"/>
        <rFont val="Calibri"/>
        <family val="2"/>
        <scheme val="minor"/>
      </rPr>
      <t>Recibidos en marzo que se atendieron en abril fuera de termino</t>
    </r>
    <r>
      <rPr>
        <b/>
        <sz val="9"/>
        <color theme="1"/>
        <rFont val="Calibri"/>
        <family val="2"/>
        <scheme val="minor"/>
      </rPr>
      <t xml:space="preserve"> : </t>
    </r>
    <r>
      <rPr>
        <b/>
        <sz val="9"/>
        <color rgb="FFFF0000"/>
        <rFont val="Calibri"/>
        <family val="2"/>
        <scheme val="minor"/>
      </rPr>
      <t xml:space="preserve">1 (2019028320-1-000)
</t>
    </r>
    <r>
      <rPr>
        <u/>
        <sz val="9"/>
        <rFont val="Calibri"/>
        <family val="2"/>
        <scheme val="minor"/>
      </rPr>
      <t xml:space="preserve">Recibidos en marzo que serán atendidos en mayo : </t>
    </r>
    <r>
      <rPr>
        <b/>
        <u/>
        <sz val="9"/>
        <rFont val="Calibri"/>
        <family val="2"/>
        <scheme val="minor"/>
      </rPr>
      <t>8</t>
    </r>
    <r>
      <rPr>
        <b/>
        <sz val="9"/>
        <rFont val="Calibri"/>
        <family val="2"/>
        <scheme val="minor"/>
      </rPr>
      <t xml:space="preserve">
</t>
    </r>
    <r>
      <rPr>
        <sz val="9"/>
        <rFont val="Calibri"/>
        <family val="2"/>
        <scheme val="minor"/>
      </rPr>
      <t xml:space="preserve">Recibido en abril que se atendieron en abril dentro del termino: </t>
    </r>
    <r>
      <rPr>
        <b/>
        <sz val="9"/>
        <rFont val="Calibri"/>
        <family val="2"/>
        <scheme val="minor"/>
      </rPr>
      <t xml:space="preserve">260 </t>
    </r>
    <r>
      <rPr>
        <sz val="9"/>
        <color theme="1"/>
        <rFont val="Calibri"/>
        <family val="2"/>
        <scheme val="minor"/>
      </rPr>
      <t xml:space="preserve">
</t>
    </r>
    <r>
      <rPr>
        <u/>
        <sz val="9"/>
        <color theme="1"/>
        <rFont val="Calibri"/>
        <family val="2"/>
        <scheme val="minor"/>
      </rPr>
      <t xml:space="preserve">Recibidos en abril que serán atendidos en mayo : </t>
    </r>
    <r>
      <rPr>
        <b/>
        <u/>
        <sz val="9"/>
        <color theme="1"/>
        <rFont val="Calibri"/>
        <family val="2"/>
        <scheme val="minor"/>
      </rPr>
      <t>199</t>
    </r>
  </si>
  <si>
    <t xml:space="preserve">
Recibidos en febrero que se atendieron en mayo dentro del termino: 2
Recibidos en marzo que se atendieron en mayo dentro del termino: 8 
Recibidos en abril que se atendieron en mayo dentro del termino: 190 
Recibidos en abril que seran atendidos en junio: 9
Recibidos en mayo y atendidos en mayo dentro del termino: 377
Recibidos en abril que seran atendidos en junio: 9
Recibidos en mayo que seran atendidos en Junio: 163 
</t>
  </si>
  <si>
    <r>
      <t xml:space="preserve">Recibidos en abril que se atendieron en junio dentro del término: </t>
    </r>
    <r>
      <rPr>
        <b/>
        <sz val="9"/>
        <color theme="1"/>
        <rFont val="Calibri"/>
        <family val="2"/>
        <scheme val="minor"/>
      </rPr>
      <t>4</t>
    </r>
    <r>
      <rPr>
        <sz val="9"/>
        <color theme="1"/>
        <rFont val="Calibri"/>
        <family val="2"/>
        <scheme val="minor"/>
      </rPr>
      <t xml:space="preserve">
Se identifica que del mes de abril el radicado </t>
    </r>
    <r>
      <rPr>
        <b/>
        <sz val="9"/>
        <color theme="1"/>
        <rFont val="Calibri"/>
        <family val="2"/>
        <scheme val="minor"/>
      </rPr>
      <t xml:space="preserve">(2019052887-1-000) </t>
    </r>
    <r>
      <rPr>
        <sz val="9"/>
        <color theme="1"/>
        <rFont val="Calibri"/>
        <family val="2"/>
        <scheme val="minor"/>
      </rPr>
      <t xml:space="preserve">reportado para resolver en junio, fue atendido en el mes de mayo desde el sector como respuesta a información.
Recibidos en abril pendientes para elaborar auto de desistimiento: </t>
    </r>
    <r>
      <rPr>
        <b/>
        <sz val="9"/>
        <color theme="1"/>
        <rFont val="Calibri"/>
        <family val="2"/>
        <scheme val="minor"/>
      </rPr>
      <t>4</t>
    </r>
    <r>
      <rPr>
        <sz val="9"/>
        <color theme="1"/>
        <rFont val="Calibri"/>
        <family val="2"/>
        <scheme val="minor"/>
      </rPr>
      <t xml:space="preserve">
Recibidos en mayo que se atendieron en junio dentro del término: </t>
    </r>
    <r>
      <rPr>
        <b/>
        <sz val="9"/>
        <color theme="1"/>
        <rFont val="Calibri"/>
        <family val="2"/>
        <scheme val="minor"/>
      </rPr>
      <t>144</t>
    </r>
    <r>
      <rPr>
        <sz val="9"/>
        <color theme="1"/>
        <rFont val="Calibri"/>
        <family val="2"/>
        <scheme val="minor"/>
      </rPr>
      <t xml:space="preserve">
Recibidos en mayo que se reportaron para resolver en junio y que fueron reasignados: </t>
    </r>
    <r>
      <rPr>
        <b/>
        <sz val="9"/>
        <color theme="1"/>
        <rFont val="Calibri"/>
        <family val="2"/>
        <scheme val="minor"/>
      </rPr>
      <t>3</t>
    </r>
    <r>
      <rPr>
        <sz val="9"/>
        <color theme="1"/>
        <rFont val="Calibri"/>
        <family val="2"/>
        <scheme val="minor"/>
      </rPr>
      <t xml:space="preserve"> </t>
    </r>
    <r>
      <rPr>
        <b/>
        <sz val="9"/>
        <color theme="1"/>
        <rFont val="Calibri"/>
        <family val="2"/>
        <scheme val="minor"/>
      </rPr>
      <t>(2019073273-1-000, 2019072782-1-000 ,2019069318-1-000).</t>
    </r>
    <r>
      <rPr>
        <sz val="9"/>
        <color theme="1"/>
        <rFont val="Calibri"/>
        <family val="2"/>
        <scheme val="minor"/>
      </rPr>
      <t xml:space="preserve">
Recibidos en mayo que serán atendidos en julio: </t>
    </r>
    <r>
      <rPr>
        <b/>
        <sz val="9"/>
        <color theme="1"/>
        <rFont val="Calibri"/>
        <family val="2"/>
        <scheme val="minor"/>
      </rPr>
      <t>16</t>
    </r>
    <r>
      <rPr>
        <sz val="9"/>
        <color theme="1"/>
        <rFont val="Calibri"/>
        <family val="2"/>
        <scheme val="minor"/>
      </rPr>
      <t xml:space="preserve">
Recibidos en junio que se atendieron en junio dentro del término: </t>
    </r>
    <r>
      <rPr>
        <b/>
        <sz val="9"/>
        <color theme="1"/>
        <rFont val="Calibri"/>
        <family val="2"/>
        <scheme val="minor"/>
      </rPr>
      <t>260</t>
    </r>
    <r>
      <rPr>
        <sz val="9"/>
        <color theme="1"/>
        <rFont val="Calibri"/>
        <family val="2"/>
        <scheme val="minor"/>
      </rPr>
      <t xml:space="preserve">
Recibidos en junio que serán atendidos en julio: </t>
    </r>
    <r>
      <rPr>
        <b/>
        <sz val="9"/>
        <color theme="1"/>
        <rFont val="Calibri"/>
        <family val="2"/>
        <scheme val="minor"/>
      </rPr>
      <t>172</t>
    </r>
  </si>
  <si>
    <t xml:space="preserve">En 2 radicados (2019054875-1-000 - 2019051026-1-000) de abril pendientes por elaborar auto de desistimiento se identifico que  el usuario cumplio con el requerimiento y fueron asignados al expediente por ser  tramites para atender dentro del seguimiento.
Recibidos en abril que se atendieron en Julio dentro del termino. 2
Se indentifica que el radicado (2019056858-1-000) de mayo que se reporto como pendiente para atender en el mes de julio ya tenia una respuesta generada en el mes de mayo.(2019051026-2-001).
Recibidos en mayo que se atendieron en julio dentro del termino. 10
Recibidos en junio que se  atendieron en julio dentro del termino. 153
Recibido en junio y se traslado para RASP. 1
Recibido en julio atendido en julio fuera de termino. 1 (2019092051-1-000) 
Recibidos en julio que se atendieron en julio dentro del termino.  389
Recibidos en mayo que se encuentran en tramite dentro de termino.5 
Recibidos en junio que se encuentran en tramite dentro de termino .17
Recibidos en julio que se encuentran en tramite dentro de termino.  172 </t>
  </si>
  <si>
    <r>
      <t xml:space="preserve">Se identifica que de 5 dpe  del mes de mayo pendientes para atender en agosto </t>
    </r>
    <r>
      <rPr>
        <b/>
        <sz val="9"/>
        <color theme="1"/>
        <rFont val="Calibri"/>
        <family val="2"/>
        <scheme val="minor"/>
      </rPr>
      <t>4</t>
    </r>
    <r>
      <rPr>
        <sz val="9"/>
        <color theme="1"/>
        <rFont val="Calibri"/>
        <family val="2"/>
        <scheme val="minor"/>
      </rPr>
      <t xml:space="preserve"> eran solicitudes para elaborar auto de desistimineto que fueron subsanadas y fueron atendidas y se genero </t>
    </r>
    <r>
      <rPr>
        <b/>
        <sz val="9"/>
        <color theme="1"/>
        <rFont val="Calibri"/>
        <family val="2"/>
        <scheme val="minor"/>
      </rPr>
      <t>1</t>
    </r>
    <r>
      <rPr>
        <sz val="9"/>
        <color theme="1"/>
        <rFont val="Calibri"/>
        <family val="2"/>
        <scheme val="minor"/>
      </rPr>
      <t xml:space="preserve"> auto de desistimiento.
Se identifica que de 17 dpe del mes de junio pendientes por atender en agosto </t>
    </r>
    <r>
      <rPr>
        <b/>
        <sz val="9"/>
        <color theme="1"/>
        <rFont val="Calibri"/>
        <family val="2"/>
        <scheme val="minor"/>
      </rPr>
      <t>12</t>
    </r>
    <r>
      <rPr>
        <sz val="9"/>
        <color theme="1"/>
        <rFont val="Calibri"/>
        <family val="2"/>
        <scheme val="minor"/>
      </rPr>
      <t xml:space="preserve"> eran requerimientos para completar la solicitud que fueron atendidas por el usuario y a los cuales se les dio respuesta,  se generaron </t>
    </r>
    <r>
      <rPr>
        <b/>
        <sz val="9"/>
        <color theme="1"/>
        <rFont val="Calibri"/>
        <family val="2"/>
        <scheme val="minor"/>
      </rPr>
      <t>5</t>
    </r>
    <r>
      <rPr>
        <sz val="9"/>
        <color theme="1"/>
        <rFont val="Calibri"/>
        <family val="2"/>
        <scheme val="minor"/>
      </rPr>
      <t xml:space="preserve"> autos de desistimiento. 
se identifica que de los 172 dpe del mes de julio pendientes por atender en agosto </t>
    </r>
    <r>
      <rPr>
        <b/>
        <sz val="9"/>
        <color theme="1"/>
        <rFont val="Calibri"/>
        <family val="2"/>
        <scheme val="minor"/>
      </rPr>
      <t>6</t>
    </r>
    <r>
      <rPr>
        <sz val="9"/>
        <color theme="1"/>
        <rFont val="Calibri"/>
        <family val="2"/>
        <scheme val="minor"/>
      </rPr>
      <t xml:space="preserve"> se reasignaron a otra dependencia y  se atendieron </t>
    </r>
    <r>
      <rPr>
        <b/>
        <sz val="9"/>
        <color theme="1"/>
        <rFont val="Calibri"/>
        <family val="2"/>
        <scheme val="minor"/>
      </rPr>
      <t xml:space="preserve">163 </t>
    </r>
    <r>
      <rPr>
        <sz val="9"/>
        <color theme="1"/>
        <rFont val="Calibri"/>
        <family val="2"/>
        <scheme val="minor"/>
      </rPr>
      <t xml:space="preserve">en agosto dentro del termino.
</t>
    </r>
    <r>
      <rPr>
        <b/>
        <sz val="9"/>
        <color rgb="FFFF0000"/>
        <rFont val="Calibri"/>
        <family val="2"/>
        <scheme val="minor"/>
      </rPr>
      <t>Recibido en agosto atendido en  fuera de termino</t>
    </r>
    <r>
      <rPr>
        <sz val="9"/>
        <color theme="1"/>
        <rFont val="Calibri"/>
        <family val="2"/>
        <scheme val="minor"/>
      </rPr>
      <t xml:space="preserve">. </t>
    </r>
    <r>
      <rPr>
        <b/>
        <sz val="9"/>
        <color rgb="FFFF0000"/>
        <rFont val="Calibri"/>
        <family val="2"/>
        <scheme val="minor"/>
      </rPr>
      <t>2 (2019113705-1-000 2019114797-1-000 )</t>
    </r>
    <r>
      <rPr>
        <sz val="9"/>
        <color theme="1"/>
        <rFont val="Calibri"/>
        <family val="2"/>
        <scheme val="minor"/>
      </rPr>
      <t xml:space="preserve"> 
Recibidos en agosto que se atendieron en agosto dentro de termino.</t>
    </r>
    <r>
      <rPr>
        <b/>
        <sz val="9"/>
        <color theme="1"/>
        <rFont val="Calibri"/>
        <family val="2"/>
        <scheme val="minor"/>
      </rPr>
      <t xml:space="preserve">328 </t>
    </r>
    <r>
      <rPr>
        <sz val="9"/>
        <color theme="1"/>
        <rFont val="Calibri"/>
        <family val="2"/>
        <scheme val="minor"/>
      </rPr>
      <t xml:space="preserve">
Recibidos en julio que se encuentran en tramite dentro de termino.  </t>
    </r>
    <r>
      <rPr>
        <b/>
        <sz val="9"/>
        <color theme="1"/>
        <rFont val="Calibri"/>
        <family val="2"/>
        <scheme val="minor"/>
      </rPr>
      <t xml:space="preserve">3
</t>
    </r>
    <r>
      <rPr>
        <sz val="9"/>
        <color theme="1"/>
        <rFont val="Calibri"/>
        <family val="2"/>
        <scheme val="minor"/>
      </rPr>
      <t>Recibidos en agosto que se encuentran en tramite dentro de termino</t>
    </r>
    <r>
      <rPr>
        <b/>
        <sz val="9"/>
        <color theme="1"/>
        <rFont val="Calibri"/>
        <family val="2"/>
        <scheme val="minor"/>
      </rPr>
      <t xml:space="preserve">. 266
</t>
    </r>
    <r>
      <rPr>
        <sz val="9"/>
        <color theme="1"/>
        <rFont val="Calibri"/>
        <family val="2"/>
        <scheme val="minor"/>
      </rPr>
      <t xml:space="preserve">
</t>
    </r>
  </si>
  <si>
    <t>Cobertura</t>
  </si>
  <si>
    <t>Centro de orientación al usuario diseñado y en implementación</t>
  </si>
  <si>
    <t># de centros de orientación al usuario implementados</t>
  </si>
  <si>
    <t>Porcentaje de cumplimiento del plan de trabajo establecido para el centro de orientación al usuario</t>
  </si>
  <si>
    <t># actividades del plan de trabajo/# total de actividades programadas</t>
  </si>
  <si>
    <t xml:space="preserve">Para el mes de enero se definieron 2 actividades correspondientes a la etapa de diseño del COU, de las cuales ya se ejecutaron 2. </t>
  </si>
  <si>
    <t>Se definieron 9 actividades en el plan de trabajo, de las cuales ya se ejecutaron 2, correspondientes al diagnóstico y elaboración de propuesta de diseño del COU y la definición de productos y servicios, revisión fuentes de información, resultados encuentra de satisfacción 2018 e identificación de los grupos de valor.</t>
  </si>
  <si>
    <t>Se definieron 9 actividades en el plan de trabajo, de las cuales ya se ejecutaron 3, correspondientes al diagnóstico, elaboración de propuesta de diseño del COU, definición de productos y servicios, revisión fuentes de información y resultados encuesta de satisfacción 2018, identificación de los grupos de valor y la identificación de necesidades logísticas del COU.</t>
  </si>
  <si>
    <t>Con el cambio de sede se espera iniciar la etapa de implementación del COU, que se tiene prevista para el segundo semestre del año.</t>
  </si>
  <si>
    <t>Se definieron 9 actividades en el plan de trabajo, de las cuales ya se ejecutaron 4, así: 1. Diagnóstico y elaboración de propuesta de diseño del COU. 2.  definición de productos y servicios, revisión fuentes de información, resultados encuesta de satisfacción 2018, identificación de los grupos de valor. 3. Proyecto de identificación de necesidades logísticas del COU. 4. Reunión de revisión de la propuesta de identificación de necesidades del COU.</t>
  </si>
  <si>
    <t>Se solicita cambiar este indicador debido a las circunstancias actuales (aplazamiento cambio de sede), por construcción de la propuesta de COU</t>
  </si>
  <si>
    <t>Se definieron 9 actividades en el plan de trabajo, de las cuales ya se ejecutaron 5, así: 1. Diagnóstico y elaboración de propuesta de diseño del COU. 2.  definición de productos y servicios, revisión fuentes de información, resultados encuesta de satisfacción 2018, identificación de los grupos de valor. 3. Proyecto de identificación de necesidades logísticas del COU. 4. Reunión de revisión de la propuesta de identificación de necesidades del COU. 5. Ajustes de proyecto de necesidades logísticas del COU (documento borrador).</t>
  </si>
  <si>
    <t>Pendiente por definir</t>
  </si>
  <si>
    <t>Se definieron 9 actividades en el plan de trabajo, de las cuales ya se ejecutaron 6, así: 1. Diagnóstico y elaboración de propuesta de diseño del COU. 2.  definición de productos y servicios, revisión fuentes de información, resultados encuesta de satisfacción 2018, identificación de los grupos de valor. 3. Proyecto de identificación de necesidades logísticas del COU. 4. Reunión de revisión de la propuesta de identificación de necesidades del COU. 5. Ajustes de proyecto de necesidades logísticas del COU (documento borrador). 6. Estructuración del diseñor definitivo (documento tabla de contenido COU)</t>
  </si>
  <si>
    <t>Se definieron 9 actividades en el plan de trabajo, de las cuales ya se ejecutaron 7, así: 1. Diagnóstico y elaboración de propuesta de diseño del COU. 2.  definición de productos y servicios, revisión fuentes de información, resultados encuesta de satisfacción 2018, identificación de los grupos de valor. 3. Proyecto de identificación de necesidades logísticas del COU. 4. Reunión de revisión de la propuesta de identificación de necesidades del COU. 5. Ajustes de proyecto de necesidades logísticas del COU (documento borrador). 6. Estructuración del diseñor definitivo (documento tabla de contenido COU). 7. Realizar la descripción de la necesidad, elaborar el Marco normativo y Marco conceptual.</t>
  </si>
  <si>
    <t>Financiamiento y gasto de la operación de Licenciamiento</t>
  </si>
  <si>
    <t>ADMINISTRATIVO</t>
  </si>
  <si>
    <t>Optimizar la financiación de la entidad, los incentivos para el recurso humano, la infraestructura y definir una estrategia para entes de control</t>
  </si>
  <si>
    <t>Ejercicio Contractual</t>
  </si>
  <si>
    <t>GESTIÓN ADMINISTRATIVA, FINANCIERA Y DEL TALENTO HUMANO</t>
  </si>
  <si>
    <t>GESTIÓN DE CONTRATACIÓN</t>
  </si>
  <si>
    <t>Contratos</t>
  </si>
  <si>
    <t>Porcentaje de contratos por modalidad contratación directa de prestación de servicios y/o apoyo a la gestión atendidos dentro de los tiempos establecidos en el procedimiento</t>
  </si>
  <si>
    <t>N° total de trámites de contratación directa de prestación de servicios y/o apoyo a la gestión atendidos dentro de los tiempos establecidos en el procedimiento /N° total de trámites de contratación directa de prestación de servicios y/o apoyo a la gestión recibidos en el periodo</t>
  </si>
  <si>
    <t>144/229</t>
  </si>
  <si>
    <t>55/64</t>
  </si>
  <si>
    <t>Durante el mes de marzo se suscribieron 64 contratos de prestación de servicios profesionales y de apoyo a la gestión de los cuales 55 fueron tramitados en el término señalado en el procedimiento.</t>
  </si>
  <si>
    <t>42 de los 50 contratos recibidos en el mes de abril fueron atendido dentro de los tiempos establecidos en el procedimiento</t>
  </si>
  <si>
    <t>124/127</t>
  </si>
  <si>
    <t>124 de los 127 contratos recibidos en el mes de mayo fueron atendidos dentro de los tiempos establecidos en el procedimiento</t>
  </si>
  <si>
    <t>20 de los 21 contratos recibidos en el mes de junio fueron atendidos dentro de los tiempos establecidos en el procedimiento</t>
  </si>
  <si>
    <t>0|56</t>
  </si>
  <si>
    <t>Ningún contrato de los 56  recibidos en el mes de julio fue atendido fuera de los tiempos establecidos en el procedimiento</t>
  </si>
  <si>
    <t>0|363</t>
  </si>
  <si>
    <t>Ningún contrato de los 363  recibidos en el mes de agosto fue atendido fuera de los tiempos establecidos en el procedimiento</t>
  </si>
  <si>
    <t>286/286</t>
  </si>
  <si>
    <t>Ningún contrato de los 286  recibidos en el mes de septiembre fue atendido fuera de los tiempos establecidos en el procedimiento</t>
  </si>
  <si>
    <t>Porcentaje de devoluciones realizadas en procesos de contratación</t>
  </si>
  <si>
    <t>N° total de devoluciones en el mes/N° total de procesos radicados en el mes</t>
  </si>
  <si>
    <t>135/229</t>
  </si>
  <si>
    <t>40/64</t>
  </si>
  <si>
    <t>Durante el mes de marzo de 2019 se suscribieron 64 contratos de prestación de servicios profesionales y de apoyo a la gestión. De las 64 solicitudes radicadas 40 trámites fueron devueltos a las áreas antes de la celebración del contrato, con el fin de allegar documentos o corregir información imprecisa que se entrega por parte de las áreas solicitantes de la contratación.</t>
  </si>
  <si>
    <t>20 de los 50 contratos radicados en el mes de abril, tuvieron devolución. El número de contrato 864 dentro de las evidencias aparece como fuera de tiempo, pero los días 15, 16 y 17 de abril, no se firmó por semana santa.</t>
  </si>
  <si>
    <t>54/127</t>
  </si>
  <si>
    <t xml:space="preserve">54 de los 127 contratos recibidos en el mes de mayo, tuvieron devolución. </t>
  </si>
  <si>
    <t>13/21</t>
  </si>
  <si>
    <t xml:space="preserve">13 de los 21 contratos recibidos en el mes de junio, tuvieron devolución. </t>
  </si>
  <si>
    <t>6|56</t>
  </si>
  <si>
    <t xml:space="preserve">6 de los 56 contratos recibidos en el mes de julio, tuvieron devolución. </t>
  </si>
  <si>
    <t>43|363</t>
  </si>
  <si>
    <t xml:space="preserve">43 de los 363 contratos recibidos en el mes de agosto, tuvieron devolución. </t>
  </si>
  <si>
    <t>15/286</t>
  </si>
  <si>
    <t xml:space="preserve">15 de los 286 contratos recibidos en el mes de septiembre, tuvieron devolución. </t>
  </si>
  <si>
    <t>GESTIÓN FINANCIERA</t>
  </si>
  <si>
    <t>Finanzas y presupuesto</t>
  </si>
  <si>
    <t>Porcentaje de recaudo efectivo</t>
  </si>
  <si>
    <t>Valor Recaudo efectivo / (Meta recaudo por servicios de evaluación, seguimiento, multas, intereses y fotocopias)</t>
  </si>
  <si>
    <t>Porcentaje Recaudo efectivo servicio de evaluación</t>
  </si>
  <si>
    <t>Valor efectivo recaudado servicio de evaluación / (Valor proyectado recaudo por servicio de evaluación)</t>
  </si>
  <si>
    <t>La meta total de recaudo para la vigencia 2019 es de $ 86.171.137.349
El recaudo de enero de 2019 por concepto de multa incremento el valor total del recaudo superando así la expectativa para el mes.</t>
  </si>
  <si>
    <t>En esta actividad se espera recaudar al cierre del año $24.361.080.708</t>
  </si>
  <si>
    <t>La meta total de recaudo para la vigencia 2019 es de                         $ 86.171.137.349
El recaudo de febrero en total fue de $11.960.071.487, parte importante de este valor corresponde al recaudo del monto correspondiente a dos usuarios por la multa 1590 total del recaudo supera la expectativa para el cierre del mes.</t>
  </si>
  <si>
    <t>La meta total de recaudo para la vigencia 2019 es de $ 85.633.531.370; esta fue modificada de acuerdo a lo propuesto en el anteproyecto de presupuesto, que contiene las cifras de las previsiones, las cuales se formalizaron ante el MADS y se enviaran para Min Hacienda. El valor modificado fue en el indicador de gestión de evaluación.
El recaudo de febrero en total fue de  $6.199.845.904 durante el mes de marzo se incremento el recaudo de procesos en cobro coactivo lo cual incremente el recaudo en intereses por mora</t>
  </si>
  <si>
    <t>En esta actividad se espera recaudar al cierre del año $23.823.474.729</t>
  </si>
  <si>
    <t>La meta total de recaudo para la vigencia 2019 es de $ 85.633.531.370.
Sobre la meta total tenemos un porcentaje de avance optimo, sin embargo es importante revisar la meta por cada actividad por cuanto las actividades de Evaluación e Intereses están por debajo de lo esperado.
La meta esperada en Multas fue superada en los primeros 4 meses del año, se planteará hacer un ajuste a la meta propuesta.</t>
  </si>
  <si>
    <t>En esta actividad evaluación, se espera recaudar al cierre del año $23.823.474.729</t>
  </si>
  <si>
    <t>La meta total de recaudo para la vigencia 2019 es de $ 85.633.531.370.
Sobre la meta total tenemos un porcentaje de avance optimo, sin embargo es importante revisar la meta por cada actividad por cuanto las actividades de Evaluación e Intereses estan por debajo de lo esperado.
La meta esperada en Multas fue superada en los primeros 4 meses del año, se planteará hacer un ajuste a la meta propuesta.</t>
  </si>
  <si>
    <t>Porcentaje Recaudo efectivo servicio de seguimiento</t>
  </si>
  <si>
    <t>Valor efectivo recaudado servicio de seguimiento / (Valor proyectado recaudo por servicio de seguimiento)</t>
  </si>
  <si>
    <t>En esta actividad se espera recaudar al cierre del año $54.220.148.806</t>
  </si>
  <si>
    <t>En esta actividad seguimiento, se espera recaudar al cierre del año $54.220.148.806</t>
  </si>
  <si>
    <t>Porcentaje Recaudo efectivo multas</t>
  </si>
  <si>
    <t>Valor efectivo recaudado multas / (Valor proyectado recaudo multas)</t>
  </si>
  <si>
    <t>En esta actividad se espera recaudar al cierre del año $6.195.243.539</t>
  </si>
  <si>
    <t>En esta actividad multas, se espera recaudar al cierre del año $6.195.243.539</t>
  </si>
  <si>
    <t>Porcentaje Recaudo efectivo intereses</t>
  </si>
  <si>
    <t>Valor efectivo recaudado intereses / (Valor proyectado recaudo intereses)</t>
  </si>
  <si>
    <t>En esta actividad se espera recaudar al cierre del año $1.353.296.747</t>
  </si>
  <si>
    <t>En esta actividad intereses, se espera recaudar al cierre del año $1.353.296.747</t>
  </si>
  <si>
    <t>INVERSIÓN</t>
  </si>
  <si>
    <t>FUNCIONAMIENTO</t>
  </si>
  <si>
    <t>PORCENTAJES DE FINANCIERA AJUSTADOS POR META DE CADA INDICADOR Y NO META DEL PRODUCTO DE ENERO A MARZO</t>
  </si>
  <si>
    <t>Porcentaje Recaudo efectivo servicio de fotocopias</t>
  </si>
  <si>
    <t>Valor efectivo recaudado servicio de fotocopias / (Valor proyectado recaudo por servicio de fotocopias)</t>
  </si>
  <si>
    <t>En esta actividad se espera recaudar al cierre del año $41.367.548</t>
  </si>
  <si>
    <t>En esta actividad fotocopias, se espera recaudar al cierre del año $41.367.548</t>
  </si>
  <si>
    <t>Compromisos</t>
  </si>
  <si>
    <t>Obligaciones</t>
  </si>
  <si>
    <t>Ejecución Presupuestal</t>
  </si>
  <si>
    <t>Avance a  la Ejecución presupuestal en obligaciones</t>
  </si>
  <si>
    <t>Valor obligado / valor apropiación vigente</t>
  </si>
  <si>
    <t>Avance mensual de la ejecución presupuestal medida en obligaciones de inversión de la entidad</t>
  </si>
  <si>
    <t>Valor obligado en inversión / valor apropiación vigente</t>
  </si>
  <si>
    <t>El presupuesto vigencia 2019 para el mes de enero registró obligaciones del 2%.</t>
  </si>
  <si>
    <t>El presupuesto inversión vigencia 2019 para el mes de enero registró obligaciones del 1%.</t>
  </si>
  <si>
    <t>El presupuesto vigencia 2019 para el mes de febrero registró obligaciones acumuladas del 4,6%.</t>
  </si>
  <si>
    <t>El presupuesto inversión vigencia 2019 para el mes de febrero registró obligaciones acumuladas del 2,4%.</t>
  </si>
  <si>
    <t>El presupuesto vigencia 2019 para el mes de marzo registró obligaciones acumuladas del 10,6%.</t>
  </si>
  <si>
    <t>El presupuesto inversión vigencia 2019 para el mes de marzo registró obligaciones acumuladas del 7,2%.</t>
  </si>
  <si>
    <t>El presupuesto vigencia 2019 para el mes de abril registró obligaciones acumuladas del 16,4%.</t>
  </si>
  <si>
    <t>El presupuesto inversión vigencia 2019 para el mes de abril registró obligaciones acumuladas del 15.9%.</t>
  </si>
  <si>
    <t>El presupuesto vigencia 2019 para el mes de mayo registró obligaciones acumuladas del 21.4%; Incluyendo apropiacion vigente de presupuesto de regalias asignada a la ANLA mediante Resolucion 659-2019</t>
  </si>
  <si>
    <t>El presupuesto inversión vigencia 2019 para el mes de mayo registró obligaciones acumuladas del 23.0%.</t>
  </si>
  <si>
    <t>El presupuesto vigencia 2019 para el mes de junio registró obligaciones acumuladas del 28.6%; Incluyendo apropiacion vigente de presupuesto de regalias asignada a la ANLA mediante Resolucion 659-2019</t>
  </si>
  <si>
    <t>El presupuesto inversión vigencia 2019 para el mes de junio registró obligaciones acumuladas del 30.8%.</t>
  </si>
  <si>
    <t>El presupuesto vigencia 2019 para el mes de julio registró obligaciones acumuladas del 36.1%; Incluyendo apropiacion vigente de presupuesto de regalias asignada a la ANLA mediante Resolucion 659-2019</t>
  </si>
  <si>
    <t>El presupuesto inversión vigencia 2019 para el mes de julio registró obligaciones acumuladas del 39%.</t>
  </si>
  <si>
    <t>El presupuesto vigencia 2019 para el mes de agosto registró obligaciones acumuladas del 43.7%; Incluyendo apropiacion vigente de presupuesto de regalias asignada a la ANLA mediante Resolucion 659-2019</t>
  </si>
  <si>
    <t>El presupuesto inversión vigencia 2019 para el mes de agosto registró obligaciones acumuladas del 46.8%.</t>
  </si>
  <si>
    <t>El presupuesto vigencia 2019 para el mes de septiembre registró obligaciones acumuladas del 50.4%; Incluyendo apropiacion vigente de presupuesto de regalias asignada a la ANLA mediante Resolucion 659-2019</t>
  </si>
  <si>
    <t>El presupuesto inversión vigencia 2019 para el mes de septiembre registró obligaciones acumuladas del 53.6%.</t>
  </si>
  <si>
    <t>Avance mensual de la ejecución presupuestal medida en obligaciones de funcionamiento de la entidad</t>
  </si>
  <si>
    <t>Valor obligado en funcionamiento / valor apropiación vigente</t>
  </si>
  <si>
    <t>El presupuesto funcionamiento vigencia 2019 para el mes de enero registró obligaciones del 1%.</t>
  </si>
  <si>
    <t>El presupuesto funcionamiento vigencia 2019 para el mes de febrero registró obligaciones acumuladas del 2,1%.</t>
  </si>
  <si>
    <t>El presupuesto funcionamiento vigencia 2019 para el mes de marzo registró obligaciones acumuladas del 3,4%.</t>
  </si>
  <si>
    <t>El presupuesto funcionamiento vigencia 2019 para el mes de abril registró obligaciones acumuladas del 18,2%.</t>
  </si>
  <si>
    <t>El presupuesto funcionamiento vigencia 2019 para el mes de mayo registró obligaciones acumuladas del 17.6%.Incluyendo apropiacion vigente de presupuesto de regalias asignada a la ANLA mediante Resolucion 659-2019</t>
  </si>
  <si>
    <t>El presupuesto funcionamiento vigencia 2019 para el mes de junio registró obligaciones acumuladas del 23.3%.Incluyendo apropiacion vigente de presupuesto de regalias asignada a la ANLA mediante Resolucion 659-2019</t>
  </si>
  <si>
    <t>El presupuesto funcionamiento vigencia 2019 para el mes de julio registró obligaciones acumuladas del 29.4%.Incluyendo apropiacion vigente de presupuesto de regalias asignada a la ANLA mediante Resolucion 659-2019</t>
  </si>
  <si>
    <t>El presupuesto funcionamiento vigencia 2019 para el mes de agosto registró obligaciones acumuladas del 36.1%.Incluyendo apropiacion vigente de presupuesto de regalias asignada a la ANLA mediante Resolucion 659-2019</t>
  </si>
  <si>
    <t>El presupuesto funcionamiento vigencia 2019 para el mes de septiembre registró obligaciones acumuladas del 42.5%.Incluyendo apropiacion vigente de presupuesto de regalias asignada a la ANLA mediante Resolucion 659-2019</t>
  </si>
  <si>
    <t>Avance  a la Ejecución presupuestal en compromisos</t>
  </si>
  <si>
    <t>Valor comprometido/ valor apropiación vigente</t>
  </si>
  <si>
    <t>Avance mensual de la ejecución presupuestal medida en compromisos de funcionamiento de la entidad</t>
  </si>
  <si>
    <t>Valor comprometido en funcionamiento / valor apropiación vigente</t>
  </si>
  <si>
    <t>El presupuesto vigencia 2019 para el mes de enero registró compromisos del 27%.</t>
  </si>
  <si>
    <t>El presupuesto funcionamiento vigencia 2019 para el mes de enero registró compromisos del 6%.</t>
  </si>
  <si>
    <t>El presupuesto vigencia 2019 para el mes de febrero registró compromisos acumulados del 38,9%.</t>
  </si>
  <si>
    <t>El presupuesto funcionamiento vigencia 2019 para el mes de febrero registró compromisos acumulados del 7%.</t>
  </si>
  <si>
    <t>El presupuesto vigencia 2019 para el mes de marzo registró compromisos acumulados del 43,1%.</t>
  </si>
  <si>
    <t>El presupuesto funcionamiento vigencia 2019 para el mes de marzo registró compromisos acumulados del 7,8%.</t>
  </si>
  <si>
    <t>El presupuesto vigencia 2019 para el mes de abril registró compromisos acumulados del 48,7%.</t>
  </si>
  <si>
    <t>El presupuesto funcionamiento vigencia 2019 para el mes de abril registró compromisos acumulados del 35,2%.</t>
  </si>
  <si>
    <t>El prespuesto vigencia 2019 para el mes de mayo registró compromisos acumulados del 52.7%. Incluyendo apropiacion vigente de presupuesto de regalias asignada a la ANLA mediante Resolucion 659-2019</t>
  </si>
  <si>
    <t>El presupuesto funcionamiento vigencia 2019 para el mes de mayo registró compromisos acumulados del 44.9%.Incluyendo apropiacion vigente de presupuesto de regalias asignada a la ANLA mediante Resolucion 659-2019</t>
  </si>
  <si>
    <t>El prespuesto vigencia 2019 para el mes de junio registró compromisos acumulados del 54.5%. Incluyendo apropiacion vigente de presupuesto de regalias asignada a la ANLA mediante Resolucion 659-2019</t>
  </si>
  <si>
    <t>El presupuesto funcionamiento vigencia 2019 para el mes de junio registró compromisos acumulados del 48.8%.Incluyendo apropiacion vigente de presupuesto de regalias asignada a la ANLA mediante Resolucion 659-2019</t>
  </si>
  <si>
    <t>El prespuesto vigencia 2019 para el mes de julio registró compromisos acumulados del 58%. Incluyendo apropiacion vigente de presupuesto de regalias asignada a la ANLA mediante Resolucion 659-2019</t>
  </si>
  <si>
    <t>El presupuesto funcionamiento vigencia 2019 para el mes de julio registró compromisos acumulados del 53.5%.Incluyendo apropiacion vigente de presupuesto de regalias asignada a la ANLA mediante Resolucion 659-2019</t>
  </si>
  <si>
    <t>El prespuesto vigencia 2019 para el mes de agosto registró compromisos acumulados del 69.5%. Incluyendo apropiacion vigente de presupuesto de regalias asignada a la ANLA mediante Resolucion 659-2019</t>
  </si>
  <si>
    <t>El presupuesto funcionamiento vigencia 2019 para el mes de agosto registró compromisos acumulados del 60.5%.Incluyendo apropiacion vigente de presupuesto de regalias asignada a la ANLA mediante Resolucion 659-2019</t>
  </si>
  <si>
    <t>El presupuesto funcionamiento vigencia 2019 para el mes de septiembre registró compromisos acumulados del 62.9%.Incluyendo apropiacion vigente de presupuesto de regalias asignada a la ANLA mediante Resolucion 659-2019</t>
  </si>
  <si>
    <t>Avance mensual de la ejecución presupuestal medida en compromisos de inversión de la entidad</t>
  </si>
  <si>
    <t>Valor comprometido en inversión / valor apropiación vigente</t>
  </si>
  <si>
    <t>El presupuesto inversión vigencia 2019 para el mes de enero registró compromisos del 21%.</t>
  </si>
  <si>
    <t>El presupuesto inversión vigencia 2019 para el mes de febrero registró compromisos acumulados del 31,9%.</t>
  </si>
  <si>
    <t>El presupuesto inversión vigencia 2019 para el mes de marzo registró compromisos acumulados del 35,3%.</t>
  </si>
  <si>
    <t>El presupuesto inversión vigencia 2019 para el mes de abril registró compromisos acumulados del 53,1%.</t>
  </si>
  <si>
    <t>El prespuesto inversión vigencia 2019 para el mes de mayo registró compromisos acumulados del 55.9%.</t>
  </si>
  <si>
    <t>El prespuesto inversión vigencia 2019 para el mes de junio registró compromisos acumulados del 56.9%.</t>
  </si>
  <si>
    <t>El prespuesto inversión vigencia 2019 para el mes de julio registró compromisos acumulados del 59.9%.</t>
  </si>
  <si>
    <t>El prespuesto inversión vigencia 2019 para el mes de agosto registró compromisos acumulados del 73.2%.</t>
  </si>
  <si>
    <t>El prespuesto inversión vigencia 2019 para el mes de septiembre registró compromisos acumulados del 84.0%.</t>
  </si>
  <si>
    <t xml:space="preserve">Oportunidad en los pagos realizados </t>
  </si>
  <si>
    <t>Pagos realizados oportunamente en el mes /Total de pagos realizados en el mes</t>
  </si>
  <si>
    <t>Días Promedio utilizados en la realización de los pagos</t>
  </si>
  <si>
    <t>Numero de pagos realizados ≤ a 3 días/Total de pagos realizados en el mes</t>
  </si>
  <si>
    <t>Las 244 cuentas  pagadas en el mes fueron pagadas  oportunamente</t>
  </si>
  <si>
    <t>De las 244 cuentas pagadas en el mes, 239 fueron pagadas en un tiempo menor o igual a 3 días.</t>
  </si>
  <si>
    <t>Las 301 cuentas  pagadas en el mes de febrero fueron pagadas  oportunamente.</t>
  </si>
  <si>
    <t>De las 301 cuentas pagadas en el mes de febrero, 301 fueron pagadas en un tiempo menor o igual a 3 días.</t>
  </si>
  <si>
    <t>Las 831 cuentas  pagadas en el mes de mes fueron pagadas  oportunamente</t>
  </si>
  <si>
    <t>De las 831 cuentas pagadas en el mes de marzo, 829 fueron pagadas en un tiempo menor o igual a 3 días.</t>
  </si>
  <si>
    <t>Las 889 cuentas  pagadas en el mes de abril fueron pagadas  oportunamente</t>
  </si>
  <si>
    <t>De las 889 cuentas pagadas en el mes de abril, 889 fueron pagadas en un tiempo menor o igual a 2 días.</t>
  </si>
  <si>
    <r>
      <t>Las 1105</t>
    </r>
    <r>
      <rPr>
        <sz val="9"/>
        <color rgb="FFFF0000"/>
        <rFont val="Calibri"/>
        <family val="2"/>
        <scheme val="minor"/>
      </rPr>
      <t xml:space="preserve"> </t>
    </r>
    <r>
      <rPr>
        <sz val="9"/>
        <color theme="1"/>
        <rFont val="Calibri"/>
        <family val="2"/>
        <scheme val="minor"/>
      </rPr>
      <t>cuentas  pagadas en el mes de mayo fueron pagadas  oportunamente</t>
    </r>
  </si>
  <si>
    <t>De las 1105 cuentas autorizadas para pago  en el mes de mayo, 1105 fueron pagadas en un tiempo  menor o igual a 3 días.</t>
  </si>
  <si>
    <r>
      <t>Las 1156</t>
    </r>
    <r>
      <rPr>
        <sz val="9"/>
        <color rgb="FFFF0000"/>
        <rFont val="Calibri"/>
        <family val="2"/>
        <scheme val="minor"/>
      </rPr>
      <t xml:space="preserve"> </t>
    </r>
    <r>
      <rPr>
        <sz val="9"/>
        <color theme="1"/>
        <rFont val="Calibri"/>
        <family val="2"/>
        <scheme val="minor"/>
      </rPr>
      <t>cuentas tramitadas en el mes de junio fueron pagadas  oportunamente</t>
    </r>
  </si>
  <si>
    <t>De las 1156 cuentas tramitadas en el mes de junio, 1120 fueron pagadas en un tiempo menor o igual a 3 días.</t>
  </si>
  <si>
    <r>
      <t>Las 1524</t>
    </r>
    <r>
      <rPr>
        <sz val="9"/>
        <color rgb="FFFF0000"/>
        <rFont val="Calibri"/>
        <family val="2"/>
        <scheme val="minor"/>
      </rPr>
      <t xml:space="preserve"> </t>
    </r>
    <r>
      <rPr>
        <sz val="9"/>
        <color theme="1"/>
        <rFont val="Calibri"/>
        <family val="2"/>
        <scheme val="minor"/>
      </rPr>
      <t>cuentas tramitadas en el mes de julio fueron pagadas  oportunamente</t>
    </r>
  </si>
  <si>
    <t>De las 1524 cuentas tramitadas en el mes de julio, 1524 fueron pagadas en un tiempo menor o igual a 3 días.</t>
  </si>
  <si>
    <r>
      <t>Las 1267</t>
    </r>
    <r>
      <rPr>
        <sz val="9"/>
        <color rgb="FFFF0000"/>
        <rFont val="Calibri"/>
        <family val="2"/>
        <scheme val="minor"/>
      </rPr>
      <t xml:space="preserve"> </t>
    </r>
    <r>
      <rPr>
        <sz val="9"/>
        <color theme="1"/>
        <rFont val="Calibri"/>
        <family val="2"/>
        <scheme val="minor"/>
      </rPr>
      <t>cuentas tramitadas en el mes de agosto fueron pagadas  oportunamente.</t>
    </r>
  </si>
  <si>
    <t>De las 1267 cuentas tramitadas en el mes de agosto, 548 fueron pagadas en un tiempo menor o igual a 3 días.</t>
  </si>
  <si>
    <r>
      <t>Las 1331</t>
    </r>
    <r>
      <rPr>
        <sz val="9"/>
        <color rgb="FFFF0000"/>
        <rFont val="Calibri"/>
        <family val="2"/>
        <scheme val="minor"/>
      </rPr>
      <t xml:space="preserve"> </t>
    </r>
    <r>
      <rPr>
        <sz val="9"/>
        <color theme="1"/>
        <rFont val="Calibri"/>
        <family val="2"/>
        <scheme val="minor"/>
      </rPr>
      <t>cuentas tramitadas en el mes de septiembre fueron pagadas  oportunamente.</t>
    </r>
  </si>
  <si>
    <r>
      <t>De las 1331 cuentas tramitadas en el mes de septiembre,</t>
    </r>
    <r>
      <rPr>
        <sz val="9"/>
        <color rgb="FFFF0000"/>
        <rFont val="Calibri"/>
        <family val="2"/>
        <scheme val="minor"/>
      </rPr>
      <t xml:space="preserve"> </t>
    </r>
    <r>
      <rPr>
        <sz val="9"/>
        <color theme="1"/>
        <rFont val="Calibri"/>
        <family val="2"/>
        <scheme val="minor"/>
      </rPr>
      <t>632</t>
    </r>
    <r>
      <rPr>
        <sz val="9"/>
        <rFont val="Calibri"/>
        <family val="2"/>
        <scheme val="minor"/>
      </rPr>
      <t xml:space="preserve"> fueron pagadas en un tiempo menor o igual a 3 días.</t>
    </r>
  </si>
  <si>
    <t>Información pública y mejora en la atención al usuario</t>
  </si>
  <si>
    <t>5. Información y Comunicación</t>
  </si>
  <si>
    <t xml:space="preserve">Gestión Documental </t>
  </si>
  <si>
    <t>Administración de archivos</t>
  </si>
  <si>
    <t>GESTIÓN DOCUMENTAL</t>
  </si>
  <si>
    <t>Gestión documental</t>
  </si>
  <si>
    <t>Plan Institucional  de Archivos PINAR diseñado y en implementación</t>
  </si>
  <si>
    <t>Número de actividades desarrolladas/Número de actividades programadas</t>
  </si>
  <si>
    <t>Porcentaje de transferencias documentales formalizadas</t>
  </si>
  <si>
    <t>Transferencias documentales formalizadas/Transferencias Documentales por Formalizar</t>
  </si>
  <si>
    <t>De acuerdo con las actividades previstas para el mes e enero solo se puede cuantificar un avance del 7%</t>
  </si>
  <si>
    <t>En el mes de enero de 2019 se recibió una (1) de las cinco (5) transferencias documentales a formalizar en la vigencia 2019, la cual corresponde al Grupo de Talento Humano,  historias laborales de  exfuncionarios, según memorando  019009911-3-000 del 31/01/2019 que remite 19 cajas con 93 carpetas de expedientes de Historias Laborales</t>
  </si>
  <si>
    <t>Para el mes de febrero no se programo transferencia documental según cronograma</t>
  </si>
  <si>
    <t>Para el mes de marzo se programo transferencia de cintas de backups del área de tecnología.</t>
  </si>
  <si>
    <t>Para el mes de abril se logro avanzar en un 16% de las actividades propuestas, lo cual representa el promedio de los 3 indicadores de gestión</t>
  </si>
  <si>
    <t>Para el mes de abril se programó transferencia de cintas de backups del área de control interno disciplinario de la Subdirección Administrativa y Financiera.</t>
  </si>
  <si>
    <t>Para el mes de mayo se logro avanzar en un 10% de las actividades propuestas, lo cual representa el promedio de los 3 indicadores de gestión</t>
  </si>
  <si>
    <t>Para el mes de mayo se programo transferencia del Grupo de Finanzas y Presupuesto de la  Subdirección Adminitrativa y Financiera.</t>
  </si>
  <si>
    <t>.Para el mes de JUNIO  se programo transferencia   de la serie documental Procesos de Cobro Coactivo de la Oficina Asesora Juridica</t>
  </si>
  <si>
    <t xml:space="preserve">.Para el mes de JULIO se programo transferencia   de la serie documental Acciones de Tutela año 2015 de la Oficina Asesora Juridica. </t>
  </si>
  <si>
    <t>Para el mes de agosto se culmino las transferencias documentales programadas para 2019 (cumpliendo la meta del 4% para esta actividad 2019), asi mismo se avanzó en la visita  a bodega que en principio cumple con el 90% de los exigido en el acuerdo 08 de 2014 del AGN (0.3%), finalmente el PGD se encuentra actualizado y en revisión por la subdirectora de la SAF para proxima presentación ante el Comité Institucional de Gestión y Desempeño (9% de avance del 10% que equivale este producto).</t>
  </si>
  <si>
    <t>.Para el mes de Agosto se finalizó con el total de transferencias documentales  de la serie documental Acciones de Tutela año 2011-2014  de la Oficina Asesora Juridica. Cerrando al 100% esta actividad.</t>
  </si>
  <si>
    <t>Para el mes de septiembre se tiene un avance en el cronograma de ejecución del PINAR de un 57.1% avance soportado en:
1. culminación de las transferencias documentales.
2. De las 8 areas programadas para implementación de TRD a corte de septiembre se han culminado postivamente 7 (lo que correspode a un avance de la actividad de17.5 del 20% que es la meta a alcanzar.
3. Con respecto a la adecuación de la bodega se tiene un avance del 6.6% representado en lel inicio del proceso para arrendamiento de bodega ubicada en ALAMOS.
4. Un avance del 9% en actualización de PGD en atención que esta pendiente la aprobación y presentación ante el COMITË MIPG y publicación en Pagina WEB.
5. Un avance del 4% en MOREQ representado en un 3% relacionado con el banco terminologico de series y subseries y 1% en lo relacionado con la definición de metadatos.</t>
  </si>
  <si>
    <t>.En el mes de septiembre se cumplio al 100% con la meta de fomarlizar las 5 transferencias documentales programadas para la vigencia 2019</t>
  </si>
  <si>
    <t>Documental</t>
  </si>
  <si>
    <t xml:space="preserve">Tablas de Retención Documental implementadas </t>
  </si>
  <si>
    <t xml:space="preserve"># de tablas de retención documental implementadas </t>
  </si>
  <si>
    <t>Para esta actividad las Tablas a implementar en el año 2019 corresponden a: Oficina Asesora de Planeación, Grupo de Atención al Ciudadano, Grupo de Atención a Respuestas y Solicitudes Prioritarias RAPS, Grupo de Servicios Administrativo, Grupo de Finanzas y Presupuesto, Subdirección Administrativa y Financiera, Subdirección de Instrumentos Permisos y Trámites Ambientales (Instrumentos), Grupo de Permisos y Trámites Ambientales, En el mes de enero de 2019, se ha iniciado el proceso de implementación de TRD con las siguientes áreas Oficina Asesora de Planeación y  Grupo de Atención a Respuestas y Solicitudes Prioritarias RAPS. De acuerdo con el cronograma de implementación de TRD para el mes de enero no se proyecto culminar implementación de TRD .</t>
  </si>
  <si>
    <t>Para el mes de Febrero se implemento la Tabla de Retención Documental del Grupo de Atención al Ciudadano</t>
  </si>
  <si>
    <t>Para el mes de Marzo se implemento la Tabla de Retención Documental de la Oficina Asesora de Planeación.</t>
  </si>
  <si>
    <t>Para el mes de Abril  se implemento la Tabla de Retención Documental del grupo de respuesta a solicitudes prioritarias</t>
  </si>
  <si>
    <t>Para el mes de mayo se programo la implementación de la Tabla de Retención documental del Grupo de Finanzas y Presupuesto, actividad que no fue posible cumplir por cuanto se genero un reproceso en la foliación lo que atraso las actividades para cumplir con la meta mensual. Se firma acta entre el area mencionada y gestión documental para dejar evidencia y definir fecha de culminación, que corresponde al mes de junio de 2019.</t>
  </si>
  <si>
    <t>Para el mes de JUNIO se implementó la  la Tabla de Retención Documental de la Subdirección Administrativa y Financiera. 
Así mismo se reporta el cumplimiento en la implementación de la Tabla de Retención Documental del Grupo de Finanzas y Presupuesto que no fue posible culminar en el mes de mayo.</t>
  </si>
  <si>
    <t xml:space="preserve">Para el mes de JULIO  se programó la implementación de la Tabla de Retención Documental del Grupo de Servicios Administrarivos  de un total de 12 series documentales se implementó 11 de ellas . 1. Actas de Eliminación Documental
2. Actas de Transferencias Documentales
3. Actas del Comité de Bienes
4. Actas del Comité de Seguridad Vial
5. Consecutivo de Comunicaciones Oficiales
6. Derechos de Petición
7. Instrumentos Archivísticos
8. Programa de Gestión Documental
9. Tablas de Retención Documental
10. Plan Anual de Tecnologías
11. Plan Estratégico de Seguridad Vial
Sin embargo y por efectos del manejo presupuestal del contrato de papeleria, no fue posible cimplementar al 100% la TRD, dado que se requiere de 800 carpetas para organizar la serie documental relacionada con inventarios. Por lo Anterior se proyecta cylminar su implementacion el 16 de agosto de 2019
</t>
  </si>
  <si>
    <t>Para el mes de AGOSTO se cumplió con la finalización de la implementación de la TRD del Grupo de Servicios Administrativos en lo relacionado con la series documental  inventarios. 
Asi mismo se inicio el proceso de implementación de la TRD de la Subdirección de Instrumentos, Permisos y Trámites Ambientales. Evidenciando que se ha encontrado un volumen considerable de información, lo que ha impedido culminar esta implementación, por lo que se hace necesario prorrogar fecha de culminación a 17/09/2019. A la  Fecha se ha organizado y foliado la siguiente información:
1. Actas del Comité de Benficios Tributarios 2011-2019, con hoja de control.
2. Instrumentos de Control, en proceso elaboración de Hoja de Control 78 carpetas.
3. Inventario Documental de Documentos de Apoyo
Inventario Documental de Documentos susceptibles de ser eliminados
4. Inventario de Medios Magnéticos.
Se adjunta como soportes inventarios y correo electrónico como evidencia de la prorroga de fecha para culminar implementación</t>
  </si>
  <si>
    <t>La implementación de  la TRD de la Subdirección de Instrumentos, Permisos y Trámites Ambientales, no fue posible culminar en el mes de septiembre en atención que por la contigencia con el plan de saneamiento de expedientes sancionatorios se debió retirar las contratistas de Gestión Documental que se encontraban apoyando la actividad. 
Por lo que solo a la fecha se cuenta con la disponibilidad de tiempo del personal de SIPTA designado para apoyar las actividades que a la fecha de este iinforme solo ha podido avanzar con las siguientes actividades.
Serie e Instrumentos de Regionalizadón,  con organización, foliación, hoja control y rotulación hasta el año 2018, queda pendiente para registrar en GDOC, hoja control y rotulación del año 2019. 
Comunicacones Devueltas  pendientes 10 carpetas por ingresar al GDOC y la rotulación de caja y carpeta de todas la unidades.</t>
  </si>
  <si>
    <t>Tecnológico</t>
  </si>
  <si>
    <t>Número de metros lineales digitalizados</t>
  </si>
  <si>
    <t># de metros lineales de archivo organizados y digitalizados</t>
  </si>
  <si>
    <t>A enero de 2019 no se presenta avance en la organización de los 350 metros lineales en atención que al ser un proceso licitatorio normalmente su ejecución inicia en el mes de junio o julio.</t>
  </si>
  <si>
    <t>Al mes de febrero de 2019 se recibieron 5 cotizaciones de las 21 solicitudes realizadas. Sin embargo al estar congelados los recursos por $1.000.000.000 millones se solicito ajuste de cotizaciones presentadas de acuerdo con el presupuesto de $711.000.000 millones</t>
  </si>
  <si>
    <t>NA</t>
  </si>
  <si>
    <t>En el mes de marzo y una vez consolidadas las cotizaciones recibidas se observa que el presupuesto asignado para este proceso permitirá organizar un promedio de100 a 137 ML.  Se elaboran los documentos estudios de sector y estudios previos, para revisión por parte del abogado asignado por el grupo de contratos. Por lo anterior el avance del indicador solo podrá reportarse a partir del mes septiembre de 2019. Una vez se adjudique e inicie el contrato con un tercero.</t>
  </si>
  <si>
    <t xml:space="preserve">En el mes de abril se realizaron dos reuniones de revisión de los estudios previos del proceso. Sin embargo no fue posible su radicación en atención que se esta a la espera de definir la necesidad de contratar una interventoría para el proceso, lo anterior de acuerdo con lo establecido en el  en el parágrafo del art.8°Acuredo 008 de 2014 del Archivo General de la Nación que se cita a continuación " La Entidad pública o la privada que cumple funciones públicas como contratante, deberá
contar con personal que acredite experiencia para llevar a cabo la Supervisión o interventoría del
contrato y diseñar mecanismos efectivos para ejercer control sobre los procesos y los servicios
contratados." </t>
  </si>
  <si>
    <t>En el mes de mayo y una vez definido que no se contratará interventoria para el proceso, se continua con la verificacion de estudios previos. En atención que se debió reducir el CDP se  requiere esperar que se emita el nuevo CDP para radicar el proceso en la primera semana de junio.</t>
  </si>
  <si>
    <t>En el mes de junio se radicó el memorando y los documentos soportes  ante el grupo de contratos para dar inicio al proceso contractual, sin embargo a corte de junio se tiene que por efectos de una adición de recursos lo que requiere una adición al CDP inicial, no ha sido posible radicar alcance al memorando del 6/06/2019 ante contratos en atención que hasta finales de junio no había sido solciitado el CDP por efectos  de la resolucón de traslado presupuestal</t>
  </si>
  <si>
    <t>El 19 de julio se publicó en el SECOP II el prepliego, con el fin de darlo a conocer a todos los interesados de tal manera que de haber observaciones, los documentos se ajusten y se publique el pliego definitivo. La fecha final para recibir observaciones es hasta el 05/08/2019.</t>
  </si>
  <si>
    <t>El proceso no continuo en atención a necesidad de Adquirir el gestor documental, por lo que se esta definiendo la posibilidad de sacar un solo proceso que involucre la compra del gestor documental y organización y digitalización. A la fecha se han contactado varios proveedores a fin de conocer el mercado y sacar el proceso que involucre los dos productos.</t>
  </si>
  <si>
    <t>Infraestructura y sistemas de información</t>
  </si>
  <si>
    <t>GESTIÓN ADMINISTRATIVA</t>
  </si>
  <si>
    <t>Servicios administrativos</t>
  </si>
  <si>
    <t>Grado de satisfacción del personal de la ANLA frente al cambio de sede</t>
  </si>
  <si>
    <t>No. Personas satisfechas/No. Total de personas encuestadas</t>
  </si>
  <si>
    <t>Porcentaje de cumplimiento del cronograma para el traslado</t>
  </si>
  <si>
    <t>Actividades del cronograma de trabajo realizadas / Actividades del cronograma de trabajo planeadas</t>
  </si>
  <si>
    <t>Para el mes de nero se realizaron 2 de las 4 actividades previstas</t>
  </si>
  <si>
    <t>Conforme con las necesidades de espacio y puestos de trabajo requeridos por la ANLA, el comité directivo solicitó verificar mas propuestas para el análisis y decisión final de ubicación.</t>
  </si>
  <si>
    <t>Se adelantan las actividades y tramites necesarios para la selección de la mejor oferta que cumpla con la mayoría de requisitos solicitados por la entidad para la definición de una nueva sede para la ANLA.</t>
  </si>
  <si>
    <t>No está programado para este mes</t>
  </si>
  <si>
    <t>Se realizó solicitud de modificacion en Ley de Presupuesto por ANLA ante MHCP, con el objeto de ampliar circunstancias para realizar traslado de sedes de entidades</t>
  </si>
  <si>
    <t>Indicador cumplido para el 2019</t>
  </si>
  <si>
    <t xml:space="preserve">Porcentaje de cumplimiento en oportunidad de respuesta a solicitudes </t>
  </si>
  <si>
    <t xml:space="preserve">Total de requerimientos atendidos oportunamente en el periodo/Total de requerimientos recibidos en el periodo </t>
  </si>
  <si>
    <t>Esta actividad esta prevista para el mes de marzo de 2019</t>
  </si>
  <si>
    <t>Debido a la coyuntura presentada por cambio de almacenista a partir del 8 de febrero, y a las actividades realizadas para posteriormente desarrollar el acta de entrega del almacén al nuevo funcionario encargado, se generó una demora en la respuesta oportuna a los casos registrados.</t>
  </si>
  <si>
    <t>ATENDIDAS 
OPORTUNAMENTE 111 sobre 114 en el mes de marzo</t>
  </si>
  <si>
    <t>Dar respuesta oportuna en el plazo establecido (3 días hábiles) a la totalidad de los casos registrados mesa de ayuda, obteniendo el 100% de efectividad.</t>
  </si>
  <si>
    <t>Dar respuesta oportuna en el plazo establecido (3 días hábiles) a la totalidad de los casos registrados (82) en el aplicativo mesa de ayuda, obteniendo el 100% de efectividad.</t>
  </si>
  <si>
    <t>Debido a la coyuntura presentada por cambio de almacenista a partir del 7 de junio, y a las actividades realizadas para posteriormente desarrollar el acta de entrega del almacén al nuevo funcionario encargado, se generó una demora en la respuesta oportuna a los casos registrados.</t>
  </si>
  <si>
    <t>No fue posible registrar en el tiempo oportuno la totalidad de los casos asignados en el aplicativo mesa de ayuda (130 de 131), ya que no fue posible conseguir en el plazo máximo para la solución del caso el repuesto necesario.</t>
  </si>
  <si>
    <t>Dar respuesta oportuna en el plazo establecido (3 días hábiles) a la totalidad de los casos registrados (101) en el aplicativo mesa de ayuda, obteniendo el 100% de efectividad.</t>
  </si>
  <si>
    <t>Dar respuesta oportuna en el plazo establecido (3 días hábiles) a 189  de los 192 casos registrados en el aplicativo mesa de ayuda, obteniendo el 98% de efectividad.</t>
  </si>
  <si>
    <t>Gestión humana</t>
  </si>
  <si>
    <t>1. Talento Humano</t>
  </si>
  <si>
    <t>Gestión Estratégica del Talento Humano</t>
  </si>
  <si>
    <t>Implementar las acciones para la Gestión Estratégica del Talento Humano (GETH)</t>
  </si>
  <si>
    <t>GESTIÓN DE TALENTO HUMANO</t>
  </si>
  <si>
    <t>Talento humano</t>
  </si>
  <si>
    <t>Grado de Satisfacción en el clima, cultura y ambiente laboral de la ANLA.</t>
  </si>
  <si>
    <t>No. Total de personal satisfecho con la estrategia de clima, cultura y ambiente laboral/No. Total de personal encuestado</t>
  </si>
  <si>
    <t>Estrategia para la mejora del clima, cultura y ambiente laboral formulada e implementada</t>
  </si>
  <si>
    <t>Porcentaje de cumplimiento del plan de trabajo estrategia para la mejora del clima, cultura y ambiente laboral</t>
  </si>
  <si>
    <t>para el mes de enero se realizaron 4 actividades de las 45 propuestas: 
-Diagnostico necesidades. 
-Consolidado diagnostico.
-Formulación programas de bienestar social e incentivos para revisión y aprobación del comité institucional de gestión y desarrollo. 
-Elaboración cronograma actividades programas de bienestar social e incentivos.</t>
  </si>
  <si>
    <t>Para el mes de Febrero no se tienen previstas actividades, estas inician en el mes de abril</t>
  </si>
  <si>
    <t xml:space="preserve">En el mes de marzo se realizaron 2 actividades de las 2 actividades programadas. En total se lleva en avance 6 actividades de las 45 actividades programadas.
-día  de la mujer
-día del hombre </t>
  </si>
  <si>
    <t>se registra en 0% ya que la encuesta se pronostica realizar para el segundo y tercer trimestre de la presente vigencia.</t>
  </si>
  <si>
    <t>En el mes de ABRIL se realizaron 9 actividades de las 10 actividades programadas. En total se lleva en avance 15 actividades de las 45 actividades programadas.
-Reconocimiento a los servidores con calificación  sobresaliente  en el pedido de evaluación 
-Dia de la secretaria
-Campañas , talleres , charlas orientadas a la  promoción de la salud y prevención de enfermedades (Nutrición, manejo del estrés, pausas activas, entre otros).
-Recepcionar evaluaciones de desempeño - periodo 2018-2019
-Consolidar las evaluaciones de desempeño 2018-2019
-Elaboración de informe de Evaluación de desempeño
-Presentar al Comité Institucional de Gestión y Desempeño los servidores que cumplen con el perfil para obtener incentivos en la vigencia 2019.
-Definir los beneficiarios de los incentivos no pecuniarios
-Definir los incentivos no pecuniarios a otorgar</t>
  </si>
  <si>
    <t xml:space="preserve">se realizó la encuesta se de medición de clima laboral entre el 13 y 20 de mayo el analisis y resultados serán entregados por la Caja de Compensación CAFAM, quienen la plaicaron en el mes de junio de 2019 </t>
  </si>
  <si>
    <t>En el mes de Mayo se realizaron 2 actividades de las 3 actividades programadas. En total se lleva en avance 17 actividades de las 45 actividades programadas para la vigencia.
-Medición del Clima Laboral 
-Realizar el proceso de contratación para la adquisición los incentivos no pecuniarios a otorgar</t>
  </si>
  <si>
    <r>
      <t xml:space="preserve">Se realizó la encuesta de medición de clima laboral entre el 13 y 20 de mayo, el analisis de los resultados fue entregado en </t>
    </r>
    <r>
      <rPr>
        <b/>
        <sz val="9"/>
        <color theme="1"/>
        <rFont val="Calibri"/>
        <family val="2"/>
        <scheme val="minor"/>
      </rPr>
      <t>JUNIO</t>
    </r>
    <r>
      <rPr>
        <sz val="9"/>
        <color theme="1"/>
        <rFont val="Calibri"/>
        <family val="2"/>
        <scheme val="minor"/>
      </rPr>
      <t xml:space="preserve">  de 2019, se midieron tres ejes (Eje Estratégico, Eje Procesos y Eje Capital Social), la encuesta se envió a traves de correo electronico a toda los colaboradores de la Entidad, la cual fue realizada por 401 personas.
De este analisis se concluyó que el 87,03 % en promedio de los colaboradores  (349 personas)  definieron como bueno el clima organizacional, dichos resultados de la batería se tomarán como herramienta para la construcción del plan estrategico de Talento Humano 2020.</t>
    </r>
  </si>
  <si>
    <r>
      <t xml:space="preserve">En el mes de Junio se realizaron 7 actividades de las 7 actividades programadas y se realizaron 2 actividades adicionales. En total se lleva en avance 26 actividades de las 45 actividades programadas para la vigencia.
-Dia del padre
-Dia del servidor publico 
-Bancos
-Resolución de otorgamiento de incentivos
-Coordinar la entrega de los diferentes incentivos no pecuniarios (Distinción pública en Intranet, ronda semanal o donde se disponga por parte de la Dirección General y el área de comunicaciones por un lapso de una semana) Mención de Honor, Reconocimiento público a la labor meritoria
-Realizar ceremonia de entrega de incentivos 2019
</t>
    </r>
    <r>
      <rPr>
        <b/>
        <sz val="9"/>
        <color theme="1"/>
        <rFont val="Calibri"/>
        <family val="2"/>
        <scheme val="minor"/>
      </rPr>
      <t>*Adicionales</t>
    </r>
    <r>
      <rPr>
        <sz val="9"/>
        <color theme="1"/>
        <rFont val="Calibri"/>
        <family val="2"/>
        <scheme val="minor"/>
      </rPr>
      <t xml:space="preserve">
-Colpensiones
-Caja de Compensación Familiar Cafam</t>
    </r>
  </si>
  <si>
    <t xml:space="preserve">En el mes de Junio se realizaron 4 actividades programadas, En total se lleva en avance 30 actividades de las 45 actividades programadas para la vigencia
•	Realizar el trámite que corresponda para que  la entidad  reglamente e implemente el horario especial  para las madres gestantes.
•	Realizar el trámite que corresponda, para  que mediante resolución o circular, la Entidad reglamente e implemente el otorgamiento  de un (1) día de permiso remunerado a los servidores en el día de su cumpleaños.
•	Caminatas ecológicas
•	Apoyo educativo a los servidores y/o  a los hijos de este (con edad hasta de 25 años) ),  en cumplimiento de lo establecido en los artículos 12° y 13° de la Resolución N°785 de mayo de 2018.
</t>
  </si>
  <si>
    <r>
      <t xml:space="preserve">Se realizó la encuesta de medición de clima laboral entre el 13 y 20 de mayo, el analisis de los resultados fue entregado en </t>
    </r>
    <r>
      <rPr>
        <b/>
        <sz val="9"/>
        <rFont val="Calibri"/>
        <family val="2"/>
        <scheme val="minor"/>
      </rPr>
      <t>JUNIO</t>
    </r>
    <r>
      <rPr>
        <sz val="9"/>
        <rFont val="Calibri"/>
        <family val="2"/>
        <scheme val="minor"/>
      </rPr>
      <t xml:space="preserve">  de 2019, se midieron tres ejes (Eje Estratégico, Eje Procesos y Eje Capital Social), la encuesta se envió a traves de correo electronico a toda los colaboradores de la Entidad, la cual fue realizada por 401 personas.
De este analisis se concluyó que el 87,03 % en promedio de los colaboradores  (349 personas)  definieron como bueno el clima organizacional, dichos resultados de la batería se tomarán como herramienta para la construcción del plan estrategico de Talento Humano 2020.</t>
    </r>
  </si>
  <si>
    <t xml:space="preserve">Durante el mes de Agosto no se registra avance ya que las actividades que se realizaron no se encuentran dentro del plan pero a si mismo contribuyen al desarrollo del bienestar en la entidad, las cuales se relacionan a continuación:
*OTROS Caminatas ecologicas 2.
*OTROS Torneo de Bolos.
</t>
  </si>
  <si>
    <t xml:space="preserve">En el mes de septiembre se realizaron 2 actividades, En total se lleva en avance 32 actividades de las 45 actividades programadas para la vigencia, a continuación se relacionan las actividades:
-Invitación Feria de Servicios microempresariales en la que los servidores y colaboradores al igual que su familia, puedan ofrecer los bienes o servicios de sus microempresas.
-Desarrollo de acciones pedagogicas  orientadas a la   divulgación e interiorizacion de los valores Institucionales  inmersos en el Codigo de Integrida de la Entidad)
</t>
  </si>
  <si>
    <t>Programa de gestión del conocimiento (formación de formadores) formulado e implementado</t>
  </si>
  <si>
    <t>Actividades ejecutadas del plan de trabajo para formación de formadores/ total de actividades propuestas</t>
  </si>
  <si>
    <t>para el mes de enero se realiza 1 actividad de la estrategia, a continuación se relaciona la actividad con su correspondiente porcentaje avance frente al cronograma:
-formulación de fases de la gestión del conocimiento 5%.</t>
  </si>
  <si>
    <t>para el mes de FEBRERO se realizan 2 actividades de 10 propuestos de la estrategia, a continuación se relaciona la actividad con su correspondiente porcentaje avance frente al cronograma:
-Definición del modelo 5%
-Objeto y alcance 5%</t>
  </si>
  <si>
    <t>para el mes de marzo según cronograma se trabaja en la actividad denominada Cronograma: Fases, actividades y responsables, la cual según el cronograma debe ser entregado en ABRIL.</t>
  </si>
  <si>
    <t>para el mes de ABRIL segun cronograma se trabajó en la actividad denominda 
-Cronograma: Fases, actividades y responsables, el cual se estaba trabajando desde el mes de marzo.</t>
  </si>
  <si>
    <t xml:space="preserve">En el mes de mayo se realizó una reunión entre Talento Humano y Comunicaciones con el fin de establecer una alianza para la realización de una campaña de expectativa en torno a Gestión del Conocimiento, en este sentido comunicaciones informó que ya ha venido adelantando una campaña similar como producto de las instrucciones de la Dirección General en este aspecto (Publicaciones en ronda semanal del 16 y 30 de abril de 2019), es así como Talento Humano y Comunicaciones a partir de esta reunión esta trabajando en conjunto el tema para definir el logo y llevar la campaña hacia la definición de posibles facilitadores que sean formados en el mes de julio. </t>
  </si>
  <si>
    <t>para el mes de JUNIO según cronograma se trabajó en las actividades denomindas:
-Definición del Grupo Piloto de Formadores Internos
-Campaña de sensibilización para convertirse en formador interno.</t>
  </si>
  <si>
    <t>para el mes de JULIO según cronograma se trabajó en las actividades denomindas:
- Taller de preparación como formador de formadores: Habilidades del ser y hacer</t>
  </si>
  <si>
    <t>En agosto no se realiza actividad ya que los los facilitadores resalizarán entre los meses de septiembre y noviembre actividades que van enfocadas en a su aprendizaje para la elaboración de documentos para la gestión del conocimiento.</t>
  </si>
  <si>
    <t xml:space="preserve">EN SEPTIEMBRE 10 de los 21 gestores de conocimiento han definido su temática y cuentan con fechas tentativas para compartir su conocimiento, es así como se iniciará la logística para así revisar la disponibilidad de los espacios y enviar las invitaciones a los diferentes eventos de capacitación en los cuales iniciarán su rol como gestores.
</t>
  </si>
  <si>
    <t>Programa de medicina preventiva y del trabajo  implementado</t>
  </si>
  <si>
    <t>Actividades ejecutadas del plan de trabajo para medicina preventiva y del trabajo/ total de actividades propuestas</t>
  </si>
  <si>
    <t xml:space="preserve">en enero se realizaron 5 actividades de las 55 programadas, a continuación se relacionan:
-creación del plan de trabajo uy firma por parte de la dirección.
-Realización Exámenes Periódicos Medico Ocupacionales- Seguimiento a exámenes ocupacionales.
-Realización y revisión de diagnóstico de condiciones de salud y revisión matriz de condiciones de salud Actualización Profesiograma.
-Análisis estadístico de Ausentismo por Accidente de Trabajo y Enfermedad Laboral - ATEL Y Enfermedad Común – EC.
-Revisión y mantenimiento del Programa de Prevención de Desordenes Musculo Esquelético – DME.
</t>
  </si>
  <si>
    <t>En cumplimento al plan de trabajo de SST de 2019 en el Programa de Medicina Preventiva y del Trabajo, se ejecutaron las siguientes actividades durante el mes de febrero se realizaron 6 actividades de 59 programadas:
-Realización  Exámenes Periódicos Medico Ocupacionales - Seguimiento a exámenes ocupacionales.
Se enviaron cartas de seguimiento a las recomendaciones médicas ocupacionales a 15 colaboradores de la entidad el día 28 de febrero de 2019.
-Realización y revisión de diagnóstico de condiciones de salud y revisión matriz de condiciones de salud - Actualización Profesiograma  
Se hace revisión constante de la matriz de condiciones de salud, se hizo registro de 675 certificados de aptitud laboral.
- Análisis estadístico de Ausentismo por Accidente de Trabajo y Enfermedad Laboral - ATEL Y Enfermedad Común – EC.
El día 04 de febrero se hizo análisis estadísticos de ausentismo por enfermedad común de  9  incapacidades.
-Revisión y mantenimiento del Programa de Prevención de Desordenes Musculo Esquelético – DME
El día 19/02/2019 se realizo pausas activas por todos los pisos de la entidad.
Los días 26, 27 y 28 de febrero de 2019 se hicieron 81 inspecciones de puesto de trabajo
Los días 26, 27 y 28 de febrero de 2019 se hicieron 3 capacitaciones en higiene postural en oficina con una cobertura de 81 personas.
Los días 19 y 20 de febrero se envió correo a los colaboradores con la campaña de “¡ Tu salud osteomuscular puede verse afectada por la aparición de Desórdenes Músculo Esqueléticos (DME) de miembros superiores, porque tú eres muy importante para la ANLA  te traemos algunas recomendaciones para proteger tu salud.!”
-Revisión y seguimiento Programa  de Prevención del Riesgo Cardiovascular.
El día 19 /02/2019 se realizó actividad de prevención de Riesgo Cardiovascular con una cobertura de 113 personas.
-Revisión y mantenimiento del Programa de Vigilancia Epidemiológica - PVE de Riesgo Psicosocial
El día 28/02/2019 se hizo envío de 89 cartas de seguimiento de prevención de Riesgo psicosocial</t>
  </si>
  <si>
    <t>En marzo se realizaron 6 actividades de las 59 programadas en el cronograma a continuación se detallan dichas actividades:
-Realización y revisión de diagnóstico de condiciones de salud y revisión matriz de condiciones de salud Actualización Profesiograma
-Análisis estadístico de Ausentismo por Accidente de Trabajo y Enfermedad Laboral - ATEL Y Enfermedad Común – EC
-Revisión y mantenimiento del Programa de Prevención de Desordenes Musculo Esquelético – DME
-Revisión y seguimiento al Programa de Prevención de Riesgo Visual
-Revisión y mantenimiento del Programa de Vigilancia Epidemiológica - PVE de Riesgo Psicosocial
-Seguimiento programa Medicina Preventiva y del Trabajo- hábitos y estilos de vida saludable
en cumplimiento con el cronograma se lleva un cumplimiento del 100%.</t>
  </si>
  <si>
    <t>En abril se realizaron 7 actividades de las 59 programadas (para toda la vigencia) en el cronograma a continuación se detallan dichas actividades:
-Realización y revisión de diagnóstico de condiciones de salud y revisión matriz de condiciones de salud Actualización Profesiograma
-Análisis estadístico de Ausentismo por Accidente de Trabajo y Enfermedad Laboral - ATEL Y -Enfermedad Común – EC
-Revisión y mantenimiento del Programa de Prevención de Desordenes Musculo Esquelético – DME
-Revisión y seguimiento Programa  de Prevención del Riesgo Cardiovascular-
-Revisión y seguimiento al Programa de Prevención de Riesgo Biológico
-Revisión y mantenimiento del Programa de Vigilancia Epidemiológica - PVE de Riesgo Psicosocial
-Ejecución y seguimiento a las actividades del Programa de Gestión de Riesgo Público</t>
  </si>
  <si>
    <t xml:space="preserve">En Mayo se realizaron 3 actividades de las 59 programadas (para toda la vigencia en el cronograma) a continuaciòn se detallan dichas actividades:
-Análisis estadístico de Ausentismo por Accidente de Trabajo y Enfermedad Laboral - ATEL Y Enfermedad Común – EC (actualización el 10 de mayo  )
-Revisión y mantenimiento del Programa de Prevención de Desordenes Musculo Esquelético – DME (capacitación higiene postural 16 de mayo, capacitación en pausas activas 09 de mayo, adecuaciones de puesto de trabajo 16, 23 y 30 de mayo y pausas activas el 02, 14, 23 y 28 de mayo.) 
-Revisión y mantenimiento del Programa de Vigilancia Epidemiológica - PVE de Riesgo Psicosocial (acompañamiento individual el 07 de mayo y actualización del Programa de Vigilancia Epidemiológica de Factores de Riesgo Psicosocial.                    
Cordialmente,
</t>
  </si>
  <si>
    <t>En JUNIO se realizaron 6 actividades de las 59 programadas (para toda la vigencia en el cronograma) a continuaciòn se detallan dichas actividades:
- Análisis estadístico de Ausentismo por Accidente de Trabajo y Enfermedad Laboral - ATEL Y Enfermedad Común – EC
- Revisión y mantenimiento del Programa de Prevención de Desordenes Musculo Esquelético – DME
- Revisión y seguimiento Programa de Prevención del Riesgo Cardiovascular-
- Revisión y seguimiento al Programa de Prevención de Riesgo Visual
- Revisión y mantenimiento del Programa de Vigilancia Epidemiológica - PVE de Riesgo Psicosocial
- Seguimiento programa Medicina Preventiva y del Trabajo- hábitos y estilos de vida saludable</t>
  </si>
  <si>
    <t>En JULIO se realizaron 4 actividades de las 59 programadas (para toda la vigencia en el cronograma) a continuaciòn se detallan dichas actividades:
•	Realización  Exámenes Periódicos Medico Ocupacionales- Seguimiento a exámenes ocupacionales
•	Análisis estadístico de Ausentismo por Accidente de Trabajo y Enfermedad Laboral - ATEL Y Enfermedad Común – EC
•	Revisión y mantenimiento del Programa de Prevención de Desordenes Musculo Esquelético – DME
•	Revisión y mantenimiento del Programa de Vigilancia Epidemiológica - PVE de Riesgo Psicosocial</t>
  </si>
  <si>
    <t>En AGOSTO se realizaron 4 actividades de las 59 programadas (para toda la vigencia en el cronograma) a continuaciòn se detallan dichas actividades:
•	Análisis estadístico de Ausentismo por Accidente de Trabajo y Enfermedad Laboral - ATEL Y Enfermedad Común - EC
•	Revisión y mantenimiento del Programa de Prevención de Desordenes Musculo Esquelético – DME
•	Revisión y seguimiento Programa de Prevención del Riesgo Cardiovascular-
•	Revisión y mantenimiento del Programa de Vigilancia Epidemiológica - PVE de Riesgo Psicosocial</t>
  </si>
  <si>
    <t>En SEPTIEMBRE se realizaron 7 actividades de las 59 programadas (para toda la vigencia en el cronograma) a continuaciòn se detallan dichas actividades:
•	Realización Exámenes Periódicos Medico Ocupacionales- Seguimiento a exámenes ocupacionales 
•	Análisis estadístico de Ausentismo por Accidente de Trabajo y Enfermedad Laboral - ATEL Y Enfermedad Común - EC
•	Revisión y mantenimiento del Programa de Prevención de Desordenes Musculo Esquelético - DME 
•	Revisión y seguimiento al Programa de Prevención de Riesgo Visual 
•	Revisión y seguimiento al Programa de Prevención de Riesgo Biológico 
•	Revisión y mantenimiento del Programa de Vigilancia Epidemiológica - PVE de Riesgo Psicosocial
•	Seguimiento programa Medicina Preventiva y del Trabajo- hábitos y estilos de vida saludable</t>
  </si>
  <si>
    <t xml:space="preserve">Documento de modificación de planta de personal estructurado </t>
  </si>
  <si>
    <t>en enero se realizaron 1 actividad de las 6 programadas, a continuación se relacionan:
-FORMULACIÓN DEL CRONOGRAMA DE ACTIVIDADES.</t>
  </si>
  <si>
    <t>En febrero se realizó 1 actividad de las 6 programadas, a continuación se relacionan:
-Diagnóstico organizacional actual de la planta de personal(diagnostico realizado en Conjunto con la Oficina de Planeación).</t>
  </si>
  <si>
    <t>En marzo no se realiza actividad ya que según cronograma está para mayo la próxima actividad.</t>
  </si>
  <si>
    <t xml:space="preserve">En ABRIL no se realiza actividad ya que según cronograma está para mayo la próxima actividad. </t>
  </si>
  <si>
    <t xml:space="preserve">En Mayo se realizaron 3 actividades de las 6 programadas (para toda la vigencia en el cronograma) a continuaciòn se detallan dichas actividades:
-Realización del estudio de perfiles y cargas de trabajo
-Consolidación y Diseño de la estructura y organización Interna
-Formulación del estudio técnico 
</t>
  </si>
  <si>
    <t>En JUNIO se realizó 1 actividad de las 6 programadas (para toda la vigencia en el cronograma) a continuaciòn se detalla dicha actividad con la cual se entrega el producto final
-Propuesta de documento de modificación de planta.</t>
  </si>
  <si>
    <t>Seguridad Digital</t>
  </si>
  <si>
    <t>Criterios diferenciales para la Política de Seguridad Digital</t>
  </si>
  <si>
    <t>GESTIÓN DE TECNOLOGÍAS Y SEGURIDAD DE LA INFORMACIÓN</t>
  </si>
  <si>
    <t>TICS</t>
  </si>
  <si>
    <t>Efectividad de los sistemas de seguridad informática</t>
  </si>
  <si>
    <t># de ataques controlados/# total de ataques</t>
  </si>
  <si>
    <t xml:space="preserve">Procesos del modelo de gestión de seguridad implementado     </t>
  </si>
  <si>
    <t># Procesos del modelo de gestión de seguridad gestionados</t>
  </si>
  <si>
    <t>El 97% de las amenazas fueron controladas. El 3% restante corresponde a amenazadas catalogadas de bajo impacto que corresponden a alertas que no interfieren en la disponibilidad, integridad y confidencialidad de los servicios tecnológicos y sistemas de información.</t>
  </si>
  <si>
    <t>En el mes de enero de 2019 no se gestionó ninguno de los 16 procesos proyectados para el año, considerando la contingencia de contratación de la Entidad. (se priorizó la contratación por prestación de servicios)</t>
  </si>
  <si>
    <t>En total 38.954 amenazas fueron controladas de acuerdo con la información reportada es Trendmicro Antivirus, Trenmicro Deep Security y FortiSiem.</t>
  </si>
  <si>
    <t>En el mes de enero y febrero de 2019 no se gestionaron ninguno de los 16 procesos proyectados para el año, considerando la contingencia de contratación de la Entidad. (se priorizó la contratación por prestación de servicios). 
Sin embargo, el área avanzó en la definición de fichas técnicas,  realización de estudios de mercado y borradores de estudios previos.</t>
  </si>
  <si>
    <t>MARZO. En total 12.523 amenazas fueron controladas de acuerdo con la información reportada en las siguientes herramientas especializadas:
- Antivirus Trendmicro.
-Plugin de seguridad a nivel físico de servidores Trendmicro Deep Security 
-Herramienta correlacionadora de eventos de seguridad de la información FortiSiem que incluye alertas en capa de redes y de aplicaciones.</t>
  </si>
  <si>
    <t>Durante el mes de Marzo no se firmaron contratos asociados a la adquisición de hardware y software. Actualmente los procesos contractuales de TIC se encuentran en etapas precontractuales como:
1. Solicitud de Cotizaciones
2. Elaboración de Estudios de Mercado
3. Elaboración de Estudios de Sector
4. Elaboración de Estudios Previos
5. Revisión de documentación precontractual con Abogados.
6. Carga de procesos en SECOP II
7. Proceso pendiente de Adjudicación
Se aporta Acta de Seguimiento Semanal de Contratos TIC con las fechas de radicación estimadas.</t>
  </si>
  <si>
    <t>ABRIL. En total 87.689 amenazas fueron controladas de acuerdo con la información reportada en las siguientes herramientas especializadas:
- Antivirus Trendmicro.
-Plugin de seguridad a nivel físico de servidores Trendmicro Deep Security 
-Herramienta correlacionadora de eventos de seguridad de la información FortiSiem que incluye alertas en capa de redes y de aplicaciones.</t>
  </si>
  <si>
    <t>Con corte al mes de Abril se realizaron las actividades:
1 Perfilamiento de herramienta de Back Up.  2-Perfilamiento de correlacionador de eventos
Se está avanzando en las siguientes actividades:
3-Actualización PC Secure 4-Actualización de Firewall de Aplicación 5- Autodiagnóstico MSPI 6-Actualización de Activos de Información 7-Metodología de identificación y clasificación de AI 8-Actualización de Políticas de SI 9-Optimización Compras TI  10-Actualización de Firewall de Red 11-Actualización de Acuerdos de Nivel de Servicios 12-Campaña de Seguridad 13-Charlas de Seguridad 14- Actualizar Manual de Insfraestructura 15-Actualizar Manual de Red 16-Actualización de catálogo de servicios 17-Identificación de Vulnerabilidades 18-Simulacro de continuidad Portal web</t>
  </si>
  <si>
    <t>MAYO. En total 36.608 amenazas fueron controladas de acuerdo con la información reportada en las siguientes herramientas especializadas:
- Antivirus Trendmicro.
-Plugin de seguridad a nivel físico de servidores Trendmicro Deep Security 
-Herramienta correlacionadora de eventos de seguridad de la información FortiSiem que incluye alertas en capa de redes y de aplicaciones.</t>
  </si>
  <si>
    <t>Con corte al mes de Mayo se realizaron las actividades:
1-Actualización de Activos de Información  
2-Optimización Compras TI 
3-Actualización de Políticas de SI
4-Charlas de Seguridad 
Se está avanzando en las siguientes actividades:
5-Actualización PC Secure 
6-Actualización de Firewall de Aplicación 
7- Autodiagnóstico MSPI  
8-Metodología de identificación y clasificación de AI 
9-Actualización de Firewall de Red 
10-Actualización de Acuerdos de Nivel de Servicios 
11-Campaña de Seguridad 
12- Actualizar Manual de Insfraestructura 
13-Actualizar Manual de Red 
14-Actualización de catálogo de servicios 
15-Identificación de Vulnerabilidades 
16-Simulacro de continuidad Portal web</t>
  </si>
  <si>
    <t>JUNIO. En total 56.259 amenazas fueron controladas de acuerdo con la información reportada en las siguientes herramientas especializadas:
- Antivirus Trendmicro.
-Plugin de seguridad a nivel físico de servidores Trendmicro Deep Security 
-Herramienta correlacionadora de eventos de seguridad de la información FortiSiem que incluye alertas en capa de redes y de aplicaciones.</t>
  </si>
  <si>
    <t>Con corte al mes d Junio se realizaron las actividades:
1--Actualización de Políticas de SI
2-Actualización procedimientos 
3-Charlas de Seguridad 
Se está avanzando en las siguientes actividades:
4-Actualización PC Secure 
5-Actualización de Firewall de Aplicación 
6- Autodiagnóstico MSPI  
7-Metodología de identificación y clasificación de AI 
8-Actualización de Firewall de Red 
9-Actualización de Acuerdos de Nivel de Servicios 
10-Campaña de Seguridad 
11- Actualizar Manual de Insfraestructura 
12-Actualizar Manual de Red 
13-Actualización de catálogo de servicios 
14-Identificación de Vulnerabilidades 
15-Simulacro de continuidad Portal web</t>
  </si>
  <si>
    <t xml:space="preserve">JULIO. En total 41.384 amenazas fueron controladas de acuerdo con la información reportada en las siguientes herramientas especializadas:
- Antivirus Trendmicro.
-Ataques detectados y bloqueados por el Firewall de Red
-Ataques DDoS (denegación de servicio distribuido) </t>
  </si>
  <si>
    <t>Con corte al mes de Julio se realizaron las actividades:
1-Actualización de Políticas de SI
2-Actualización procedimientos 
3-Charlas de Seguridad 
4-Mesa de trabajo para la actualización de restricciones de herramientas especializadas (orientación al Autocontrol)
5-Aplicación de herramienta MSPI 
6-Perfilamiento de herramienta de monitoreo de infraestructura
7-Actualización de activos de información
8-Actualización de políticas de seguridad de la información y aprobación por la Dirección General.
9-Elaboración de flujogramas asociados a los procedimientos de Administración de Servicios de Tecnología, Administración de Software, Administración de Solicitudes de Soporte de Tecnología de la Información y la Comunicación, Control de Cambios Plataforma Tecnológica y Gestión de la capacidad, Uso de VPN y Avalúo de software.
Se está avanzando en las siguientes actividades:
10- Reformular la metodología de identificación y clasificación de Activos de Información 
11- Actualización de perfilamiento del  Firewall de Red 
12-Definición e Implementación de Acuerdos de Nivel de Servicio en la Mesa de Ayuda.
13-Elaborar el mapa de Insfraestructura, Redes. 
14-Aplicación de herramienta MSPI BUENAS PRÁCTICAS NIST de Ciberseguridad.
15- Identificación de estado actual de implementación de la NTC ISO IEC 27001:2013 y estatus frente a preauditoría de 2017.</t>
  </si>
  <si>
    <t xml:space="preserve">AGOSTO. En total 60.165 amenazas fueron controladas de acuerdo con la información reportada en la herramientas especializadas Fortisiem. El reporte evidencia:
-Ataques detectados y bloqueados por el Firewall de Red
-Ataques DDoS (denegación de servicio distribuido) </t>
  </si>
  <si>
    <t>Con corte al mes del 31 de agosto de 2019 se realizaron las actividades:
1-Actualización de Políticas de SI
2-Actualización procedimientos 
3-Charlas de Seguridad 
4-Mesa de trabajo para la actualización de restricciones de herramientas especializadas (orientación al Autocontrol)
5-Aplicación de herramienta MSPI 
6-Perfilamiento de herramienta de monitoreo de infraestructura
7-Actualización de activos de información
8-Actualización de políticas de seguridad de la información y aprobación por la Dirección General.
9-Elaboración de flujogramas asociados a los procedimientos de Administración de Servicios de Tecnología, Administración de Software, Administración de Solicitudes de Soporte de Tecnología de la Información y la Comunicación, Control de Cambios Plataforma Tecnológica y Gestión de la capacidad, Uso de VPN y Avalúo de software.
10 - Diligenciamiento de cuadro comparativo de hallazgos 2017 vs acciones 2017, 2018 y 2019 de seguridad de la información por solicitud de Control Interno.
11-Realización de pruebas de concepto de seguridad de la información
12-Inclusión de obligación general asociada a la confidencialidad para los contratos del equipo de TI
Se está avanzando en las siguientes actividades:
1-Definición e Implementación de Acuerdos de Nivel de Servicio en la Mesa de Ayuda.
2-Elaborar la declaración de aplicabilidad SOA de la NTC ISO IEC 27001:2013
3- Identificación de estado actual de implementación de la NTC ISO IEC 27001:2013 y estatus frente a preauditoría de 2017.</t>
  </si>
  <si>
    <r>
      <t>SEPTIEMBRE.</t>
    </r>
    <r>
      <rPr>
        <b/>
        <sz val="8"/>
        <rFont val="Arial"/>
        <family val="2"/>
      </rPr>
      <t xml:space="preserve"> 108.178 ataques controlados d</t>
    </r>
    <r>
      <rPr>
        <sz val="8"/>
        <rFont val="Arial"/>
        <family val="2"/>
      </rPr>
      <t>e acuerdo con la información reportada en la herramientas especializadas Fortisiem. El reporte evidencia:
-Ataques detectados y bloqueados por el Firewall de Red
-Ataques DDoS (denegación de servicio distribuido) 
-Endpoint de Trendmicro</t>
    </r>
  </si>
  <si>
    <t>Con corte al mes del 30 de septiembre  de 2019 se realizaron las actividades:
1-Actualización de Políticas de SI
2-Actualización procedimientos 
3-Charlas de Seguridad 
4-Mesa de trabajo para la actualización de restricciones de herramientas especializadas (orientación al Autocontrol)
5-Aplicación de herramienta MSPI 
6-Perfilamiento de herramienta de monitoreo de infraestructura
7-Actualización de activos de información
8-Actualización de políticas de seguridad de la información y aprobación por la Dirección General.
9-Elaboración de flujogramas asociados a los procedimientos de Administración de Servicios de Tecnología, Administración de Software, Administración de Solicitudes de Soporte de Tecnología de la Información y la Comunicación, Control de Cambios Plataforma Tecnológica y Gestión de la capacidad, Uso de VPN y Avalúo de software.
10 - Diligenciamiento de cuadro comparativo de hallazgos 2017 vs acciones 2017, 2018 y 2019 de seguridad de la información por solicitud de Control Interno.
11-Realización de pruebas de concepto de seguridad de la información
12-Inclusión de obligación general asociada a la confidencialidad para los contratos del equipo de TI
Se está avanzando en las siguientes actividades:
1-Definición e Implementación de Acuerdos de Nivel de Servicio en la Mesa de Ayuda.
2-Elaborar la declaración de aplicabilidad SOA de la NTC ISO IEC 27001:2013
3- Identificación de estado actual de implementación de la NTC ISO IEC 27001:2013 y estatus frente a preauditoría de 2017.</t>
  </si>
  <si>
    <t>Gobierno Digital</t>
  </si>
  <si>
    <t>Criterios diferenciales para la política de Gobierno Digital</t>
  </si>
  <si>
    <t>Sistema de interoperabilidad implementado</t>
  </si>
  <si>
    <t>Sistemas de información de la entidad interoperando según los requerimientos institucionales.</t>
  </si>
  <si>
    <t>Herramientas De Software Adquiridas</t>
  </si>
  <si>
    <t># de herramientas de software adquiridas</t>
  </si>
  <si>
    <t>Este indicador se materializará cuando se ejecute la totalidad del presupuesto que permitirá dar continuidad a la interoperabilidad de los servicios tecnológicos, los componentes de infraestructura  y los sistemas VITAL, SIGPRO, SILA Y ULISES.</t>
  </si>
  <si>
    <t xml:space="preserve">Este indicador se materializará cuando se ejecute la totalidad del presupuesto que permitirá dar continuidad a la interoperabilidad de los servicios tecnológicos, los componentes de infraestructura  y los sistemas VITAL, SIGPRO, SILA Y ULISES.
Durante el mes de febrero no se firmaron contratos asociados a la adquisición de hardware y software debido a la contingencia de </t>
  </si>
  <si>
    <t>En el mes de enero y febrero de 2019 no se gestionaron ninguno de los 18 procesos proyectados para el año, considerando la contingencia de contratación de la Entidad. (se priorizó la contratación por prestación de servicios)
Sin embargo, el área avanzó en la definición de fichas técnicas,  realización de estudios de mercado y borradores de estudios previos.</t>
  </si>
  <si>
    <r>
      <t>Este indicador se materializará cuando se ejecute la totalidad del presupuesto (</t>
    </r>
    <r>
      <rPr>
        <b/>
        <sz val="9"/>
        <rFont val="Calibri"/>
        <family val="2"/>
        <scheme val="minor"/>
      </rPr>
      <t>contratos firmados</t>
    </r>
    <r>
      <rPr>
        <sz val="9"/>
        <rFont val="Calibri"/>
        <family val="2"/>
        <scheme val="minor"/>
      </rPr>
      <t xml:space="preserve">)que permitirá dar continuidad a la interoperabilidad de los servicios tecnológicos, los componentes de infraestructura  y los sistemas VITAL, SIGPRO, SILA Y ULISES. Durante el mes de Marzo no se firmaron contratos asociados a la adquisición de hardware y software. 
</t>
    </r>
    <r>
      <rPr>
        <b/>
        <sz val="9"/>
        <rFont val="Calibri"/>
        <family val="2"/>
        <scheme val="minor"/>
      </rPr>
      <t xml:space="preserve">Actualmente los procesos de TIC se encuentran en etapas precontractuales como:
</t>
    </r>
    <r>
      <rPr>
        <sz val="9"/>
        <rFont val="Calibri"/>
        <family val="2"/>
        <scheme val="minor"/>
      </rPr>
      <t xml:space="preserve">
</t>
    </r>
    <r>
      <rPr>
        <b/>
        <sz val="9"/>
        <rFont val="Calibri"/>
        <family val="2"/>
        <scheme val="minor"/>
      </rPr>
      <t xml:space="preserve">1. Solicitud de Cotizaciones
2. Elaboración de Estudios de Mercado
3. Elaboración de Estudios de Sector
4. Elaboración de Estudios Previos
5. Revisión de documentación precontractual con Abogados.
6. Carga de procesos en SECOP II
7. Proceso pendiente de Adjudicación
</t>
    </r>
    <r>
      <rPr>
        <sz val="9"/>
        <rFont val="Calibri"/>
        <family val="2"/>
        <scheme val="minor"/>
      </rPr>
      <t xml:space="preserve">
</t>
    </r>
    <r>
      <rPr>
        <b/>
        <sz val="9"/>
        <rFont val="Calibri"/>
        <family val="2"/>
        <scheme val="minor"/>
      </rPr>
      <t>Se aporta Acta de Seguimiento Semanal de Contratos TIC con las fechas de radicación estimadas.</t>
    </r>
  </si>
  <si>
    <t xml:space="preserve">Durante el mes de Marzo no se firmaron contratos asociados a la adquisición de hardware y software. Actualmente los procesos contractuales de TIC se encuentran en etapas precontractuales como:
1. Solicitud de Cotizaciones
2. Elaboración de Estudios de Mercado
3. Elaboración de Estudios de Sector
4. Elaboración de Estudios Previos
5. Revisión de documentación precontractual con Abogados.
6. Carga de procesos en SECOP II
7. Proceso pendiente de Adjudicación
Se aporta Acta de Seguimiento Semanal de Contratos TIC con las fechas de radicación estimadas.
</t>
  </si>
  <si>
    <t>Este indicador se materializará cuando se ejecute la totalidad del presupuesto (contratos firmados)que permitirá dar continuidad a la interoperabilidad de los servicios tecnológicos, los componentes de infraestructura  y los sistemas VITAL, SIGPRO, SILA Y ULISES. Durante el mes de Abril no se firmaron contratos asociados a la adquisición de hardware y software. 
Actualmente los procesos de TIC se encuentran en etapas precontractuales como:
1. Solicitud de Cotizaciones
2. Elaboración de Estudios de Mercado
3. Elaboración de Estudios de Sector
4. Elaboración de Estudios Previos
5. Revisión de documentación precontractual con Abogados.
6. Carga de procesos en SECOP II
7. Proceso pendiente de Adjudicación
Se aporta Acta de Seguimiento Semanal de Contratos TIC con las fechas de radicación estimadas.</t>
  </si>
  <si>
    <t>Durante el mes de Abril se adjudicaron los contratos: Adquisición de productos Microsoft y Adquisición de licenciamiento Adobe Creative Suite. 
Actualmente los procesos contractuales de TIC se encuentran en etapas precontractuales como:
Actualmente los procesos de TIC se encuentran en etapas precontractuales como:
1. Solicitud de Cotizaciones
2. Elaboración de Estudios de Mercado
3. Elaboración de Estudios de Sector
4. Elaboración de Estudios Previos
5. Revisión de documentación precontractual con Abogados.
6. Carga de procesos en SECOP II
7. Proceso pendiente de Adjudicación
Se aporta Acta de Seguimiento Semanal de Contratos TIC con las fechas de radicación estimadas.</t>
  </si>
  <si>
    <t>Este indicador se materializará cuando se ejecute la totalidad del presupuesto (contratos firmados)que permitirá dar continuidad a la interoperabilidad de los servicios tecnológicos, los componentes de infraestructura  y los sistemas VITAL, SIGPRO, SILA Y ULISES. Durante el mes de mayo no se firmaron contratos asociados a la adquisición de hardware y software. 
Actualmente los procesos de TIC se encuentran en etapas precontractuales como:
1. Solicitud de Cotizaciones
2. Elaboración de Estudios de Mercado
3. Elaboración de Estudios de Sector
4. Elaboración de Estudios Previos
5. Revisión de documentación precontractual con Abogados.
6. Carga de procesos en SECOP II
7. Proceso pendiente de Adjudicación
Se aporta Acta de Seguimiento Semanal de Contratos TIC con las fechas de radicación estimadas.</t>
  </si>
  <si>
    <t>Durante el mes de Mayo no se firmaron contratos asociados a la adquisición de hardware y software.  Actualmente los procesos contractuales de TIC se encuentran en etapas precontractuales como:
Actualmente los procesos contractuales de TIC se encuentran en etapas precontractuales como:
Actualmente los procesos de TIC se encuentran en etapas precontractuales como:
1. Solicitud de Cotizaciones
2. Elaboración de Estudios de Mercado
3. Elaboración de Estudios de Sector
4. Elaboración de Estudios Previos
5. Revisión de documentación precontractual con Abogados.
6. Carga de procesos en SECOP II
Se adjunta Matriz de Seguimiento Semanal a procesos contractuales.</t>
  </si>
  <si>
    <t>Este indicador se materializará cuando se ejecute la totalidad del presupuesto (contratos firmados)que permitirá dar continuidad a la interoperabilidad de los servicios tecnológicos, los componentes de infraestructura  y los sistemas VITAL, SIGPRO, SILA Y ULISES. Durante el mes de junio no se firmaron contratos asociados a la adquisición de hardware y software. 
Actualmente los procesos de TIC se encuentran en etapas precontractuales como:
1. Solicitud de Cotizaciones
2. Elaboración de Estudios de Mercado
3. Elaboración de Estudios de Sector
4. Elaboración de Estudios Previos
5. Revisión de documentación precontractual con Abogados.
6. Carga de procesos en SECOP II
7. Proceso pendiente de Adjudicación
Se aporta Acta de Seguimiento Semanal de Contratos TIC con las fechas de radicación estimadas.</t>
  </si>
  <si>
    <t>Durante el mes de Junio se firmaron 2 contratos asociados a la adquisición software:  
* Chat en línea ZENDESK
* PCSECURE
* Productos y servicios Microsoft 
* ERDAS
Los demás procesos de TIC se encuentran en etapas precontractuales como:
1. Solicitud de Cotizaciones
2. Elaboración de Estudios de Mercado
3. Elaboración de Estudios de Sector
4. Elaboración de Estudios Previos
5. Revisión de documentación precontractual con Abogados.
6. Carga de procesos en SECOP II
Se adjunta Matriz de Seguimiento Semanal a procesos contractuales.</t>
  </si>
  <si>
    <t>Con corte al mes de Julio se han firmardo 4 contratos asociados al presente indicador:
* Chat en línea ZENDESK
* PCSECURE
* Productos y servicios Microsoft 
* ERDAS
Los demás procesos de TIC se encuentran en etapas precontractuales como:
1. Solicitud de Cotizaciones
2. Elaboración de Estudios de Mercado
3. Elaboración de Estudios de Sector
4. Elaboración de Estudios Previos
5. Revisión de documentación precontractual con Abogados.
6. Carga de procesos en SECOP II
Se adjunta Matriz de Seguimiento Semanal a procesos contractuales.</t>
  </si>
  <si>
    <t>Con corte al 31 de Agosto de 2019 se han firmardo 6 contratos asociados al presente indicador:
1. Adquirir actualización, mantenimiento y soporte de una solución de seguridad y administración para PC y Portátiles PCSECURE para la Autoridad Nacional de licencias ambientales – ANLA
2. Adquirir la renovación de la licencia de chat en línea ZENDESK del portal web institucional de la ANLA, de acuerdo a las especificaciones establecidas en la ficha técnica. 
3. Adquirir la renovación de cuatro (4) licencias VIP Gobierno Adobe Creative Cloud for Teams para la Autoridad Nacional de Licencias Ambientales – ANLA
4. Adquirir los productos y servicios Microsoft para la Autoridad Nacional de Licencias Ambientales ANLA (65) 1010 millones
5. Adquirir los productos y servicios Microsoft para la Autoridad Nacional de Licencias Ambientales ANLA (66) 204 millones
6. Adquirir la renovación del licenciamiento de la plataforma de gestión de fotogrametría y procesamiento de imágenes satelitales ERDAS 
Los demás procesos de TIC se encuentran en etapas precontractuales como Solicitud de Cotizaciones, Elaboración de Estudios de Mercado, Elaboración de Estudios de Sector, Elaboración de Estudios Previos,  Revisión de documentación precontractual con Abogados y Carga de procesos en SECOP II: 
1. Adquirir la renovación de la plataforma de monitoreo de infraestructura tecnológica y correlación de eventos de seguridad de la información de la Autoridad Nacional de Licencias Ambientales - ANLA.
2. Realizar la implementación y pruebas del Protocolo de Red IPV6 para la Autoridad Nacional de Licencias Ambientales – ANLA
3. Adquirir la renovación de Componentes Virtuales (VMWARE vsphere) y Actualización Vcenter para la Autoridad Nacional de Licencias Ambientales - ANLA
4. Adquirir la renovación de las garantías de la plataforma y componentes tecnológicos IBM-Lenovo de la Autoridad Nacional de Licencias Ambientales - ANLA
5. Adquirir la renovación de los componentes de la plataforma de backup NetBackup, así como la redimensión del almacenamiento para el respaldo de información   de la Autoridad Nacional de Licencias Ambientales - ANLA ()
6. Adquirir la renovación del licenciamiento, mejoramiento y garantía de la plataforma de Seguridad Perimetral para la Autoridad Nacional de Licencias Ambientales - ANLA()
7. Adquirir la renovación del licenciamiento y garantía de la plataforma cisco, así como la adquisición de componentes tecnológicos para la Autoridad Nacional de Licencias Ambientales- ANLA
8.Adquisición y renovación de los productos TRENDMICRO  para la Autoridad Nacional de Licencias Ambientales -ANLA, incluido el soporte técnico, de acuerdo con las especificaciones técnicas establecidas por la Entidad
9. Adquirir la renovación de Licencias Microsoft VDA para la Autoridad Nacional de Licencias Ambientales ANLA
10. Adquisición de Certificados SSL para los Sistemas de Información y Servicios Web de la ANLA</t>
  </si>
  <si>
    <r>
      <t xml:space="preserve">Este indicador se materializará cuando se ejecute la totalidad del presupuesto (contratos firmados)que permitirá dar continuidad a la interoperabilidad de los servicios tecnológicos, los componentes de infraestructura  y los sistemas VITAL, SIGPRO, SILA Y ULISES. Durante el mes de junio no se firmaron contratos asociados a la adquisición de hardware y software. 
Actualmente los procesos de TIC se encuentran en etapas precontractuales como:
1. Solicitud de Cotizaciones
2. Elaboración de Estudios de Mercado
3. Elaboración de Estudios de Sector
4. Elaboración de Estudios Previos
5. Revisión de documentación precontractual con Abogados.
6. Carga de procesos en SECOP II
7. Proceso pendiente de Adjudicación
</t>
    </r>
    <r>
      <rPr>
        <b/>
        <sz val="8"/>
        <rFont val="Arial"/>
        <family val="2"/>
      </rPr>
      <t xml:space="preserve">
Se aporta Acta de Seguimiento Semanal de Contratos TIC con las fechas de radicación estimadas.</t>
    </r>
  </si>
  <si>
    <t>Con corte al 30 de septiembre de 2019 se han firmardo 5 contratos asociados al presente indicador:
1. Adquirir actualización, mantenimiento y soporte de una solución de seguridad y administración para PC y Portátiles PCSECURE para la Autoridad Nacional de licencias ambientales – ANLA
2. Adquirir la renovación de la licencia de chat en línea ZENDESK del portal web institucional de la ANLA, de acuerdo a las especificaciones establecidas en la ficha técnica. 
3. Adquirir la renovación de cuatro (4) licencias VIP Gobierno Adobe Creative Cloud for Teams para la Autoridad Nacional de Licencias Ambientales – ANLA
4. Adquirir los productos y servicios Microsoft para la Autoridad Nacional de Licencias Ambientales ANLA
5. Adquirir los productos y servicios Microsoft para la Autoridad Nacional de Licencias Ambientales ANLA
6. Adquirir la renovación del licenciamiento de la plataforma de gestión de fotogrametría y procesamiento de imágenes satelitales ERDAS 
Los demás procesos de TIC se encuentran en etapas precontractuales como Solicitud de Cotizaciones, Elaboración de Estudios de Mercado, Elaboración de Estudios de Sector, Elaboración de Estudios Previos,  Revisión de documentación precontractual con Abogados y Carga de procesos en SECOP II: 
1. Adquirir la renovación de la plataforma de monitoreo de infraestructura tecnológica y correlación de eventos de seguridad de la información de la Autoridad Nacional de Licencias Ambientales - ANLA.
2. Realizar la implementación y pruebas del Protocolo de Red IPV6 para la Autoridad Nacional de Licencias Ambientales – ANLA
3. Adquirir la renovación de Componentes Virtuales (VMWARE vsphere) y Actualización Vcenter para la Autoridad Nacional de Licencias Ambientales - ANLA
4. Adquirir la renovación de las garantías de la plataforma y componentes tecnológicos IBM-Lenovo de la Autoridad Nacional de Licencias Ambientales - ANLA
5. Adquirir la renovación de los componentes de la plataforma de backup NetBackup, así como la redimensión del almacenamiento para el respaldo de información   de la Autoridad Nacional de Licencias Ambientales - ANLA.
6. Adquirir la renovación del licenciamiento, mejoramiento y garantía de la plataforma de Seguridad Perimetral para la Autoridad Nacional de Licencias Ambientales - ANLA
7. Adquirir la renovación del licenciamiento y garantía de la plataforma cisco, así como la adquisición de componentes tecnológicos para la Autoridad Nacional de Licencias Ambientales- ANLA
8.Adquisición y renovación de los productos TRENDMICRO  para la Autoridad Nacional de Licencias Ambientales -ANLA, incluido el soporte técnico, de acuerdo con las especificaciones técnicas establecidas por la Entidad
9. Adquirir la renovación de Licencias Microsoft VDA para la Autoridad Nacional de Licencias Ambientales ANLA
10. Adquisición de Certificados SSL para los Sistemas de Información y Servicios Web de la ANLA</t>
  </si>
  <si>
    <t>Equipos De Hardware Adquiridos</t>
  </si>
  <si>
    <t># de unidades de hardware adquiridos</t>
  </si>
  <si>
    <t>En el mes de enero y febrero de 2019 no se gestionaron ninguno de los 7 procesos proyectados para el año, considerando la contingencia de contratación de la Entidad. (se priorizó la contratación por prestación de servicios)
Sin embargo, el área avanzó en la definición de fichas técnicas,  realización de estudios de mercado y borradores de estudios previos.</t>
  </si>
  <si>
    <t>Durante el mes de Abril se adjudicó el proceso de Adquisición de Workstations para la SIPTA.
Actualmente los procesos de TIC se encuentran en etapas precontractuales como:
1. Solicitud de Cotizaciones
2. Elaboración de Estudios de Mercado
3. Elaboración de Estudios de Sector
4. Elaboración de Estudios Previos
5. Revisión de documentación precontractual con Abogados.
6. Carga de procesos en SECOP II
7. Proceso pendiente de Adjudicación
Se aporta Acta de Seguimiento Semanal de Contratos TIC con las fechas de radicación estimadas.</t>
  </si>
  <si>
    <t>Durante el mes de Mayo no se firmaron contratos asociados a la adquisición de hardware y software. Actualmente los procesos contractuales de TIC se encuentran en etapas precontractuales como:
1. Solicitud de Cotizaciones
2. Elaboración de Estudios de Mercado
3. Elaboración de Estudios de Sector
4. Elaboración de Estudios Previos
5. Revisión de documentación precontractual con Abogados.
6. Carga de procesos en SECOP II
7. Proceso pendiente de Adjudicación
Se adjunta Matriz de Seguimiento Semanal a procesos contractuales.</t>
  </si>
  <si>
    <t>Durante el mes de Junio no se firmaron contratos asociados a la adquisición de hardware. Actualmente los procesos contractuales de TIC se encuentran en etapas precontractuales como:
Los procesos de TIC se encuentran en etapas precontractuales como:
1. Solicitud de Cotizaciones
2. Elaboración de Estudios de Mercado
3. Elaboración de Estudios de Sector
4. Elaboración de Estudios Previos
5. Revisión de documentación precontractual con Abogados.
6. Carga de procesos en SECOP II
7. Proceso pendiente de Adjudicación
Se adjunta Matriz de Seguimiento Semanal a procesos contractuales.</t>
  </si>
  <si>
    <t>Con corte al mes de Julio se han firmardo 1 contratos asociado al presente indicador:
*Workstation SIPTA
Actualmente los procesos contractuales de TIC se encuentran en etapas precontractuales como:
Los procesos de TIC se encuentran en etapas precontractuales como:
1. Solicitud de Cotizaciones
2. Elaboración de Estudios de Mercado
3. Elaboración de Estudios de Sector
4. Elaboración de Estudios Previos
5. Revisión de documentación precontractual con Abogados.
6. Carga de procesos en SECOP II
7. Proceso pendiente de Adjudicación
Se adjunta Matriz de Seguimiento Semanal a procesos contractuales.</t>
  </si>
  <si>
    <t>Con corte al 31 de agosto de 2019 se firmó 1 contratos asociado al presente indicador:
*Workstation SIPTA</t>
  </si>
  <si>
    <t>Con corte al 30 de septiembre de 2019 se firmó 1 contratos asociado al presente indicador:
*Workstation SIPTA</t>
  </si>
  <si>
    <t>4. Seguimiento y Evaluación del Desempeño Institucional</t>
  </si>
  <si>
    <t>Usuarios del sistema</t>
  </si>
  <si>
    <t>Número de usuarios del sistema</t>
  </si>
  <si>
    <t>Actividades De Soporte Y Gestión De Procesos Realizadas</t>
  </si>
  <si>
    <t># de módulos de los sistemas de información institucionales actualizados.</t>
  </si>
  <si>
    <t>Se realizó el paso a producción del módulo de GACETA del portal web www.anla.gov.co. Este paso a producción benefició a 20 usuarios internos del área de Atención al Ciudadano (Notificaciones) por la amigabilidad y usabilidad en la carga de actos administrativos. A su vez, permite que los visitantes del portal encuentren fácilmente los registros a través de un buscador especializado.</t>
  </si>
  <si>
    <t>Se realizó la actualización del portal web de la ANLA con la migración de los registros de FACETA DRUPAL a la nueva plataforma DNN.</t>
  </si>
  <si>
    <t xml:space="preserve">Se realizó la actualización del portal web de la ANLA con la migración de los registros de GACETA DRUPAL a la nueva plataforma DNN. </t>
  </si>
  <si>
    <r>
      <t>Actualmente, este indicador es acumulado y considera:
-</t>
    </r>
    <r>
      <rPr>
        <b/>
        <sz val="9"/>
        <color theme="1"/>
        <rFont val="Calibri"/>
        <family val="2"/>
        <scheme val="minor"/>
      </rPr>
      <t xml:space="preserve"> 20 usuarios internos editores del portal web</t>
    </r>
    <r>
      <rPr>
        <sz val="9"/>
        <color theme="1"/>
        <rFont val="Calibri"/>
        <family val="2"/>
        <scheme val="minor"/>
      </rPr>
      <t xml:space="preserve"> del Área de Atención al Ciudadano (Notificaciones)  hacen uso del módulo de publicación de </t>
    </r>
    <r>
      <rPr>
        <b/>
        <sz val="9"/>
        <color theme="1"/>
        <rFont val="Calibri"/>
        <family val="2"/>
        <scheme val="minor"/>
      </rPr>
      <t>GACETA</t>
    </r>
    <r>
      <rPr>
        <sz val="9"/>
        <color theme="1"/>
        <rFont val="Calibri"/>
        <family val="2"/>
        <scheme val="minor"/>
      </rPr>
      <t xml:space="preserve"> que agiliza la carga de actos administrativos en el portal</t>
    </r>
    <r>
      <rPr>
        <b/>
        <sz val="9"/>
        <color theme="1"/>
        <rFont val="Calibri"/>
        <family val="2"/>
        <scheme val="minor"/>
      </rPr>
      <t xml:space="preserve"> www.anla.gov.co</t>
    </r>
    <r>
      <rPr>
        <sz val="9"/>
        <color theme="1"/>
        <rFont val="Calibri"/>
        <family val="2"/>
        <scheme val="minor"/>
      </rPr>
      <t xml:space="preserve">.
</t>
    </r>
    <r>
      <rPr>
        <b/>
        <sz val="9"/>
        <color theme="1"/>
        <rFont val="Calibri"/>
        <family val="2"/>
        <scheme val="minor"/>
      </rPr>
      <t>-880 usuarios activos del sistema SILA</t>
    </r>
    <r>
      <rPr>
        <sz val="9"/>
        <color theme="1"/>
        <rFont val="Calibri"/>
        <family val="2"/>
        <scheme val="minor"/>
      </rPr>
      <t xml:space="preserve"> pueden acceder, visualizar y realizar seguimiento a sus actividades y las de su equipo de trabajo.</t>
    </r>
  </si>
  <si>
    <r>
      <t xml:space="preserve">Se realizó la actualización del portal web de la ANLA con la migración de alrededor de 25.000 registros (actos administrativos) de GACETA DRUPAL a la nueva plataforma DNN, facilitando la publicación y acceso a resoluciones y otros documentos de interés de la ciudadanía.
</t>
    </r>
    <r>
      <rPr>
        <b/>
        <sz val="10"/>
        <color theme="1"/>
        <rFont val="Calibri"/>
        <family val="2"/>
        <scheme val="minor"/>
      </rPr>
      <t xml:space="preserve">URL http://www.anla.gov.co/gaceta </t>
    </r>
    <r>
      <rPr>
        <sz val="10"/>
        <color theme="1"/>
        <rFont val="Calibri"/>
        <family val="2"/>
        <scheme val="minor"/>
      </rPr>
      <t xml:space="preserve">
Se realizó el paso a producción del Tablero de Control que es, a solicitud de Dirección, un mecanismo de autocontrol que genera conversaciones objetivas y control comunitario sobre la ejecución y cumplimiento de las tareas asignadas en SILA y que corresponden a los procesos y actividades que realiza la entidad en la gestión de las solicitudes de nuestro usuarios y el cumplimiento de la misión.
</t>
    </r>
    <r>
      <rPr>
        <b/>
        <sz val="10"/>
        <color theme="1"/>
        <rFont val="Calibri"/>
        <family val="2"/>
        <scheme val="minor"/>
      </rPr>
      <t>URL producción:  http://sila.anla.gov.co:81/adm_reportes/Reporte_Rendimiento.aspx</t>
    </r>
  </si>
  <si>
    <t xml:space="preserve">
Actualmente, este indicador es acumulado y considera:
- 20 usuarios internos editores del portal web del Área de Atención al Ciudadano que hacen uso del módulo de publicación de GACETA que agiliza la carga de actos administrativos a www.anla.gov.co.
-880 usuarios del sistema SILA que pueden acceder, visualizar y realizar seguimiento a sus actividades y las de su equipo de trabajo.</t>
  </si>
  <si>
    <t>Se realizó la actualización del portal web de la ANLA con la migración de alrededor de 25.000 registros (actos administrativos) de GACETA DRUPAL a la nueva plataforma DNN, facilitando la publicación y acceso a resoluciones y otros documentos de interés de la ciudadanía.
URL http://www.anla.gov.co/gaceta 
Se realizó el paso a producción del Tablero de Control que es, a solicitud de Dirección, un mecanismo de autocontrol que genera conversaciones objetivas y control comunitario sobre la ejecución y cumplimiento de las tareas asignadas en SILA y que corresponden a los procesos y actividades que realiza la entidad en la gestión de las solicitudes de nuestro usuarios y el cumplimiento de la misión.
URL producción:  http://sila.anla.gov.co:81/adm_reportes/Reporte_Rendimiento.aspx</t>
  </si>
  <si>
    <t>Se realizó la actualización del portal web de la ANLA con la migración de alrededor de 25.000 registros (actos administrativos) de GACETA DRUPAL a la nueva plataforma DNN, facilitando la publicación y acceso a resoluciones y otros documentos de interés de la ciudadanía.
URL http://www.anla.gov.co/gaceta 
Se realizó el paso a producción del Tablero de Control que es, a solicitud de Dirección, un mecanismo de autocontrol que genera conversaciones objetivas y control comunitario sobre la ejecución y cumplimiento de las tareas asignadas en SILA y que corresponden a los procesos y actividades que realiza la entidad en la gestión de las solicitudes de nuestro usuarios y el cumplimiento de la misión.
URL producción:  http://sila.anla.gov.co:81/adm_reportes/Reporte_Rendimiento.aspx</t>
  </si>
  <si>
    <t xml:space="preserve">
Actualmente, este indicador es acumulado y considera:
- 20 usuarios internos editores del portal web del Área de Atención al Ciudadano que hacen uso del módulo de publicación de GACETA que agiliza la carga de actos administrativos a www.anla.gov.co.
-880 usuarios del sistema SILA que pueden acceder, visualizar y realizar seguimiento a sus actividades y las de su equipo de trabajo.
-Se realizó el despliegue del formulario de cambios menores en la Ventanilla VITAL</t>
  </si>
  <si>
    <t xml:space="preserve">
Actualmente, este indicador es acumulado y considera:
*20 usuarios internos editores del portal web del Área de Atención al Ciudadano que hacen uso del módulo de publicación de GACETA que agiliza la carga de actos administrativos a www.anla.gov.co.
*880 usuarios del sistema SILA que pueden acceder, visualizar y realizar seguimiento a sus actividades y las de su equipo de trabajo.
*Se realizó el despliegue del formulario de cambios menores en la Ventanilla VITAL</t>
  </si>
  <si>
    <t>Gaceta. Se realizó la actualización del portal web de la ANLA con la migración de alrededor de 25.000 registros (actos administrativos) de GACETA DRUPAL a la nueva plataforma DNN, facilitando la publicación y acceso a resoluciones y otros documentos de interés de la ciudadanía.
URL http://www.anla.gov.co/gaceta 
Reporte de Oportunidad. Se realizó el paso a producción del Tablero de Control que es, a solicitud de Dirección, un mecanismo de autocontrol que genera conversaciones objetivas y control comunitario sobre la ejecución y cumplimiento de las tareas asignadas en SILA y que corresponden a los procesos y actividades que realiza la entidad en la gestión de las solicitudes de nuestro usuarios y el cumplimiento de la misión.
URL producción:  http://sila.anla.gov.co:81/adm_reportes/Reporte_Rendimiento.aspx
Cambios Menores. Este formulario está disponible en la Ventanilla Integral de Trámites Ambientales VITAL y se diseñó para las empresas que ya tienen proyectos u obras licenciados por la ANLA y requieren solicitar modificaciones al licenciamiento actual (en términos generales). Disponible para usuarios externos, requiere autenticación.</t>
  </si>
  <si>
    <t>Fortalecimiento organizacional y simplificación de procesos</t>
  </si>
  <si>
    <t>Diagnóstico y análisis de los sistemas de información de la ANLA</t>
  </si>
  <si>
    <t>Documento de diagnóstico y análisis de la mejora en los sistemas de información de la ANLA</t>
  </si>
  <si>
    <t>Con el fin de realizar la contratación de una empresa consultora calificada para realizar el diagnóstico de sistemas de información, durante el mes de enero se definió la primera versión de ficha técnica para el concurso de méritos de acuerdo con los lineamiento del Ministerio de TIC y el Manual de Contratación de la ANLA.</t>
  </si>
  <si>
    <t>Con el fin de realizar la contratación de una empresa consultora calificada para realizar el diagnóstico de sistemas de información, durante el mes de enero se definió la primera versión de ficha técnica para el concurso de méritos de acuerdo con los lineamiento del Ministerio de TIC y el Manual de Contratación de la ANLA.
Al corte del reporte de febrero el alcance del diagnóstico se encuentra en revisión de la Oficina Asesora de Planeación.</t>
  </si>
  <si>
    <r>
      <t xml:space="preserve">Con el fin de realizar la contratación de una empresa consultora calificada para realizar el diagnóstico de sistemas de información, durante el mes de enero </t>
    </r>
    <r>
      <rPr>
        <b/>
        <sz val="9"/>
        <color theme="1"/>
        <rFont val="Calibri"/>
        <family val="2"/>
        <scheme val="minor"/>
      </rPr>
      <t>Tecnologías definió la primera versión de ficha técnica para el concurso de méritos</t>
    </r>
    <r>
      <rPr>
        <sz val="9"/>
        <color theme="1"/>
        <rFont val="Calibri"/>
        <family val="2"/>
        <scheme val="minor"/>
      </rPr>
      <t xml:space="preserve"> de acuerdo con los lineamiento del Ministerio de TIC y el Manual de Contratación de la ANLA.
A</t>
    </r>
    <r>
      <rPr>
        <b/>
        <sz val="9"/>
        <color theme="1"/>
        <rFont val="Calibri"/>
        <family val="2"/>
        <scheme val="minor"/>
      </rPr>
      <t>l corte del reporte de marzo la ficha técnica y el alcance del diagnóstico se encuentra en revisión por parte de la Oficina Asesora de Planeación, quien escaló un requerimiento de propuesta técnica a la Agencia Nacional Digital.</t>
    </r>
  </si>
  <si>
    <t>Con el fin de realizar la contratación de una empresa consultora calificada para realizar el diagnóstico de sistemas de información, durante el mes de enero Tecnologías definió la primera versión de ficha técnica para el concurso de méritos de acuerdo con los lineamiento del Ministerio de TIC y el Manual de Contratación de la ANLA.
El el mes de abril se realizó una socialización de la línea base de Arquitectura TI de Tecnologías  a la Agencia Nacional Digital. Actualmente nos encontramos atentos al envío de la oferta económica por parte de esta Entidad asociada a Ministerio TIC.</t>
  </si>
  <si>
    <t>Con el fin de realizar la contratación de una empresa consultora calificada para realizar el diagnóstico de sistemas de información, durante el mes de enero Tecnologías definió la primera versión de ficha técnica para el concurso de méritos de acuerdo con los lineamiento del Ministerio de TIC y el Manual de Contratación de la ANLA.
Al corte del reporte del mes de mayo, nos econtramos atentos al envío de la oferta económica por parte de Agencia Nacional Digital.</t>
  </si>
  <si>
    <t>Con el fin de realizar la contratación de una empresa consultora calificada para realizar el diagnóstico de sistemas de información, durante el mes de enero Tecnologías definió la primera versión de ficha técnica para el concurso de méritos de acuerdo con los lineamiento del Ministerio de TIC y el Manual de Contratación de la ANLA.
Al corte del reporte del mes de junio, nos econtramos atentos al envío de la oferta económica por parte de Agencia Nacional Digital.</t>
  </si>
  <si>
    <t>En el mes de Julio se realizó un acercamiento a la Universidad Nacional con el fin de evaluar la posibilidad de realizar un contrato inteardministrativo para realizar un ejercicio de arquitetura empresarial que involucre a los directivos y se identifiquen los requerimientos del negocio para la el desarrollo del nuevo Sistema de Información de Licenciamiento Ambiental - SILA.
al corte del 31 de julio de 2019 se está proyectando ficha técnica de acuerdo con el nuevo alcance.</t>
  </si>
  <si>
    <t>El proceso se encuentra en etapa precontractual: elaboración de ficha técnica y estudio de mercado. Se realizó un acercamiento a la UNAL con el fin de verificar viabilidad técnica y jurídica para la realización de un contrato interadministrativo.</t>
  </si>
  <si>
    <t>El proceso se encuentra en etapa precontractual: elaboración de ficha técnica y estudio de mercado. Se realizaron estudios previos y propuesta de minuta para el contrato interadministrativo ANLA-UNAL</t>
  </si>
  <si>
    <t>Casos de soporte técnico asociados a SILA reducidos</t>
  </si>
  <si>
    <t>Numero de casos reportados de mesa de ayuda asociados a sistema SILA por mes vigencia actual / Numero de casos reportados de mesa de ayuda asociados a sistema SILA por mes vigencia anterior</t>
  </si>
  <si>
    <t>Considerando que este indicador compara la cantidad de casos de soporte asociados a SILA entre vigencias (2018-2019) en 7 puntos porcentuales ( de 27% a 19%) y busca disminuir estos casos de mesa de ayuda como muestra del mejoramiento del sistema y su apropiación por parte de los usuarios. Este indicador es una forma de medir impacto de capacitaciones, desarrollos/ajustes de software y otras acciones de mejora de SILA. 
En el mes de enero ocurrió una situación atípica, debido a que la totalidad de los colaboradores no estaban contratados al finalizar el mes, así que la cantidad de mesas de ayuda asociadas a SILA fue notoriamente baja, por eso la cifra será acumulada en cada período.
Las categorías de soporte técnico que se tienen en cuenta en la generación reporte son:
1.	CAMBIO DE ACTIVIDADES
2.	CAMBIO DE RESPONSABLE
3.	CARGUE DE DOCUMENTOS
4.	CREAR ACTIVIDAD.
5.	CREAR ESTADO
6.	CREAR ETAPA
7.	FINALIZACIÓN DE ACTIVIDADES 
8.	PARAMETRIZACIÓN ACTIVIDADES
9.	RECUPERACIÓN DE CLAVE
10.	SOLICITUD DE REPORTE</t>
  </si>
  <si>
    <t>Considerando que este indicador compara la cantidad de casos de soporte asociados a SILA entre vigencias (2018-2019) en 7 puntos porcentuales ( de 27% a 20%) y busca disminuir estos casos de mesa de ayuda como muestra del mejoramiento del sistema y su apropiación por parte de los usuarios. Este indicador es una forma de medir impacto de capacitaciones, desarrollos/ajustes de software y otras acciones de mejora de SILA. 
ENERO. En el mes de enero ocurrió una situación atípica, debido a que la totalidad de los colaboradores no estaban contratados al finalizar del mes, así que la cantidad de mesas de ayuda asociadas a SILA fue notoriamente baja, por eso la cifra será acumulada en cada período.
FEBRERO. La participación porcentual de casos de soporte de SILA desde el 1 de enero al 28 de febrero de 2018 fue de 17% y del mismo período en 2019 la participación fue de 14%, lo que indica un decremento de 3% este año en el número de solicitudes de soporte técnico de este sistema.
Las categorías de soporte técnico que se tienen en cuenta en la generación reporte son:
1.	CAMBIO DE ACTIVIDADES
2.	CAMBIO DE RESPONSABLE
3.	CARGUE DE DOCUMENTOS
4.	CREAR ACTIVIDAD.
5.	CREAR ESTADO
6.	CREAR ETAPA
7.	FINALIZACIÓN DE ACTIVIDADES 
8.	PARAMETRIZACIÓN ACTIVIDADES
9.	RECUPERACIÓN DE CLAVE
10.	SOLICITUD DE REPORTE</t>
  </si>
  <si>
    <r>
      <t xml:space="preserve">Considerando que este indicador compara la cantidad de casos de soporte asociados a SILA entre vigencias (2018-2019) en 7 puntos porcentuales ( de 27% a 20%) y busca disminuir estos casos de mesa de ayuda como muestra del mejoramiento del sistema y su apropiación por parte de los usuarios. Este indicador mide el impacto de capacitaciones, desarrollos/ajustes de software y otras acciones de mejora de SILA. 
</t>
    </r>
    <r>
      <rPr>
        <b/>
        <sz val="9"/>
        <rFont val="Calibri"/>
        <family val="2"/>
        <scheme val="minor"/>
      </rPr>
      <t xml:space="preserve">MARZO 
AVANCE MENSUAL. La participación porcentual de casos de soporte de SILA desde el 1 de marzo al 31 de marzo de 2018 fue de 36% y del 1 de marzo al 31 de marzo de 2019 la participación fue de 24%. Aplicando la fórmula del indicador mensual, encontramos que la cantidad de casos de soporte entre Marzo de 2018 y 2019 presenta un decremento de 12 %.
INDICADOR ACUMULADO.  La participación porcentual de casos de soporte de SILA desde el 1 de enero al 31 de marzo de 2018 fue de 20% y del 1 de enero al 31 de marzo de 2019 fue de 17%. Aplicando la fórmula del indicador acumulado encontramos que la cantidad de casos de soporte entre los primeros tres meses del año  2018 y 2019 presenta un decremento de 3%.
</t>
    </r>
    <r>
      <rPr>
        <sz val="9"/>
        <rFont val="Calibri"/>
        <family val="2"/>
        <scheme val="minor"/>
      </rPr>
      <t xml:space="preserve">
Las categorías de soporte técnico que se tienen en cuenta en la generación reporte son:
1.	CAMBIO DE ACTIVIDADES
2.	CAMBIO DE RESPONSABLE
3.	CARGUE DE DOCUMENTOS
4.	CREAR ACTIVIDAD.
5.	CREAR ESTADO
6.	CREAR ETAPA
7.	FINALIZACIÓN DE ACTIVIDADES 
8.	PARAMETRIZACIÓN ACTIVIDADES
9.	RECUPERACIÓN DE CLAVE
10.	SOLICITUD DE REPORTE</t>
    </r>
  </si>
  <si>
    <t xml:space="preserve"> </t>
  </si>
  <si>
    <t>Considerando que este indicador compara la cantidad de casos de soporte asociados a SILA entre vigencias (2018-2019) en 7 puntos porcentuales ( de 27% a 20%) y busca disminuir estos casos de mesa de ayuda como muestra del mejoramiento del sistema y su apropiación por parte de los usuarios. Este indicador mide el impacto de capacitaciones, desarrollos/ajustes de software y otras acciones de mejora de SILA. 
ABRIL 
AVANCE MENSUAL. La participación porcentual de casos de soporte de SILA desde el 1 de abril al 30 de abril de 2018 fue de 39% y del 1 de abril al 30 de abril de 2019 la participación fue de 26%. Aplicando la fórmula del indicador mensual, encontramos que la cantidad de casos de soporte entre Marzo de 2018 y 2019 presenta un decremento de 13 %.
INDICADOR ACUMULADO.  La participación porcentual de casos de soporte de SILA desde el 1 de enero al 30 de abril de 2018 fue de 23% y del 1 de enero al 30 de abril de 2019 fue de 19%. Aplicando la fórmula del indicador acumulado encontramos que la cantidad de casos de soporte entre los primeros tres meses del año  2018 y 2019 presenta un decremento de 4%.
Las categorías de soporte técnico que se tienen en cuenta en la generación reporte son:
1.	CAMBIO DE ACTIVIDADES
2.	CAMBIO DE RESPONSABLE
3.	CARGUE DE DOCUMENTOS
4.	CREAR ACTIVIDAD.
5.	CREAR ESTADO
6.	CREAR ETAPA
7.	FINALIZACIÓN DE ACTIVIDADES 
8.	PARAMETRIZACIÓN ACTIVIDADES
9.	RECUPERACIÓN DE CLAVE
10.	SOLICITUD DE REPORTE</t>
  </si>
  <si>
    <t>Considerando que este indicador compara la cantidad de casos de soporte asociados a SILA entre vigencias (2018-2019) en 7 puntos porcentuales ( de 27% a 20%) y busca disminuir estos casos de mesa de ayuda como muestra del mejoramiento del sistema y su apropiación por parte de los usuarios. Este indicador mide el impacto de capacitaciones, desarrollos/ajustes de software y otras acciones de mejora de SILA. 
MAYO
AVANCE MENSUAL. La participación porcentual de casos de soporte de SILA desde el 1 de mayo al 31 de mayo de 2018 fue de 37% y del 1 de mayo al 30 de mayo de 2019 la participación fue de 23%. Aplicando la fórmula del indicador mensual, encontramos que la cantidad de casos de soporte entre Mayo de 2018 y 2019 presenta un decremento de 14%.
INDICADOR ACUMULADO.  La participación porcentual de casos de soporte de SILA desde el 1 de enero al 30 de mayo de 2018 fue de 24% y del 1 de enero al 30 de mayo de 2019 fue de 20%. Aplicando la fórmula del indicador acumulado encontramos que la cantidad de casos de soporte entre los primeros cinco meses del año 2018 y 2019 presenta un decremento de 4%.
Las categorías de soporte técnico que se tienen en cuenta en la generación reporte son:
1.	CAMBIO DE ACTIVIDADES
2.	CAMBIO DE RESPONSABLE
3.	CARGUE DE DOCUMENTOS
4.	CREAR ACTIVIDAD.
5.	CREAR ESTADO
6.	CREAR ETAPA
7.	FINALIZACIÓN DE ACTIVIDADES 
8.	PARAMETRIZACIÓN ACTIVIDADES
9.	RECUPERACIÓN DE CLAVE
10.	SOLICITUD DE REPORTE</t>
  </si>
  <si>
    <t>Considerando que este indicador compara la cantidad de casos de soporte asociados a SILA entre vigencias (2018-2019) en 7 puntos porcentuales ( de 27% a 20%) y busca disminuir estos casos de mesa de ayuda como muestra del mejoramiento del sistema y su apropiación por parte de los usuarios. Este indicador mide el impacto de capacitaciones, desarrollos/ajustes de software y otras acciones de mejora de SILA. 
JUNIO
AVANCE MENSUAL. La participación porcentual de casos de soporte de SILA desde el 1 de junio al 30 de junio de 2018 fue de 44% y del 1 de junio al 30 de junio de 2019 la participación fue de 23%. Aplicando la fórmula del indicador mensual, encontramos que la cantidad de casos de soporte entre junio de 2018 y 2019 presenta un decremento de 21%.
INDICADOR ACUMULADO.  La participación porcentual de casos de soporte de SILA desde el 1 de enero al 30 de junio de 2018 fue de 26% y del 1 de enero al 30 de junio de 2019 fue de 20%. Aplicando la fórmula del indicador acumulado encontramos que la cantidad de casos de soporte entre los primeros cinco meses del año 2018 y 2019 presenta un decremento de 6%.
Las categorías de soporte técnico que se tienen en cuenta en la generación reporte son:
1.	CAMBIO DE ACTIVIDADES
2.	CAMBIO DE RESPONSABLE
3.	CARGUE DE DOCUMENTOS
4.	CREAR ACTIVIDAD.
5.	CREAR ESTADO
6.	CREAR ETAPA
7.	FINALIZACIÓN DE ACTIVIDADES 
8.	PARAMETRIZACIÓN ACTIVIDADES
9.	RECUPERACIÓN DE CLAVE
10.	SOLICITUD DE REPORTE</t>
  </si>
  <si>
    <t>Considerando que este indicador compara la cantidad de casos de soporte asociados a SILA entre vigencias (2018-2019) en 7 puntos porcentuales ( de 27% a 20%) y busca disminuir estos casos de mesa de ayuda como muestra del mejoramiento del sistema y su apropiación por parte de los usuarios. Este indicador mide el impacto de capacitaciones, desarrollos/ajustes de software y otras acciones de mejora de SILA. 
JULIO
AVANCE MENSUAL. La participación porcentual de casos de soporte de SILA desde el 1 de julio al 31 de julio de 2018 fue de 33% y del 1 de julio al 30 de julio de 2019 la participación fue de 17,65%. Aplicando la fórmula del indicador mensual, encontramos que la cantidad de casos de soporte entre junio de 2018 y 2019 presenta un decremento de 15,35%.
INDICADOR ACUMULADO.  La participación porcentual de casos de soporte de SILA desde el 1 de enero al 31 de julio de 2018 fue de 27% y del 1 de enero al 31 de julio de 2019 fue de 19,15%. Aplicando la fórmula del indicador acumulado encontramos que la cantidad de casos de soporte entre los siete primeros meses del año 2018 y 2019 presenta un decremento de 7,85%.
Las categorías de soporte técnico que se tienen en cuenta en la generación reporte son:
1.	CAMBIO DE ACTIVIDADES
2.	CAMBIO DE RESPONSABLE
3.	CARGUE DE DOCUMENTOS
4.	CREAR ACTIVIDAD.
5.	CREAR ESTADO
6.	CREAR ETAPA
7.	FINALIZACIÓN DE ACTIVIDADES 
8.	PARAMETRIZACIÓN ACTIVIDADES
9.	RECUPERACIÓN DE CLAVE
10.	SOLICITUD DE REPORTE</t>
  </si>
  <si>
    <t>Considerando que este indicador compara la cantidad de casos de soporte asociados a SILA entre vigencias (2018-2019) en 7 puntos porcentuales ( de 27% a 20%) y busca disminuir estos casos de mesa de ayuda como muestra del mejoramiento del sistema y su apropiación por parte de los usuarios. Este indicador mide el impacto de capacitaciones, desarrollos/ajustes de software y otras acciones de mejora de SILA. 
AGOSTO
AVANCE MENSUAL. La participación porcentual de casos de soporte de SILA desde el 1 de agosto al 31 de agosto de 2018 fue de 31% y del 1 de agosto al 31 de agostode 2019 la participación fue de 21,23%. Aplicando la fórmula del indicador mensual, encontramos que la cantidad de casos de soporte entre junio de 2018 y 2019 presenta un decremento de 9,8%.
INDICADOR ACUMULADO.  La participación porcentual de casos de soporte de SILA desde el 1 de enero al 31 de agosto de 2018 fue de 28% y del 1 de enero al 31 de agosto de 2019 fue de 18,99%. Aplicando la fórmula del indicador acumulado encontramos que la cantidad de casos de soporte entre los siete primeros meses del año 2018 y 2019 presenta un decremento de 9,1%.
Las categorías de soporte técnico que se tienen en cuenta en la generación reporte son:
1.	CAMBIO DE ACTIVIDADES
2.	CAMBIO DE RESPONSABLE
3.	CARGUE DE DOCUMENTOS
4.	CREAR ACTIVIDAD.
5.	CREAR ESTADO
6.	CREAR ETAPA
7.	FINALIZACIÓN DE ACTIVIDADES 
8.	PARAMETRIZACIÓN ACTIVIDADES
9.	RECUPERACIÓN DE CLAVE
10.	SOLICITUD DE REPORTE</t>
  </si>
  <si>
    <t>Considerando que este indicador compara la cantidad de casos de soporte asociados a SILA entre vigencias (2018-2019) en 7 puntos porcentuales ( de 27% a 20%) y busca disminuir estos casos de mesa de ayuda como muestra del mejoramiento del sistema y su apropiación por parte de los usuarios. Este indicador mide el impacto de capacitaciones, desarrollos/ajustes de software y otras acciones de mejora de SILA. 
AGOSTO
AVANCE MENSUAL. La participación porcentual de casos de soporte de SILA desde el 1 de septiembre al 30 de septiembre de 2018 fue de 30,66% y del 1 de septiembre al 31 de septiembre de 2019 la participación fue de 20,77%. Aplicando la fórmula del indicador mensual, encontramos que la cantidad de casos de soporte entre septiembre de 2018 y 2019 presenta un decremento de 9,89%.
INDICADOR ACUMULADO.  La participación porcentual de casos de soporte de SILA desde el 1 de enero al 30 de septiembre de 2018 fue de 28% y del 1 de enero al 30 de septiembre de 2019 fue de 18,41%. Aplicando la fórmula del indicador acumulado encontramos que la cantidad de casos de soporte entre los siete primeros meses del año 2018 y 2019 presenta un decremento de 9,59%.
Las categorías de soporte técnico que se tienen en cuenta en la generación reporte son:
1.	CAMBIO DE ACTIVIDADES
2.	CAMBIO DE RESPONSABLE
3.	CARGUE DE DOCUMENTOS
4.	CREAR ACTIVIDAD.
5.	CREAR ESTADO
6.	CREAR ETAPA
7.	FINALIZACIÓN DE ACTIVIDADES 
8.	PARAMETRIZACIÓN ACTIVIDADES
9.	RECUPERACIÓN DE CLAVE
10.	SOLICITUD DE REPORTE</t>
  </si>
  <si>
    <t>Actividades: Orientación al Ciudadano y Administrativo</t>
  </si>
  <si>
    <t>*Depuración de reportes en SILA 
*Creación de grupos de trabajo en el tablero de control 
*Autenticación de usuarios 
*Radicación en VITAL 
*VISDOC
*Política de Daño Antijuridico - Compensación y 1% 
*SIGPRO - MACROPROYECTOS
*Depuración Usuarios Internos SILA</t>
  </si>
  <si>
    <t>PROCESOS DISCIPLINARIOS</t>
  </si>
  <si>
    <t>Control disciplinario</t>
  </si>
  <si>
    <t xml:space="preserve">Actuaciones gestionadas en términos legales </t>
  </si>
  <si>
    <t>Numero de actuaciones gestionadas en términos legales /numero de actuaciones existentes.</t>
  </si>
  <si>
    <t>En el mes de abril se gestionaron 37 actuaciones gestionadas en términos legales de 37 actuaciones existentes en el mes</t>
  </si>
  <si>
    <t>Se realizan actividades con corte 30 de junio de 2019: 
Procesos: 
196-16
338-18
231-16
177-16
263-17
298-18
027-19
215-16
026-19
008-19
333-18
199-16</t>
  </si>
  <si>
    <t>En el mes de julio se gestionaron 26 actuaciones gestionadas en términos legales de 26 actuaciones existentes en el mes</t>
  </si>
  <si>
    <t>En el mes de Agosto se gestionaron 26 actuaciones gestionadas en términos legales de 26 actuaciones existentes en el mes</t>
  </si>
  <si>
    <t>En el mes de Septiembre se gestionaron 26 actuaciones gestionadas en términos legales de 26 actuaciones existentes en el mes</t>
  </si>
  <si>
    <t>Colaboradores capacitados como acción preventiva</t>
  </si>
  <si>
    <t>Numero de colaboradores capacitados/ Numero de colaboradores de la entidad</t>
  </si>
  <si>
    <t>En el mes de Abril se realizó una capacitación a colaboradores c como acción preventiva</t>
  </si>
  <si>
    <t>Se realiza capacitación a la secretaria de Director el día 21 de junio de 2019, no se a entregado la lista de asistencia por parte de talento humano.</t>
  </si>
  <si>
    <t>En el mes de julio se realizaron 26 capacitaciones a colaboradores como acción preventiva</t>
  </si>
  <si>
    <t>En el mes de Septiembre se realizaron 43 capacitaciones a colaboradores como acción preventiva</t>
  </si>
  <si>
    <t>MARZO</t>
  </si>
  <si>
    <t>Acumulado</t>
  </si>
  <si>
    <t>%</t>
  </si>
  <si>
    <t>Sancionatorios</t>
  </si>
  <si>
    <t>Gestión Jurídica</t>
  </si>
  <si>
    <t>Actuaciones Sancionatorias</t>
  </si>
  <si>
    <t>Oficina Asesora Jurídica</t>
  </si>
  <si>
    <t xml:space="preserve">Unidad de actos administrativos expedidos en procesos sancionatorios ambientales competencia de ANLA </t>
  </si>
  <si>
    <t xml:space="preserve"># Actos Administrativos sancionatorios firmados </t>
  </si>
  <si>
    <t>Concepto técnico sancionatorio acogidos</t>
  </si>
  <si>
    <t># de actos administrativos firmados en procesos sancionatorios ambientales de competencia de la ANLA acogiendo conceptos técnicos de la etapa correspondiente.</t>
  </si>
  <si>
    <t>JEFE DE LA OFICINA JURÍDICA</t>
  </si>
  <si>
    <t>Se expidieron 46 actos administrativos, de los cuales: 1 auto de archivo corresponde a actuación promovida en 2008 y 1 auto de pruebas carece de concepto técnico.  Así mismo, se generaron 10 autos de inicio, 4 autos de formulación de cargos, 1 resolución que levanta medida preventiva, 8 autos de pruebas, 3 autos que resuelven recurso de reposición, 8 autos de archivo de gestión y 1 auto de archivo de indagación preliminar.</t>
  </si>
  <si>
    <t>Se expidieron 14 actos administrativos sancionatorios que acogen concepto técnico, correspondientes a: 10 autos de inicio, 2 autos de formulación de cargos, 1 auto de pruebas y 1 resolución que levanta medida preventiva.</t>
  </si>
  <si>
    <t>Se expidieron 111 actos administrativos, de los cuales: 10 auto de archivo de proceso sancionatorio, 1 auto que aclara auto, 17 auto de pruebas, 21 autos de apertura de investigación, 2 auto de indagación preliminar, 2 auto que ordena diligencia, 1 auto vincula persona dentro de investigación, 39 autos de saneamiento documental, 1 resolución que niega medida preventiva, 8 autos de formulación de cargos, 1 resolución que levanta medida preventiva, 3 resolución que impone sanción, 2 resolución de cesación, 2 autos que resuelven recurso de reposición, y 1 auto de archivo de indagación preliminar.</t>
  </si>
  <si>
    <t>Se expidieron 29 actos administrativos sancionatorios que acogen concepto técnico, correspondientes a: 21 autos de apertura de investigación, 5 autos de formulación de cargos, 1 auto de indagación preliminar y 2 resolución que impone sanción.</t>
  </si>
  <si>
    <t>Se expidieron 66 actos administrativos, de los cuales: 23 autos de apertura de investigación, 7 auto de formulación de cargos, 7 archivos de proceso sancionatorios, 9 autos de saneamiento documental, 9 auto que decreta, rechaza o niega pruebas, 1 auto que reconoce tercer interviniente, 3 auto que resuelve recurso de reposición, 1 auto revocatoria auto, 2 resolución que resuelve recurso de reposición, 1 resolución de cesación del procedimiento, 1 resolución que impone medida preventiva, 1 resolución que levanta medida preventiva, 1 resolución que impone sanción.</t>
  </si>
  <si>
    <t>Se expidieron 26 actos administrativos sancionatorios que acogen concepto técnico, correspondientes a: 22 autos de apertura de investigación, 1 auto de formulación de cargos, 1 resolucion que impone medida preventiva, 1 resolución levanta medida preventiva, 1 resolución que resuelve recurso de reposición.</t>
  </si>
  <si>
    <t>Se expidieron 130 actos administrativos, de los cuales se identifican: 81 autos de saneamineto documental del proceso sancionatorio, 19 autos de formulación de cargos, 11 autos que decretan, rechazan o niegan pruebas, 6 autos de apertura de investigación, 4 autos de archivo del proceso sancionatorio, 2 resoluciones resolviendo recurso de reposición, 1 archivo de indagación preliminar, 1 auto de revocatoria, 1 resolución de aclaración, 1 resolución que impone medida preventiva, 1 resolución que levanta parcialmente medida preventiva, 1 resolución de cesación, 1 resolución de exoneración de la responsabilidad.
E1_SANCIONATORIOS_ABRIL_ACTOS ADMINISTRATIVOS FIRMADOS</t>
  </si>
  <si>
    <t>Se expidieron 20 actos administrativos sancionatorios que acogen concepto técnico, correspondientes a: 10 autos de formulación de cargos, 6 autos de apertura de investigación, 1 auto que decreta pruebas, 1 resolución de aclaración, 1 resolución que impone medida preventiva, 1 resolución que levanta parcialmente medida preventiva.</t>
  </si>
  <si>
    <t>Se expidieron 150 actos administrativos, de los cuales se identifican: 85 autos de saneamineto documental del proceso sancionatorio, 15 autos de formulación de cargos, 4 autos que decretan, rechazan o niegan pruebas, 13 autos de apertura de investigación, 14 autos de archivo del proceso sancionatorio, 1 auto que avoca conocimiento, 1 auto que reconoce tercer interviniente, 1 auto que resuelve recurso, 1 auto que resuelve recurso reposición, 1 resoluciones resolviendo recurso de reposición, 1 archivo de indagación preliminar, 3 auto que aclara auto, 1 resolución que impone sanción, 2 resolución que impone medida preventiva, 2 resolución que levanta medida preventiva, 1 resolución que levanta parcialmente medida preventiva, 3 resolución de cesación, 1 resolución de exoneración de la responsabilidad.
E1_SANCIONATORIOS_REPORTE MAYO</t>
  </si>
  <si>
    <t>Se expidieron 25 actos administrativos sancionatorios que acogen concepto técnico, así: 13 autos de apertura, 8 autos de formulación de cargos, 2 resoluciones que imponen medida,  1 resolución de cesación del procedimiento, 1 resolución que levanta parcialmente medida.</t>
  </si>
  <si>
    <t>Se expidieron 70 actos adminstrativos de los cuales se indican: 30 autos de saneamiento documental del proceso sancionatorio, 3 Auto de Apertura de Inestisgación, 8 Autos de Formulación de Cargos, 10 autos que decretan, rechazan o niegan pruebas; 2 Autos resuelve recurso de reposición, 1 Auto de Diligencias dentro de una investigación Sancioantoria, 1 Auto traslado por competencia, 2 Auto revocatoría de Auto, 4 Resolución Impone Medida, 1 Resolucón levanta medida, 2 Resoluciones Cesa Investigación, 3 Resoluciones de Sanción, 3 Auto Aclara Auto
E1_SANCIONATORIO_Reporte PAI Firmado Consolidado junio</t>
  </si>
  <si>
    <t>Se expidieron 13 actos administrativos sancionatorios iniciados entre 2016-2019 que acogen concepto técnico, así: 3 autos de apertura, 4 autos de formulación de cargos, 4 resoluciones que imponen medida preventiva,  1 resolución de cesación del procedimiento, 1 resolución que levanta parcialmente medida preventiva.</t>
  </si>
  <si>
    <t>Se expidieron 236 actos adminstrativos de los cuales se indican: 183 autos de saneamiento documental del proceso sancionatorio, 10 Auto de Apertura de Inestisgación, 16 Autos de Formulación de Cargos,  1 Resolución que resuelve recurso de Reposición, 1 resolución que levanta medida preventiva, 3 auto que avoca conocimiento, 11 autos que decretas pruebas, 1 auto que resuelven recurso de reposición, 3 auto de archivo del proceso sancionatorio, 3 resolución de cesación del procedimiento, 1 auto que aclara auto, 1 resolución que declara la caducidad, 1 Auto Vincula Persona(s) a una Investigación, 1 Resolución Levanta Medida Preventiva.
E1_Reporte de Indicadores Julio Sancionatorios</t>
  </si>
  <si>
    <t>Se expidieron 23 actos administrativos sancionatorios iniciados entre 2016-2019 que acogen concepto técnico, así: 10 autos de apertura, 7 autos de formulación de cargos, 1 Resolución que resuelve recurso de Reposición, 1 resolución que levanta medida preventiva, 1 auto que decreta pruebas, 3 auto que avoca conocimiento.</t>
  </si>
  <si>
    <t xml:space="preserve">Se expidieron 266 actos adminstrativos de los cuales se indican: 217 autos de saneamiento documental del proceso sancionatorio, 3 Auto de Apertura de Investisgación, 15 Autos de Formulación de Cargos,  1 Resolución que resuelve recurso de Reposición, 2 resolución que levanta medida preventiva, 2 auto que avoca conocimiento, 14 autos que decretas pruebas, 1 auto que resuelven recurso de reposición, 3 auto de archivo del proceso sancionatorio, 2 auto que aclara auto, 1 resolución que declara la caducidad, 1 Auto revocatoria auto, 2 Resolución Impone Medida Preventiva, 1 Auto de archivo de indagación preliminar, 1 auto de traslado por competencia.
</t>
  </si>
  <si>
    <t>Se expidieron 22 actos administrativos sancionatorios iniciados entre 2016-2019 que acogen concepto técnico, así: 3 autos de apertura, 5 autos de formulación de cargos, 2 Resolución que impone medida preventiva, 2 resolución que levanta medida preventiva, 5 auto que decreta pruebas, 2 auto que avoca conocimiento, 1 auto de archivo de indagación preliminar, 1 auto de archivo de proceso sancionatorio, 1 auto que resuelve recurso.</t>
  </si>
  <si>
    <t>Se expidieron 592 actos adminstrativos de los cuales se indican: 546 autos de saneamiento documental del proceso sancionatorio, 15 Auto de Apertura de Investisgación, 2 autos de indagación preliminar, 4 Autos de Formulación de Cargos, 1 Resolución que impone Sanción, 4 Resolución que resuelve recurso de Reposición, 5 resolución que levanta medida preventiva, 1 resolución que levanta parcialmente medida preventiva, 7 autos que decretas pruebas, 3 auto de archivo del proceso sancionatorio, 1 auto que aclara auto, 1 Auto revocatoria auto, 2 Resolución que cesa investigación.
E1_SANCIONATORIO_Actos administrativos firmados</t>
  </si>
  <si>
    <t>Se expidieron 28 actos administrativos sancionatorios iniciados entre 2016-2019 que acogen concepto técnico, así: 15 autos de apertura, 4 autos de formulación de cargos, 5 resolución que levanta medida preventiva, 1 resolución que levanta parcialmente medida preventiva, 2 auto de indagación preliminar, 1 auto aclara auto.</t>
  </si>
  <si>
    <t>Descongestión de las actuaciones sancionatorias identificadas entre los años 2009 y 2015.</t>
  </si>
  <si>
    <t># de actos administrativos de descongestión  firmados en procesos sancionatorios ambientales de competencia de la ANLA</t>
  </si>
  <si>
    <t>Se expidieron 23 actos administrativos sancionatorios, así: 1 auto de archivo de indagación preliminar, 9 autos de archivo de gestión, 2 autos de formulación de cargos, 8 autos de pruebas y 3 autos que resuelven recurso de reposición.</t>
  </si>
  <si>
    <t>Se expidieron 29 actos administrativos sancionatorios de descongestión, así:  1 auto que aclara auto, 1 auto que ordena diligencia dentro de una investigación, 1 auto de archivo de indagación preliminar, 1 autos de archivo de gestión, 3 autos de formulación de cargos, 15 autos de pruebas, 2 autos que resuelven recurso de reposición, 2 resolución de cesación, 1 resolución levanta medida preventiva, 1 resolución que impone sanción y 1 resolución que niega medida preventiva.</t>
  </si>
  <si>
    <t>Se expidieron 23 actos administrativos sancionatorios de descongestión, así: 8 auto que decreta, rechaza o niega pruebas, 6 auto de formulación de cargos, 3 auto que resuelve recurso de reposición, 1 auto de archivo, 1 auto que reconoce tercer interviniente, 1 auto que revoca auto, 1 resolución de cesación del procedimiento, 1 resolución que impone sanción, 1 resolución que resuelve recurso de reposición.</t>
  </si>
  <si>
    <t>Se expidieron 24 actos administrativos sancionatorios de descongestión, así: 9 autos de formulación de cargos, 9 autos que decretas pruebas, 2 resoluciones que resuelven recurso de reposición, 1 auto de archivo de indagación preliminar, 1 auto de revocatoria, 1 resolución de cesación del procedimiento, 1 resolución que exonera responsabilidad.</t>
  </si>
  <si>
    <t>Se expidieron 26 actos administrativos sancionatorios de descongestión, así: 7 autos de formulación de cargos, 4 autos que decretas pruebas, 2 auto que resuelven recurso de reposición, 5 auto de archivo de proceso sancionatorio, 1 auto que reconoce tercer interviniente, 2 resolución de cesación del procedimiento, 1 resolución que exonera responsabilidad, 2 resolución qu elevanta medida preventiva, 1 auto que aclara auto, 1 resolución que impone sanción.</t>
  </si>
  <si>
    <t>Se expidieron 22 actos administrativos sancionatorios de descongestión (procesos iniciados entre 2009 - 2015), así: 4 autos de formulación de cargos, 8 autos que decretas pruebas, 2 auto que resuelven recurso de reposición, 2 auto que revoca auto, 1 resolución de cesación del procedimiento, 2 auto que aclara auto, 3 resolución que impone sanción.</t>
  </si>
  <si>
    <t>Se expidieron 30 actos administrativos sancionatorios de descongestión (procesos iniciados entre 2009 - 2015), así: 9 autos de formulación de cargos, 10 autos que decretas pruebas, 1 auto que resuelven recurso de reposición, 3 auto de archivo del proceso sancionatorio, 3 resolución de cesación del procedimiento, 1 auto que aclara auto, 1 resolución que declara la caducidad, 1 Auto Vincula Persona(s) a una Investigación, 1 Resolución Levanta Medida Preventiva.</t>
  </si>
  <si>
    <t>Se expidieron 27 actos administrativos sancionatorios de descongestión (procesos iniciados entre 2009 - 2015), así: 10 autos de formulación de cargos, 9 autos que decretas pruebas, 1 resolución que resuelven recurso de reposición, 2 auto de archivo del proceso sancionatorio, 2 auto que aclara auto, 1 resolución que declara la caducidad, 1 Auto de traslado por competencia, 1 auto revocatoria auto.</t>
  </si>
  <si>
    <t>Se expidieron 16 actos administrativos sancionatorios de descongestión (procesos iniciados entre 2009 - 2015), así: 5 autos que decretas pruebas, 4 resoluciones que resuelve recurso de reposición, 1 resolución que impone sanción, 1 auto de formulación de cargos, 2 auto de archivo del proceso sancionatorio, 2 resolución que cesa investigación, 1 auto revocatoria auto.</t>
  </si>
  <si>
    <t>Impulso procesal en los procesos Sancionatorios Ambientales</t>
  </si>
  <si>
    <t># de actos administrativos firmados en procesos sancionatorios ambientales de competencia de la ANLA</t>
  </si>
  <si>
    <t>Se expidieron 9 autos de saneamiento documental.</t>
  </si>
  <si>
    <t>Se expidieron 53 actos administrativos, así: 39 autos de saneamiento documental, 9 auto de archivo de proceso, 1 auto de indagación preliminar, 1 auto que ordena diligencia, 2 auto de pruebas y 1 auto vincula persona dentro de investigación.</t>
  </si>
  <si>
    <t>Se expidieron 17 actos administrativos, así: 9 autos de saneamiento documental, 6 autos de archivo del porceso sancionatorio, 1 auto de apertura de investigación, 1 auto que decreta, rechaza o niega pruebas.</t>
  </si>
  <si>
    <t>Se expidieron 86 actos administrativos sancionatorios, así: 81 autos de saneamiento documental del proceso sancionatorio, 4 autos de archivo del proceso sancionatorio, 1 auto que decreta pruebas.</t>
  </si>
  <si>
    <t>Se expidieron 99 actos administrativos sancionatorios, así: 85 autos de saneamiento documental del proceso sancionatorio, 9 autos de archivo del proceso sancionatorio, 2 auto que aclara auto, 1 auto que avoca conocimiento, 1 auto de indagación preliminar, 1 resolución que resuelve recurso.</t>
  </si>
  <si>
    <t>Se expidieron 35 actos administrativos sancionatorios, así: 30 autos de saneamiento documental del proceso sancionatorio, 1 auto que aclara auto, 1 auto que ordena diligencia dentro de una investigación, 1 auto de traslado por competencia, 2 auto que decreta, rechaza o niega pruebas.</t>
  </si>
  <si>
    <t>Se expidieron 183 actos administrativos sancionatorios, así: 183 autos de saneamiento documental del proceso sancionatorio.</t>
  </si>
  <si>
    <t>Se expidieron 217 actos administrativos sancionatorios, así: 217 autos de saneamiento documental del proceso sancionatorio.</t>
  </si>
  <si>
    <t>Se expidieron 548 actos administrativos sancionatorios, así: 546 autos de saneamiento documental del proceso sancionatorio, 1 auto de archivo del proceso sancionatorio, 1 auto que decreta, rechaza o niega pruebas.</t>
  </si>
  <si>
    <t>Licencia Ambiental</t>
  </si>
  <si>
    <t>Procesos Coactivos</t>
  </si>
  <si>
    <t>Cartera  coactiva recuperada hasta la vigencia 2019</t>
  </si>
  <si>
    <t xml:space="preserve">Total recaudo en banco de cartera coactiva </t>
  </si>
  <si>
    <t>Total recaudo en banco de cartera coactiva en cada mes</t>
  </si>
  <si>
    <t>Se inicio la revisión de los expedientes que se encuentran en cobro coactivo, para determinar la etapa procesal en la que se encuentran.</t>
  </si>
  <si>
    <t xml:space="preserve">Se revisaron 430 procesos de 463 expedientes activos y suspendidos, de los cuales se establecio que 257 estan pendientes de librar mandamiento de pago, 90 procesos estan por notificar el mandamiento de pago, 58 expedientes cuentan con mandamiento de  pago notificado, investigacion de bienes y Decreto de medidas cautelares y se constato que hay 25 procesos suspendidos.
Se terminaron 9 procesos de los cuales  2 se terminaron en febrero y los 7 restantes en enero de 2019, reportados en el cierre de 28-02-2019. </t>
  </si>
  <si>
    <t>Lo recaudado durante este periodo incluye Capital mas intereses  que corresponde a 7 procesos en su etapa de cobro coactivo.
E1_COACTIVO_MARZO_CSCC
E2_COACTIVO_MARZO_Base de Datos Financiera</t>
  </si>
  <si>
    <r>
      <t xml:space="preserve">
</t>
    </r>
    <r>
      <rPr>
        <sz val="9"/>
        <rFont val="Calibri"/>
        <family val="2"/>
        <scheme val="minor"/>
      </rPr>
      <t>Durante este periodo lo recaudado por 22 procesos, corresponde a 18 pagos totales y 4 abonos parciales, por concepto intereses y capital  en su etapa de cobro coactivo.</t>
    </r>
    <r>
      <rPr>
        <sz val="9"/>
        <color rgb="FFFF0000"/>
        <rFont val="Calibri"/>
        <family val="2"/>
        <scheme val="minor"/>
      </rPr>
      <t xml:space="preserve">
</t>
    </r>
    <r>
      <rPr>
        <sz val="9"/>
        <rFont val="Calibri"/>
        <family val="2"/>
        <scheme val="minor"/>
      </rPr>
      <t>E1_COACTIVO_ABRIL_CSCC
E2_COACTIVO_ABRIL_Base de Datos Financiera</t>
    </r>
  </si>
  <si>
    <t xml:space="preserve">Se estan recibiendo la respuesta de los oficios enviados de Investigación de Bienes de  las diferentes oficinas consultadas, las cuales se estan ingresando al Cuadro de Seguimiento de Cobro Coactivo anotando la respectiva lectura legal.
Se adelantaron 31 Autos por terminación de procesos finalizados en periodos anteriores y que estan en proceso de Notificación, así mismo, se elaboro un Auto de Suspensión.
Durante el presente mes por pago total de la obligación, se terminaron  31 procesos.
Se reporta un recaudo por abono de capital y abono a interes por cobro coactivo correspondiente a 16 procesos.
E1 COACTIVO_BASE DE DATOS
E2 COACTIVO_BASE FINANCIERA
 </t>
  </si>
  <si>
    <t>Durante el periodo de julio de 2019 se recaudo por cobro coactivo $438.773.178, representado en  abonos parciales y pagos totales, logrando un acumulado del 68% de la meta propuesta.</t>
  </si>
  <si>
    <r>
      <t xml:space="preserve">Durante el periodo de agosto de 2019 se recaudo por cobro coactivo $25.034.726, representado en  abonos parciales y pagos totales, logrando un acumulado del </t>
    </r>
    <r>
      <rPr>
        <b/>
        <sz val="9"/>
        <color theme="1"/>
        <rFont val="Calibri"/>
        <family val="2"/>
        <scheme val="minor"/>
      </rPr>
      <t>69%</t>
    </r>
    <r>
      <rPr>
        <sz val="9"/>
        <color theme="1"/>
        <rFont val="Calibri"/>
        <family val="2"/>
        <scheme val="minor"/>
      </rPr>
      <t xml:space="preserve"> de la meta propuesta.</t>
    </r>
  </si>
  <si>
    <t>Durante el periodo de septiembre de 2019 se recaudo por cobro coactivo $7.892.968, representado en  abonos parciales y pagos totales, logrando un acumulado del 69% de la meta propuesta.
E1_COACTIVO_Base de Datos Financiera_ Sept 2019</t>
  </si>
  <si>
    <t>Procesos Judiciales</t>
  </si>
  <si>
    <t xml:space="preserve">Tasa de éxito procesal </t>
  </si>
  <si>
    <t xml:space="preserve">Número de procesos en contra de la entidad terminados (ejecutoriado) con fallo favorable / Total numero de procesos en contra de la entidad terminados </t>
  </si>
  <si>
    <t xml:space="preserve">Para el mes de Enero del 2019, se emiten 3 fallos los cuales son favorables a la entidad.
E1_JUDICIALES_ENERO: Fallo2018-859, 
E2_JUDICIALES_ENERO: Fallo 2017-230 
E3_JUDICIALES_MARZO: Fallo 2017-1122 </t>
  </si>
  <si>
    <t xml:space="preserve">Para el mes de Febrero del 2019, se emite 1 fallo favorable a la entidad.
E1_JUDICIALES_Febrero: Fallo 2015-436 </t>
  </si>
  <si>
    <t xml:space="preserve">Para el mes de Marzo del 2019, se emiten 3 fallos de los cuales 3 son favorables a la entidad.
E1_JUDICIALES_MARZO: Fallo 2011-195, 
E2_JUDICIALES_MARZO: Fallo 2015-038 
E3_JUDICIALES_MARZO: Fallo 2016-898 </t>
  </si>
  <si>
    <t>Para el mes de Abril del 2019, se emite 2 fallo de primera instancia, de los cuales uno (1) es favorable a la entidad.
E1_JUDICIALES ABRIL: Fallo 2013-727</t>
  </si>
  <si>
    <t>Para el mes de mayo se emite un fallo de primera instancia favorable para la entidad. 
E1_ Proceso acción popular Nº 2018-00171</t>
  </si>
  <si>
    <t>Para el mes de Junio se emite un fallo de primera instancia favorable para la entidad. 
E1_JUDICIALES_Proceso de Accion de cumplimiento 2019-00187</t>
  </si>
  <si>
    <t>Para el mes de Julio se emiten 3 fallos de primera instancia, 2 de ellos  favorable para la entidad. 
E1_JUDICIALE_PROCESO ACCION DE GRUPO 2018 01548
E2_JUDICIALES_PROCESO ACCION POPULAR 2017-1422</t>
  </si>
  <si>
    <t xml:space="preserve">Para el mes de Agosto se emite 1 fallos de primera instancia el cual fue desfavorable para la entidad. 
E1_JUDICIALES_PROCESO ACCIÓN DE POPULAR 2017 00987
</t>
  </si>
  <si>
    <t>Para el mes de septiembre se emiten 3 fallos de primera instancia los cuales son favorable para la entidad. 
E1_JUDICIALES_PROCESO 2017 00061
E2_JUDICIALES_PROCESO 2002 03257
E3_JUDICIALES_PROCESO 2011 00787</t>
  </si>
  <si>
    <t>Demandas producto de la causa general identificada para la formulación de la Politica de Daño Antijuridico</t>
  </si>
  <si>
    <t>Número de demandas producto de la causa general  identificada para la formulación de la Politica de Daño Antijuridico / Numero de demandas 2017 producto de la misma causa</t>
  </si>
  <si>
    <t xml:space="preserve">Para el mes de enero no se interponen demandas relacionadas con el 1% ni con el Quimbo. Este indicador es de reduccion, el objetivo es reducir el numero de demandas por la casua  identificada para la formulacion de la politica de daño antijuridico de 2019.  </t>
  </si>
  <si>
    <t>Para el mes de febrero se interponen 3 demandas relacionadas con el Quimbo. Este indicador es de reduccion, el objetivo es reducir el numero de demandas por la casua  identificada para la formulacion de la politica de daño antijuridico de 2019.</t>
  </si>
  <si>
    <t>Para el mes de Marzo se interpuso 1 demandas relacionadas con el Quimbo. Este indicador es de reduccion, el objetivo es reducir el numero de demandas por la casua  identificada para la formulacion de la politica de daño antijuridico de 2019.</t>
  </si>
  <si>
    <t>Para el mes de abril del 2019, no se interponen demandas relacionadas con el tema de daño antijuridico (1% y Quimbo)</t>
  </si>
  <si>
    <t xml:space="preserve">Para el mes de mayo se interponen dos demandas relacionadas con el tema de Quimbo.
E2_Pantallazo de ingreso de demandas quimbo </t>
  </si>
  <si>
    <t>Para el mes de Junio del 2019, no se interponen demandas relacionadas con el tema de daño antijuridico (1% y Quimbo), se mantienen las mismas 6 que se reportaron a 31 de mayo de 2019.</t>
  </si>
  <si>
    <t>Para el mes de Julio del 2019, se interpone una demanda relacionada con el tema de Quimbo. 
Para un total a la fecha de 07 demandas sobre el Quimbo.</t>
  </si>
  <si>
    <t>Para el mes de Agosto del 2019, Se interpone una demanda relacionada con el tema de Quimbo. 
Para un total a la fecha de 08 demandas sobre el Quimbo.</t>
  </si>
  <si>
    <t>Para el mes de Septiembre del 2019, no interponen  demandas relacionadas con el tema de Quimbo y 1 %. 
Continua un total a la fecha de 08 demandas sobre el Quimbo.</t>
  </si>
  <si>
    <t>Avance indicador de producto enero</t>
  </si>
  <si>
    <t>Avance indicador de gestión enero</t>
  </si>
  <si>
    <t>Avance indicador de producto febrero</t>
  </si>
  <si>
    <t>Avance indicador de gestión febrero</t>
  </si>
  <si>
    <t>Avance indicador de producto Marzo</t>
  </si>
  <si>
    <t>Avance indicador de gestión Marzo</t>
  </si>
  <si>
    <t>Avance indicador de producto Abril</t>
  </si>
  <si>
    <t>Avance indicador de gestión Abril</t>
  </si>
  <si>
    <t>Avance indicador de producto mayo</t>
  </si>
  <si>
    <t>Avance indicador de gestión mayo</t>
  </si>
  <si>
    <t>Avance indicador de producto junio</t>
  </si>
  <si>
    <t>Avance indicador de gestión junio</t>
  </si>
  <si>
    <t>Avance indicador de producto julio</t>
  </si>
  <si>
    <t>Avance indicador de gestión julio</t>
  </si>
  <si>
    <t>Avance indicador de producto AGOSTO</t>
  </si>
  <si>
    <t>Avance indicador de gestión AGOSTO</t>
  </si>
  <si>
    <t>Avance indicador de producto SEPTIEMBRE</t>
  </si>
  <si>
    <t>Avance indicador de gestión SEPTIEMBRE</t>
  </si>
  <si>
    <t>Participación Ciudadana en la Gestión Pública</t>
  </si>
  <si>
    <t>Ejecutar las estrategias de Participación y Rendición de Cuentas</t>
  </si>
  <si>
    <t>Gestión de Tecnologías, Comunicacciones y Seguridad de la Información</t>
  </si>
  <si>
    <t>Comunicaciones Estratégicas</t>
  </si>
  <si>
    <t>Comunicaciones</t>
  </si>
  <si>
    <t>Productos comunicacionales elaborados</t>
  </si>
  <si>
    <t># De publicaciónes de contenido registrados en medios internos y externos de la ANLA</t>
  </si>
  <si>
    <t>Canales de comunicación externo en servicio</t>
  </si>
  <si>
    <t xml:space="preserve"># De contenidos publicados realizadas en canales de comunicación externos </t>
  </si>
  <si>
    <t>LÍDER DE COMUNICACIONES</t>
  </si>
  <si>
    <t>El avance en el período reportado, si bien no llega a la totalidad de la meta, es siginificativo para el grupo que logro el desarrollo de las actividades, pese a no contar con un equipo de trabajo completo y haber tenido que atender desde la comunicación varias e importantes contingencias</t>
  </si>
  <si>
    <t>Debido a las contingencias presentadas en el mes de enero hubo la necesidad de suministrar y generar contenido para la divulgacion de la gestion oportuna en las crisis presentadas</t>
  </si>
  <si>
    <t>El avance en el período reportado, se ha consolidado y se han identificado oportunidades para la generación de contenidos en canales propios y redes sociales</t>
  </si>
  <si>
    <t xml:space="preserve">En el mes de febrero hubo la necesidad de suministrar y generar contenido para la divulgacion de la gestion oportuna y de las actividades realizadas por la entidad en el marco del licenciamiento ambiental a traves de redes sociales en gran numero. </t>
  </si>
  <si>
    <t>Para el mes de marzo se generaron un gran numero de contenidos para las redes sociales y se han ido incrementado los temas de noticia para la pagina web</t>
  </si>
  <si>
    <t>En el mes deMarzo se producieron contenidos en tiempo real mediante las redes sociales de las actividades realizadas por la entidad en el marco del licenciamiento ambiental teniendo como relevancia la reuniones de información adicional</t>
  </si>
  <si>
    <t>Para el mes de abril se se ha mantenido un promedio de contenidos en las redes sociales y se han ido incrementado los temas de noticia para la pagina web</t>
  </si>
  <si>
    <t>En el mes de abril se mantuvo la generación de contenidos en tiempo real mediante las redes sociales de las actividades realizadas por la entidad en el marco del licenciamiento ambiental y las gestiones y convenios de la ANLA</t>
  </si>
  <si>
    <t>En mayo se evidencia un aumento considerable de la generación de contenidos en las diversas redes de la entidad, especialmente en twitter</t>
  </si>
  <si>
    <t>Se evidencia espoecialmente el iaumento en la generaciónd e contenidos de redes sociales, que obedece en gran medida a la gestión  que mantuvo la entidad durante el mes  y a la contnuidad de la política de transparencia y acceso a la información</t>
  </si>
  <si>
    <t>Se presentó una variación en la dinámica del proceso debido al trabajo de consolidación de la Política de Comunicacionesy la gestión del grupo. Se prevé que este fortalecimiento permita reestablecer rápidamente la dinámica e incida  de manera positiva en la gestión de los diversos productos de comunicaciones y el logro de los objetivos estratégicos establecidos.</t>
  </si>
  <si>
    <t>Durante este mes la entidad llevó a cabo el desarrollo de estrategias de gran envergadura que requieron de acciones de comunicación más focalizadas por los temas manejados, como el caso del Lanzamiento de  la Estrategia Nacional para Dinamizar las Compensaciones  Ambientales y la Inversión Forzosa de no menos del 1%.</t>
  </si>
  <si>
    <t>Durante el mes de julio se generó una importante demanda de productos internos y externos en la entidad, temas como la preparación para la Rendición de Cuentas Sectorial y el primer año de Gobierno Nacional nos llevaron a aumentar la producción de piezas externas, a nivel interno se realizaron nuevas fases de las campañas encaminadas a la promoción del Código de Integridad y al fortalecimiebnto de indicadores de gestión, así como al manejo de los sistemas.</t>
  </si>
  <si>
    <t>De manera particular, se generó un aumento en los contenidos para redes sociales, esto de acuerdo con las actividades previstas para el mes y las campañas solicitadas por las áreas.</t>
  </si>
  <si>
    <t>Una vez realizados los eventos que significaron una alta demanda de productos el mes pasado, se observa que durante agosto, la producción  nuevamente se estabilizó. Se destacan temas como os relaiconados con audiencias públicas; cambios menores, cambio climático e inversión forzosa de no menos el 1%. En los relaicionado con los temas internos se mantuvieron las campañas que son constantes relacionadas con ética, integrridad y transparencia, así como con los sistemas de gestión de Seguridad y Salud en el Trabajo, y  Ambiental.</t>
  </si>
  <si>
    <t>Según lo previsto para este mes, el comportamiento de los temas de interés de la ANLA se mantuvo estable.Con lo anterior, la gestión de las redes sociales de la entidad  se mantuvo sin picos  en la producción de contenidos.</t>
  </si>
  <si>
    <t xml:space="preserve">Septiembre se  mantuvo sin picos en cuanto a la  realización  de  productos de comunicación. Durante este mes se desarrollaron productos relacionados con las diferentes áreas de  la organziación, incluyendo los relacionados  con la información misional: en lengua wayú, y de otro lado , esta información desde la perspectiva de la planeación  que toda la organziación inici este mes, ya en el marco de las nuevas misión, visión, líneas estratégicas.
A nivel externo tuvo relevencia la información relacioonada con las audiencias públicas ambientales. Por su parte, en el nivel interno se destacan las campañas relaiconadas con la salud y seguridad  de los colaboradres, a´si como las de desarrollo de estos a través del conocimientio de temas como Derechos de Petición, o de temas ambientales, a trav´pes de la campaña "Con una acción pequeña podemos  ayudar al planeta."
 </t>
  </si>
  <si>
    <t>Al igual que en agosto, el comportamiento de los temas de interés de la ANLA se mantuvo estable:  gestión de las redes sociales de la entidad  se mantuvo sin picos  en la producción de contenidos.</t>
  </si>
  <si>
    <t>Espacio principal de rendición de cuentas realizada</t>
  </si>
  <si>
    <t># De rendiciones de cuentas realizadas</t>
  </si>
  <si>
    <t>La actividad no está programada para este mes.</t>
  </si>
  <si>
    <t xml:space="preserve">La Rendición de Cuentas Sectorial se registrará para el siguiente mes, sin embargo, en julio se trabajó en su preparación y divulgación, por tanto hay un avance preliminar que corresponde a su desarrollo. </t>
  </si>
  <si>
    <t xml:space="preserve">La Rendición de Cuentas Sectorial se realizó según lo planeado.  </t>
  </si>
  <si>
    <t>La Rendición de Cuentas Sectorial se realizó según lo planeado.  Esta se llevó a acabo en agosto, pero se deja el indicador como constancia.</t>
  </si>
  <si>
    <t>Canales de comunicación en servicio</t>
  </si>
  <si>
    <t># canales gestionados en servicio</t>
  </si>
  <si>
    <t>Para este período se desarrollo contenido para 7 de los canales en servicio principalmente en el correo el electrónico masivo, debido al alto volumen de información  dirigida a los colaboradores y generada por la entidad</t>
  </si>
  <si>
    <t>Se mantuvo la gestión a los diferentes canales con la publicación de contenidos.</t>
  </si>
  <si>
    <t>En septiembre de realizó gestión en  los 10 canales de la entidad</t>
  </si>
  <si>
    <t>Posicionamiento de la ANLA a nivel externo</t>
  </si>
  <si>
    <t>Noticias con valoración positiva de la ANLA / Total de noticias en las que ANLA aparece</t>
  </si>
  <si>
    <t xml:space="preserve">Espacios de consulta con grupos de interés en el marco de rendición de cuentas de la entidad </t>
  </si>
  <si>
    <t>#De espaciós de consulta con grupos de interés realizados</t>
  </si>
  <si>
    <t>A pesar de haber afrontado varias contingencias en el período reportado, la mayoría con un impacto negativo para la entidad, gracias al trabajo delEquipo de Comunicaciones, se logró contrarestar  dicho impacto y lograr noticias favorables para la entidad. Un ejemplo de ello, es la cifra de publicaciones positivas a través del monitoreo: 26 positivas frente a 4 negativas y 46 neutrales, realcionadas con la gestión de la entidad.</t>
  </si>
  <si>
    <t>Se habilitó espacio de participación con ONGs ambientales sobre compensaciones e inversión del 1%</t>
  </si>
  <si>
    <t>Las contingencias en el período reportado, se manturieron pero tambien la mayoría con un impacto neutral para la entidad, se logró neutralizar noticias negativas. Un ejemplo de ello, es la cifra de publicaciones positivas a través del monitoreo: 20 positivas frente a 19 negativas y 66 neutrales, relacionadas con la gestión de la entidad.</t>
  </si>
  <si>
    <t>se realizaron encuestas de percepción en espacion de consulta que se realizaron con funcionarios de la Fiscalia, estudiantes Universidad Antonio Nariño y empleados de Isagen, Andi, EPM e ISA</t>
  </si>
  <si>
    <t>Hubo una buena acojida de temas relacionados con la licencia de central fotovoltaica. Se manturieron la mayoría de noticias con un impacto neutral para la entidad, logrando neutralizar noticias negativas. Un ejemplo de ello, es la cifra de publicaciones positivas a través del monitoreo: 33 positivas frente a  14 negativas y 66 neutrales, relacionadas con la gestión de la entidad.</t>
  </si>
  <si>
    <t>en este mes no se programaron espacios de consulta con grupos de interés</t>
  </si>
  <si>
    <t>Se manturieron la mayoría de noticias con un impacto neutral para la entidad, logrando neutralizar noticias negativas. Un ejemplo de ello, es la cifra de publicaciones positivas a través del monitoreo: 24 positivas frente a  4 negativas y 47 neutrales, relacionadas con la gestión de la entidad.</t>
  </si>
  <si>
    <t>Continua el la dinámica del mes anterior, en donde las noticas neutras mantienen el mayor número. En cuento a los pocentajes para este mes, el regsitro es de 61% enm el caso de las noticias con valoración neutra; de 28% en las de valoración positiva y de 11% en el caso de la infomación con valoración  negativa</t>
  </si>
  <si>
    <t>Este mes la dinámica de la ANLA  estuvo centrada en temas que son sensibles para el país, y que además,  incluyeron aspectos  como la cooperación internacional, el lanzamiento de estrategias de la entidad y resultados del seguimiento a proyectos, dicha  gestión llamó la atención de los medios de comunicación y fue percibida por estos como positiva y una muestra de conocimiento técnico, diligencia y atención a los proyectos que son de competencia de la entidad y al tiempo,  son de interés nacional.</t>
  </si>
  <si>
    <t>En este mes no se programaron espacios de consulta con grupos de interés.</t>
  </si>
  <si>
    <t>En este período se aprecia un crecimiento importante en la valoración positiva de las noticias de la ANLA por parte de los diferentes actores que se relacionan con la entidad, valoración registrada a través del monitoreo de medios y el informe de análisis para la Dirección General.</t>
  </si>
  <si>
    <t>El 19 de julio, en el marco de la tercera jornada de Geodata Base, ÁGIL y SDE, dirigida a la ANDI, se realizó la consulta a grupos de interés sobre la percepción frente a la entidad y el 10 de julio, durante la segunda jornada del lanzamiento de la estrategia del 1 por ciento, se realizó el mismo ejercicio entre los actores invitados.</t>
  </si>
  <si>
    <t xml:space="preserve">La valoración positiva en cuanto a las noticias sobre la ANLA se evidencia también en este mes. Es importante anotar que el análisis que se haga de estás dependerá no sólo de la cantidad de noticias publicadas por los medios, sino a los temas con los cuales se relaciona a la ANLA en la noticia. Adicionalmente, la tendencia del tránsito de información negativa hacia el terrero neutral también se ve reflejada en este mes.  
 </t>
  </si>
  <si>
    <t>Se realizó la consulta a grupos de interés sobre la percepción frente a la entidad  en el marco de:
la Jornada Gestión del Conocimiento en materia de licencias, trámite y permisos ambientales. Desarrollado con la Asociación de Energía Renovable- SER-Colombia, realizado el  27 de agosto, y en el Taller de valoración económica, 1%, compensación y Geodatabase, realizado el 29 de agosto</t>
  </si>
  <si>
    <t xml:space="preserve">La valoración positivade las noticias sobre la ANLA se evidencia también en este mes, en donde se supera el 50%. . Se observa que dentro de los temas más tratados se encuentran Hidroituango, yacimientos no convencionales (fracking) y Sotonorte. Todos ellos, temas que continuarán durante lo que resta del año y que son de interés nacional.
 </t>
  </si>
  <si>
    <t xml:space="preserve">En relación con las consultas a grupos de interés, en Septiembre la consulta se llevó a cabo en el marco de los siguientes eventos: 
-Foro: Posición de Colombia ante el Acuerdo de París (5 de septiembre)
-Jornada Gestión del Conocimiento con la Cámara de industria del Sector Automotriz de la ANDI (19 de septiembre)
-Taller sobre beneficios tributarios con la Asociación de Empresas de Energía Eléctrica Renovable No convencionales-SER Colombia ( 26 de septiembre)
-Jornada de Gestión del Conocimiento con la Asociación Colombiana de Minerales- ACM. ( de septiembre)
- Transmisión por Facebook del foro "Colombia frente al Acuerdo de París: cambio climático y licenciamiento ambiental"
</t>
  </si>
  <si>
    <t>Notas periodisticas gestionadas y elaboradas por la ANLA</t>
  </si>
  <si>
    <t># De notas e información gestionada en medios de comunicación</t>
  </si>
  <si>
    <t>Se elaboraron y gestionaron noticias en medios de comunicación, impulsado por la demanda de información que se generó debido a las contingencias presentadas en hidroituango y carrasco.</t>
  </si>
  <si>
    <t>Se elaboraron y gestionaron noticias en medios de comunicación, se dieron entravistas en radio impulsado por la demanda de información que se generó debido a las sanciones en hidroituango.</t>
  </si>
  <si>
    <t>Se elaborarón y gestionarón noticias en medios de comunicación, debido a la demanda de los periodistas y se promovio en varios medios de comunicación la noticia de la licencia a la central fotovoltaica</t>
  </si>
  <si>
    <t>los periodistas han aumentado su interes por los temas de  la ANLA y se han generado contenidos de interes mediatico para el aporte al buen posicionamiento .</t>
  </si>
  <si>
    <t>Este mes se evidencia interés por parte de los emdios de comunicación en las noticias relacionadas con los benmeficios tributarios otorgados por la ANLA para el transporte masivo que beneficie la claidad del aire; el otorgamiento de recursos de regalías ea la entidad y la protección de fuentes hídricas</t>
  </si>
  <si>
    <t>Este mes la dinámica de la ANLA se dio en torno a temas   como la cooperación internacional, el lanzamiento de estrategias de la entidad y resultados del seguimiento a proyectos como la vía al llano, este último de gran interés de los medios debido las contingencias presentadas por los derrumbes que afectaron esta vía y a sus repercusiones a nivel nacional.</t>
  </si>
  <si>
    <t>La gestión de información a medios en este mes estuvo marcada por la noticia sobre los "pilotos de fracking", frente a la cual tuvimos que dar alcance a varios medios, otros temas como el seguimiento a Hidroituango, glifosato y la vía al Llano, también fueron consultados.</t>
  </si>
  <si>
    <t xml:space="preserve">Los temas críticos manejados por la ANLA y que son materia de información en medios se mantuvieron estables, es decir, sin situaciones críticas que generaran la necesidad de realizar una gestión adicional en medios. Esto permtió focalizar la gestión en los temas  interés para la entidad.
</t>
  </si>
  <si>
    <t xml:space="preserve">En cuanto a la gestión con medios, los temas  trabajados con estops estuvieron orientados a temás críticos como los horarios en el tráfico aéreo de El Dorado, temas de infraestrctura y temas minería como  Sotonorte.
</t>
  </si>
  <si>
    <t>Efectividad de la comunicación interna</t>
  </si>
  <si>
    <t xml:space="preserve">Total de personas encuestadas que declaran satisfacción con la gestión de comunicación interna / Total de encuestados </t>
  </si>
  <si>
    <t>Encuestas de satisfacción*</t>
  </si>
  <si>
    <t># De encuestas realizadas</t>
  </si>
  <si>
    <t xml:space="preserve">Se realizó el envío del sondeo  de percepción sobre la Comunicación Interna entre los colabortadores de la entidad, el cual estuvo disponible para los colaborares hasta finales de agosto. </t>
  </si>
  <si>
    <t>En el momento se adelanta el informe correspondiente a este sondeo. Ya se llevó a cabo la tabulación de la información y el levantamiento de los gráficos, así como el documento de verbatims.</t>
  </si>
  <si>
    <t>Requerimientos entidades de control</t>
  </si>
  <si>
    <t>PROCESO DE EVALUACIÓN</t>
  </si>
  <si>
    <t>Control a la Gestión</t>
  </si>
  <si>
    <t>N.A</t>
  </si>
  <si>
    <t xml:space="preserve">Control Interno </t>
  </si>
  <si>
    <t>Módulos de Auditoría y Plan de Mejoramiento de SIGPRO en implementación</t>
  </si>
  <si>
    <t>Actividades del plan de trabajo ejecutadas / Actividades del plan de trabajo programadas</t>
  </si>
  <si>
    <t xml:space="preserve">Documento con requerimientos técnicos necesarios para implementar en SIGPRO los módulos de Auditoría y Plan de Mejoramiento </t>
  </si>
  <si>
    <t># De documentos aprobados</t>
  </si>
  <si>
    <t>JEFE OFICINA CONTROL INTERNO</t>
  </si>
  <si>
    <t>Se define plan de trabajo. El avance del 20% del plan de trabajo consiste en la mesa de trabajo realizada con tecnología (10) y la revisión de los casos de uso proporcionados  por esa área. (10)</t>
  </si>
  <si>
    <t>La actividad relacionada con la elaboración del documento da inicio cuando se culmine la validación de los casos de uso del SIGPRO</t>
  </si>
  <si>
    <t>Se define plan de trabajo. El avance del 20% del plan de trabajo consiste en la mesa de trabajo realizada con tecnología (10) y la revisión de los casos de uso proporcionados  por esa área. (10)
Dado que los casos de uso no fueron recibidos en su totalidad, se dió inicio a la verificación de la funcionalidad del SIGPRO por parte de Control Interno. Se han reportado 11 incidencias. Estas verificaciones equivalen a un avance del 10% adicional.</t>
  </si>
  <si>
    <t>La actividad relacionada con la elaboración del documento da inicio cuando se culmine la validación de los casos de uso del SIGPRO.</t>
  </si>
  <si>
    <t>Durante el mes de Junio no se reportó avance debido a las dificultades que se han presentado en las pruebas de SIGPRO. Se envío memorando a SAF el 21 de junio de 2019 radicado 2019085908-3-000, donde se exponen las dificultades presentadas. Dicho memorando fue copiado a la Oficina Asesora de Planeación.</t>
  </si>
  <si>
    <t>Durante el mes de agosto se han revisado las incidencias que están vigentes. No obstante, dado que la firma Macroproyectos no ha respondido varias incidencias, ni ha sido posible realizar mesa de trabajo con ellos, no se presenta avance en el indicador.</t>
  </si>
  <si>
    <t>En Comité Directivo se definió eliminar el indicador de producto y mantener el indicador de gestión y se elaborará antes de finalizar la vigencia un documento explicando la situación ocurrida con el SIGPRO y el indicador retirado.</t>
  </si>
  <si>
    <t>7. Séptima Dimensión Control Interno</t>
  </si>
  <si>
    <t>Control Interno</t>
  </si>
  <si>
    <t>Implementar las actividades de monitoreo y supervisión continua en la entidad</t>
  </si>
  <si>
    <t>Mecanismos de promoción cultura del autocontrol implementados</t>
  </si>
  <si>
    <t># de actividades realizadas</t>
  </si>
  <si>
    <t>Efectividad de las acciones del plan de mejoramiento interno</t>
  </si>
  <si>
    <t>No. Total de acciones con concepto positivo /No. Total de acciones evaluadas del plan de mejoramiento interno</t>
  </si>
  <si>
    <t>No aplica</t>
  </si>
  <si>
    <t xml:space="preserve">En el trimestre I-2019 se evalúo un total de 35 no conformidades de las cuales 19, es decir el 54%, fueron cerradas. </t>
  </si>
  <si>
    <r>
      <t xml:space="preserve">En el trimestre I-2019 se evalúo un total de 35 no conformidades de las cuales 19, es decir el 54%, fueron cerradas. 
En el mes de </t>
    </r>
    <r>
      <rPr>
        <b/>
        <sz val="9"/>
        <color theme="1"/>
        <rFont val="Calibri"/>
        <family val="2"/>
        <scheme val="minor"/>
      </rPr>
      <t>mayo</t>
    </r>
    <r>
      <rPr>
        <sz val="9"/>
        <color theme="1"/>
        <rFont val="Calibri"/>
        <family val="2"/>
        <scheme val="minor"/>
      </rPr>
      <t xml:space="preserve"> se reportaron 17 no conformidades adicionales de las cuales se cerraron 13; esto equivale 76,4% de efectividad.
El 60,4 corresponde al porcentaje acumulado de las acciones evaluadas y cerradas en la vigencia (32/52).</t>
    </r>
  </si>
  <si>
    <t>Se han fortalecido los mecanismos de autocontrol relacionados con la efectividad de las acciones y la atención oportuna de los ECO. Se reporta un avance cuantitativo del 0,5 el cual corresponde a la proporción del avance de las dos metas de gestión definidas.</t>
  </si>
  <si>
    <r>
      <t xml:space="preserve">En el trimestre I-2019 se evalúo un total de 35 no conformidades de las cuales 19, es decir el 54%, fueron cerradas. 
En el mes de </t>
    </r>
    <r>
      <rPr>
        <b/>
        <sz val="9"/>
        <color theme="1"/>
        <rFont val="Calibri"/>
        <family val="2"/>
        <scheme val="minor"/>
      </rPr>
      <t>mayo</t>
    </r>
    <r>
      <rPr>
        <sz val="9"/>
        <color theme="1"/>
        <rFont val="Calibri"/>
        <family val="2"/>
        <scheme val="minor"/>
      </rPr>
      <t xml:space="preserve"> se reportaron 17 no conformidades adicionales de las cuales se cerraron 13; esto equivale 76,4% de efectividad. El 60,4 corresponde al porcentaje acumulado de las acciones evaluadas y cerradas en la vigencia (32/52).
Durante el mes de</t>
    </r>
    <r>
      <rPr>
        <b/>
        <sz val="9"/>
        <color theme="1"/>
        <rFont val="Calibri"/>
        <family val="2"/>
        <scheme val="minor"/>
      </rPr>
      <t xml:space="preserve"> junio</t>
    </r>
    <r>
      <rPr>
        <sz val="9"/>
        <color theme="1"/>
        <rFont val="Calibri"/>
        <family val="2"/>
        <scheme val="minor"/>
      </rPr>
      <t xml:space="preserve"> se realizó la evaluación de 3 no conformidades, de las cuales se cerraron 2; esto equivale al 66,6% de efectividad. El 62% corresponde al porcentaje acumulado de las acciones evaluadas y cerradas en la vigencia (34/55).</t>
    </r>
  </si>
  <si>
    <r>
      <t xml:space="preserve">En el trimestre I-2019 se evalúo un total de 35 no conformidades de las cuales 19, es decir el 54%, fueron cerradas. 
En el mes de </t>
    </r>
    <r>
      <rPr>
        <b/>
        <sz val="9"/>
        <color theme="1"/>
        <rFont val="Calibri"/>
        <family val="2"/>
        <scheme val="minor"/>
      </rPr>
      <t>mayo</t>
    </r>
    <r>
      <rPr>
        <sz val="9"/>
        <color theme="1"/>
        <rFont val="Calibri"/>
        <family val="2"/>
        <scheme val="minor"/>
      </rPr>
      <t xml:space="preserve"> se reportaron 17 no conformidades adicionales de las cuales se cerraron 13; esto equivale 76,4% de efectividad. El 60,4 corresponde al porcentaje acumulado de las acciones evaluadas y cerradas en la vigencia (32/52).
Durante el mes de</t>
    </r>
    <r>
      <rPr>
        <b/>
        <sz val="9"/>
        <color theme="1"/>
        <rFont val="Calibri"/>
        <family val="2"/>
        <scheme val="minor"/>
      </rPr>
      <t xml:space="preserve"> junio</t>
    </r>
    <r>
      <rPr>
        <sz val="9"/>
        <color theme="1"/>
        <rFont val="Calibri"/>
        <family val="2"/>
        <scheme val="minor"/>
      </rPr>
      <t xml:space="preserve"> se realizó la evaluación de 3 no conformidades, de las cuales se cerraron 2; esto equivale al 66,6% de efectividad. El 62% corresponde al porcentaje acumulado de las acciones evaluadas y cerradas en la vigencia (34/55).
Durante el mes de </t>
    </r>
    <r>
      <rPr>
        <b/>
        <sz val="9"/>
        <color theme="1"/>
        <rFont val="Calibri"/>
        <family val="2"/>
        <scheme val="minor"/>
      </rPr>
      <t>julio</t>
    </r>
    <r>
      <rPr>
        <sz val="9"/>
        <color theme="1"/>
        <rFont val="Calibri"/>
        <family val="2"/>
        <scheme val="minor"/>
      </rPr>
      <t xml:space="preserve"> se realizó la evaluación de 5 no conformidades, de las cuales se cerraron 1; esto equivale al 20% de efectividad. El 58% corresponde al porcentaje acumulado de las acciones evaluadas y cerradas en la vigencia (35/60).</t>
    </r>
  </si>
  <si>
    <t>61.5</t>
  </si>
  <si>
    <r>
      <t xml:space="preserve">En el trimestre I-2019 se evalúo un total de 35 no conformidades de las cuales 19, es decir el 54%, fueron cerradas. 
En el mes de </t>
    </r>
    <r>
      <rPr>
        <b/>
        <sz val="9"/>
        <color theme="1"/>
        <rFont val="Calibri"/>
        <family val="2"/>
        <scheme val="minor"/>
      </rPr>
      <t>mayo</t>
    </r>
    <r>
      <rPr>
        <sz val="9"/>
        <color theme="1"/>
        <rFont val="Calibri"/>
        <family val="2"/>
        <scheme val="minor"/>
      </rPr>
      <t xml:space="preserve"> se reportaron 17 no conformidades adicionales de las cuales se cerraron 13; esto equivale 76,4% de efectividad. El 60,4 corresponde al porcentaje acumulado de las acciones evaluadas y cerradas en la vigencia (32/52).
Durante el mes de</t>
    </r>
    <r>
      <rPr>
        <b/>
        <sz val="9"/>
        <color theme="1"/>
        <rFont val="Calibri"/>
        <family val="2"/>
        <scheme val="minor"/>
      </rPr>
      <t xml:space="preserve"> junio</t>
    </r>
    <r>
      <rPr>
        <sz val="9"/>
        <color theme="1"/>
        <rFont val="Calibri"/>
        <family val="2"/>
        <scheme val="minor"/>
      </rPr>
      <t xml:space="preserve"> se realizó la evaluación de 3 no conformidades, de las cuales se cerraron 2; esto equivale al 66,6% de efectividad. El 62% corresponde al porcentaje acumulado de las acciones evaluadas y cerradas en la vigencia (34/55).
Durante el mes de </t>
    </r>
    <r>
      <rPr>
        <b/>
        <sz val="9"/>
        <color theme="1"/>
        <rFont val="Calibri"/>
        <family val="2"/>
        <scheme val="minor"/>
      </rPr>
      <t>julio</t>
    </r>
    <r>
      <rPr>
        <sz val="9"/>
        <color theme="1"/>
        <rFont val="Calibri"/>
        <family val="2"/>
        <scheme val="minor"/>
      </rPr>
      <t xml:space="preserve"> se realizó la evaluación de 5 no conformidades, de las cuales se cerraron 1; esto equivale al 20% de efectividad. El 58% corresponde al porcentaje acumulado de las acciones evaluadas y cerradas en la vigencia (35/60).
Durante el mes de </t>
    </r>
    <r>
      <rPr>
        <b/>
        <sz val="9"/>
        <color theme="1"/>
        <rFont val="Calibri"/>
        <family val="2"/>
        <scheme val="minor"/>
      </rPr>
      <t xml:space="preserve">agosto </t>
    </r>
    <r>
      <rPr>
        <sz val="9"/>
        <color theme="1"/>
        <rFont val="Calibri"/>
        <family val="2"/>
        <scheme val="minor"/>
      </rPr>
      <t>se realizó la evaluación de 5 no conformidades, de las cuales se cerraron 5; esto equivale al 100% de efectividad. El 61,5% corresponde al porcentaje acumulado de las acciones evaluadas y cerradas en la vigencia (40/65).</t>
    </r>
  </si>
  <si>
    <r>
      <t xml:space="preserve">En el trimestre I-2019 se evalúo un total de 35 no conformidades de las cuales 19, es decir el 54%, fueron cerradas. 
En el mes de </t>
    </r>
    <r>
      <rPr>
        <b/>
        <sz val="9"/>
        <color theme="1"/>
        <rFont val="Calibri"/>
        <family val="2"/>
        <scheme val="minor"/>
      </rPr>
      <t>mayo</t>
    </r>
    <r>
      <rPr>
        <sz val="9"/>
        <color theme="1"/>
        <rFont val="Calibri"/>
        <family val="2"/>
        <scheme val="minor"/>
      </rPr>
      <t xml:space="preserve"> se reportaron 17 no conformidades adicionales de las cuales se cerraron 13; esto equivale 76,4% de efectividad. El 60,4 corresponde al porcentaje acumulado de las acciones evaluadas y cerradas en la vigencia (32/52).
Durante el mes de</t>
    </r>
    <r>
      <rPr>
        <b/>
        <sz val="9"/>
        <color theme="1"/>
        <rFont val="Calibri"/>
        <family val="2"/>
        <scheme val="minor"/>
      </rPr>
      <t xml:space="preserve"> junio</t>
    </r>
    <r>
      <rPr>
        <sz val="9"/>
        <color theme="1"/>
        <rFont val="Calibri"/>
        <family val="2"/>
        <scheme val="minor"/>
      </rPr>
      <t xml:space="preserve"> se realizó la evaluación de 3 no conformidades, de las cuales se cerraron 2; esto equivale al 66,6% de efectividad. El 62% corresponde al porcentaje acumulado de las acciones evaluadas y cerradas en la vigencia (34/55).
Durante el mes de </t>
    </r>
    <r>
      <rPr>
        <b/>
        <sz val="9"/>
        <color theme="1"/>
        <rFont val="Calibri"/>
        <family val="2"/>
        <scheme val="minor"/>
      </rPr>
      <t>julio</t>
    </r>
    <r>
      <rPr>
        <sz val="9"/>
        <color theme="1"/>
        <rFont val="Calibri"/>
        <family val="2"/>
        <scheme val="minor"/>
      </rPr>
      <t xml:space="preserve"> se realizó la evaluación de 5 no conformidades, de las cuales se cerraron 1; esto equivale al 20% de efectividad. El 58% corresponde al porcentaje acumulado de las acciones evaluadas y cerradas en la vigencia (35/60).
Durante el mes de </t>
    </r>
    <r>
      <rPr>
        <b/>
        <sz val="9"/>
        <color theme="1"/>
        <rFont val="Calibri"/>
        <family val="2"/>
        <scheme val="minor"/>
      </rPr>
      <t xml:space="preserve">agosto </t>
    </r>
    <r>
      <rPr>
        <sz val="9"/>
        <color theme="1"/>
        <rFont val="Calibri"/>
        <family val="2"/>
        <scheme val="minor"/>
      </rPr>
      <t xml:space="preserve">se realizó la evaluación de 5 no conformidades, de las cuales se cerraron 5; esto equivale al 100% de efectividad. El 61,5% corresponde al porcentaje acumulado de las acciones evaluadas y cerradas en la vigencia (40/65).
Durante el mes de </t>
    </r>
    <r>
      <rPr>
        <b/>
        <sz val="9"/>
        <color theme="1"/>
        <rFont val="Calibri"/>
        <family val="2"/>
        <scheme val="minor"/>
      </rPr>
      <t>septiembre</t>
    </r>
    <r>
      <rPr>
        <sz val="9"/>
        <color theme="1"/>
        <rFont val="Calibri"/>
        <family val="2"/>
        <scheme val="minor"/>
      </rPr>
      <t xml:space="preserve"> se realizó la evaluación de 5 no conformidades, de las cuales se cerraron 3; esto equivale al 60% de efectividad. El 61,4% corresponde al porcentaje acumulado de las acciones evaluadas y cerradas en la vigencia (43/70).</t>
    </r>
  </si>
  <si>
    <t>Aspectos mínimos para la implementación</t>
  </si>
  <si>
    <t>Jornada de sensibilización con los profesionales que atienden ECO</t>
  </si>
  <si>
    <t># de jornadas de sensibilización realizadas</t>
  </si>
  <si>
    <t xml:space="preserve">Se publicó ronda especial el día 22 de marzo de 2019 entre los cuales se incluyó la importancia del autocontrol en el tema de oportunidad en la atención de los ECO </t>
  </si>
  <si>
    <r>
      <t xml:space="preserve">Se publicó ronda especial el día 22 de marzo de 2019 entre los cuales se incluyó la importancia del autocontrol en el tema de oportunidad en la atención de los ECO.
El día 12 de junio de 2019 se publicó Ronda No. 130 donde se incluyó en la sesión </t>
    </r>
    <r>
      <rPr>
        <i/>
        <sz val="9"/>
        <color theme="1"/>
        <rFont val="Calibri"/>
        <family val="2"/>
        <scheme val="minor"/>
      </rPr>
      <t>La Brujula</t>
    </r>
    <r>
      <rPr>
        <sz val="9"/>
        <color theme="1"/>
        <rFont val="Calibri"/>
        <family val="2"/>
        <scheme val="minor"/>
      </rPr>
      <t xml:space="preserve"> la nota ECO Positivo.</t>
    </r>
  </si>
  <si>
    <r>
      <t xml:space="preserve">Se publicó ronda especial el día 22 de marzo de 2019 entre los cuales se incluyó la importancia del autocontrol en el tema de oportunidad en la atención de los ECO.
El día 12 de junio de 2019 se publicó Ronda No. 130 donde se incluyó en la sesión </t>
    </r>
    <r>
      <rPr>
        <i/>
        <sz val="9"/>
        <color theme="1"/>
        <rFont val="Calibri"/>
        <family val="2"/>
        <scheme val="minor"/>
      </rPr>
      <t>La Brujula</t>
    </r>
    <r>
      <rPr>
        <sz val="9"/>
        <color theme="1"/>
        <rFont val="Calibri"/>
        <family val="2"/>
        <scheme val="minor"/>
      </rPr>
      <t xml:space="preserve"> la nota ECO Positivo.
Se realizo jornada presencial el dia 30 de julio de 2019 con los responsables de los ECO en RASP.</t>
    </r>
  </si>
  <si>
    <r>
      <t xml:space="preserve">Se publicó ronda especial el día 22 de marzo de 2019 entre los cuales se incluyó la importancia del autocontrol en el tema de oportunidad en la atención de los ECO.
El día 12 de junio de 2019 se publicó Ronda No. 130 donde se incluyó en la sesión </t>
    </r>
    <r>
      <rPr>
        <i/>
        <sz val="9"/>
        <color theme="1"/>
        <rFont val="Calibri"/>
        <family val="2"/>
        <scheme val="minor"/>
      </rPr>
      <t>La Brujula</t>
    </r>
    <r>
      <rPr>
        <sz val="9"/>
        <color theme="1"/>
        <rFont val="Calibri"/>
        <family val="2"/>
        <scheme val="minor"/>
      </rPr>
      <t xml:space="preserve"> la nota ECO Positivo.
Se realizaron dos (2) jornadas de capacitación para sensibilización ECO los dias 30 de julio y 6 de agosto.</t>
    </r>
  </si>
  <si>
    <r>
      <rPr>
        <b/>
        <sz val="9"/>
        <rFont val="Calibri"/>
        <family val="2"/>
        <scheme val="minor"/>
      </rPr>
      <t xml:space="preserve">Recibidos en julio  atendido en septiembredentro fuera de  termino. 1 (2019109859-1-000)
</t>
    </r>
    <r>
      <rPr>
        <sz val="9"/>
        <rFont val="Calibri"/>
        <family val="2"/>
        <scheme val="minor"/>
      </rPr>
      <t>Recibidos en agosto que se atendieron en septiembre dentro del termino.</t>
    </r>
    <r>
      <rPr>
        <b/>
        <sz val="9"/>
        <rFont val="Calibri"/>
        <family val="2"/>
        <scheme val="minor"/>
      </rPr>
      <t xml:space="preserve"> 223
Recibidos en agosto que se atendieron en septiembre fuera del termino. 3 (2019122949-1-000  2019127316-1-000 2019127368-1-000)
</t>
    </r>
    <r>
      <rPr>
        <sz val="9"/>
        <rFont val="Calibri"/>
        <family val="2"/>
        <scheme val="minor"/>
      </rPr>
      <t xml:space="preserve">Recibidos en septiembe que se atendieron en septiembre dentro del termino. </t>
    </r>
    <r>
      <rPr>
        <b/>
        <sz val="9"/>
        <rFont val="Calibri"/>
        <family val="2"/>
        <scheme val="minor"/>
      </rPr>
      <t xml:space="preserve">264
</t>
    </r>
    <r>
      <rPr>
        <sz val="9"/>
        <rFont val="Calibri"/>
        <family val="2"/>
        <scheme val="minor"/>
      </rPr>
      <t>Recibido en julio para elaborar auto de desistimiento. 2
Recibido en agosto que se encuentran en tramite dentro el termino.</t>
    </r>
    <r>
      <rPr>
        <b/>
        <sz val="9"/>
        <rFont val="Calibri"/>
        <family val="2"/>
        <scheme val="minor"/>
      </rPr>
      <t xml:space="preserve"> 15
</t>
    </r>
    <r>
      <rPr>
        <sz val="9"/>
        <rFont val="Calibri"/>
        <family val="2"/>
        <scheme val="minor"/>
      </rPr>
      <t>Recibido en septiembre que se encuentran en tramite dentro el termino</t>
    </r>
    <r>
      <rPr>
        <b/>
        <sz val="9"/>
        <rFont val="Calibri"/>
        <family val="2"/>
        <scheme val="minor"/>
      </rPr>
      <t>. 329</t>
    </r>
    <r>
      <rPr>
        <sz val="9"/>
        <rFont val="Calibri"/>
        <family val="2"/>
        <scheme val="minor"/>
      </rPr>
      <t xml:space="preserve">
</t>
    </r>
    <r>
      <rPr>
        <b/>
        <sz val="9"/>
        <rFont val="Calibri"/>
        <family val="2"/>
        <scheme val="minor"/>
      </rPr>
      <t>Nota: se aclara que en el informe del mes de agosto se reportaron 25 radicados como pendientes para atender  en septiembre no obstante  realizada revision de fechas de respuesta se identifico que estas se atendieron dentro del mes de agosto.</t>
    </r>
  </si>
  <si>
    <r>
      <t xml:space="preserve">Durante el mes de agosto se han revisado las incidencias que están vigentes. No obstante, dado que la firma Macroproyectos no ha respondido varias incidencias, ni ha sido posible realizar mesa de trabajo con ellos, no se presenta avance en el indicador.
</t>
    </r>
    <r>
      <rPr>
        <b/>
        <sz val="10"/>
        <rFont val="Calibri"/>
        <family val="2"/>
        <scheme val="minor"/>
      </rPr>
      <t>El indicador de producto fue eliminado en Comité Directivo.</t>
    </r>
  </si>
  <si>
    <t>OCTUBRE</t>
  </si>
  <si>
    <t>NOVIEMBRE</t>
  </si>
  <si>
    <t>DICIEMBRE</t>
  </si>
  <si>
    <t>Indicadores producto</t>
  </si>
  <si>
    <t>Indicadores de Gestión</t>
  </si>
  <si>
    <t>OAJ</t>
  </si>
  <si>
    <t>OCI</t>
  </si>
  <si>
    <t>N.A.</t>
  </si>
  <si>
    <t>TIC</t>
  </si>
  <si>
    <t>PROMEDIO SAF</t>
  </si>
  <si>
    <t>SES</t>
  </si>
  <si>
    <t>PROMEDIO SES</t>
  </si>
  <si>
    <t xml:space="preserve">N.A </t>
  </si>
  <si>
    <t>PROMEDIO SIPTA</t>
  </si>
  <si>
    <t>PROMEDIO ENTIDAD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</si>
</sst>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4" formatCode="_(&quot;$&quot;\ * #,##0.00_);_(&quot;$&quot;\ * \(#,##0.00\);_(&quot;$&quot;\ * &quot;-&quot;??_);_(@_)"/>
    <numFmt numFmtId="43" formatCode="_(* #,##0.00_);_(* \(#,##0.00\);_(* &quot;-&quot;??_);_(@_)"/>
    <numFmt numFmtId="164" formatCode="_(&quot;$&quot;\ * #,##0_);_(&quot;$&quot;\ * \(#,##0\);_(&quot;$&quot;\ * &quot;-&quot;??_);_(@_)"/>
    <numFmt numFmtId="165" formatCode="_-&quot;$&quot;* #,##0_-;\-&quot;$&quot;* #,##0_-;_-&quot;$&quot;* &quot;-&quot;_-;_-@_-"/>
    <numFmt numFmtId="166" formatCode="0.0%"/>
    <numFmt numFmtId="167" formatCode="_(* #,##0_);_(* \(#,##0\);_(* &quot;-&quot;??_);_(@_)"/>
    <numFmt numFmtId="168" formatCode="&quot;$&quot;#,##0;[Red]\-&quot;$&quot;#,##0"/>
    <numFmt numFmtId="169" formatCode="_-* #,##0_-;\-* #,##0_-;_-* &quot;-&quot;_-;_-@_-"/>
    <numFmt numFmtId="170" formatCode="0;[Red]0"/>
    <numFmt numFmtId="171" formatCode="_-&quot;$&quot;\ * #,##0.00_-;\-&quot;$&quot;\ * #,##0.00_-;_-&quot;$&quot;\ * &quot;-&quot;??_-;_-@_-"/>
    <numFmt numFmtId="172" formatCode="_-* #,##0.00_-;\-* #,##0.00_-;_-* &quot;-&quot;??_-;_-@_-"/>
    <numFmt numFmtId="173" formatCode="_-[$$-240A]\ * #,##0.00_-;\-[$$-240A]\ * #,##0.00_-;_-[$$-240A]\ * &quot;-&quot;??_-;_-@_-"/>
    <numFmt numFmtId="174" formatCode="&quot;$&quot;\ #,##0.00;[Red]\-&quot;$&quot;\ #,##0.00"/>
    <numFmt numFmtId="175" formatCode="_-&quot;$&quot;\ * #,##0_-;\-&quot;$&quot;\ * #,##0_-;_-&quot;$&quot;\ * &quot;-&quot;_-;_-@_-"/>
    <numFmt numFmtId="176" formatCode="_-&quot;$&quot;\ * #,##0.00_-;\-&quot;$&quot;\ * #,##0.00_-;_-&quot;$&quot;\ * &quot;-&quot;_-;_-@_-"/>
    <numFmt numFmtId="177" formatCode="&quot;$&quot;\ #,##0;[Red]\-&quot;$&quot;\ #,##0"/>
  </numFmts>
  <fonts count="52" x14ac:knownFonts="1">
    <font>
      <sz val="11"/>
      <color theme="1"/>
      <name val="Calibri"/>
      <family val="2"/>
      <scheme val="minor"/>
    </font>
    <font>
      <sz val="9"/>
      <color theme="1"/>
      <name val="Calibri"/>
      <family val="2"/>
      <scheme val="minor"/>
    </font>
    <font>
      <sz val="9"/>
      <color theme="0"/>
      <name val="Calibri"/>
      <family val="2"/>
      <scheme val="minor"/>
    </font>
    <font>
      <b/>
      <sz val="24"/>
      <color theme="1"/>
      <name val="Arial Narrow"/>
      <family val="2"/>
    </font>
    <font>
      <sz val="11"/>
      <color theme="1"/>
      <name val="Calibri"/>
      <family val="2"/>
      <scheme val="minor"/>
    </font>
    <font>
      <b/>
      <sz val="9"/>
      <color theme="0"/>
      <name val="Calibri"/>
      <family val="2"/>
      <scheme val="minor"/>
    </font>
    <font>
      <b/>
      <sz val="9"/>
      <color theme="1"/>
      <name val="Calibri"/>
      <family val="2"/>
      <scheme val="minor"/>
    </font>
    <font>
      <b/>
      <sz val="36"/>
      <color theme="1"/>
      <name val="Calibri"/>
      <family val="2"/>
      <scheme val="minor"/>
    </font>
    <font>
      <b/>
      <sz val="11"/>
      <color theme="0"/>
      <name val="Calibri"/>
      <family val="2"/>
      <scheme val="minor"/>
    </font>
    <font>
      <b/>
      <sz val="12"/>
      <color theme="0"/>
      <name val="Calibri"/>
      <family val="2"/>
      <scheme val="minor"/>
    </font>
    <font>
      <b/>
      <sz val="14"/>
      <color theme="0"/>
      <name val="Calibri"/>
      <family val="2"/>
      <scheme val="minor"/>
    </font>
    <font>
      <b/>
      <sz val="12"/>
      <color theme="1"/>
      <name val="Arial Narrow"/>
      <family val="2"/>
    </font>
    <font>
      <b/>
      <sz val="14"/>
      <color theme="1"/>
      <name val="Calibri"/>
      <family val="2"/>
      <scheme val="minor"/>
    </font>
    <font>
      <b/>
      <sz val="12"/>
      <color theme="1"/>
      <name val="Calibri"/>
      <family val="2"/>
      <scheme val="minor"/>
    </font>
    <font>
      <sz val="9"/>
      <name val="Calibri"/>
      <family val="2"/>
      <scheme val="minor"/>
    </font>
    <font>
      <sz val="11"/>
      <color rgb="FF006100"/>
      <name val="Calibri"/>
      <family val="2"/>
      <scheme val="minor"/>
    </font>
    <font>
      <sz val="11"/>
      <color rgb="FF9C0006"/>
      <name val="Calibri"/>
      <family val="2"/>
      <scheme val="minor"/>
    </font>
    <font>
      <sz val="12"/>
      <name val="Calibri"/>
      <family val="2"/>
      <scheme val="minor"/>
    </font>
    <font>
      <b/>
      <sz val="14"/>
      <name val="Calibri"/>
      <family val="2"/>
      <scheme val="minor"/>
    </font>
    <font>
      <sz val="9"/>
      <color rgb="FFFF0000"/>
      <name val="Calibri"/>
      <family val="2"/>
      <scheme val="minor"/>
    </font>
    <font>
      <sz val="12"/>
      <color theme="1"/>
      <name val="Arial Narrow"/>
      <family val="2"/>
    </font>
    <font>
      <sz val="11"/>
      <color rgb="FF9C5700"/>
      <name val="Calibri"/>
      <family val="2"/>
      <scheme val="minor"/>
    </font>
    <font>
      <sz val="11"/>
      <color rgb="FF3F3F76"/>
      <name val="Calibri"/>
      <family val="2"/>
      <scheme val="minor"/>
    </font>
    <font>
      <b/>
      <sz val="11"/>
      <color theme="1"/>
      <name val="Calibri"/>
      <family val="2"/>
      <scheme val="minor"/>
    </font>
    <font>
      <sz val="11"/>
      <color theme="0"/>
      <name val="Calibri"/>
      <family val="2"/>
      <scheme val="minor"/>
    </font>
    <font>
      <sz val="9"/>
      <color theme="9" tint="-0.499984740745262"/>
      <name val="Calibri"/>
      <family val="2"/>
      <scheme val="minor"/>
    </font>
    <font>
      <i/>
      <sz val="9"/>
      <color theme="1"/>
      <name val="Calibri"/>
      <family val="2"/>
      <scheme val="minor"/>
    </font>
    <font>
      <b/>
      <sz val="9"/>
      <color indexed="81"/>
      <name val="Tahoma"/>
      <family val="2"/>
    </font>
    <font>
      <sz val="9"/>
      <color indexed="81"/>
      <name val="Tahoma"/>
      <family val="2"/>
    </font>
    <font>
      <b/>
      <sz val="8"/>
      <color rgb="FF000000"/>
      <name val="Calibri"/>
      <family val="2"/>
    </font>
    <font>
      <b/>
      <sz val="8"/>
      <color rgb="FFFFFFFF"/>
      <name val="Calibri"/>
      <family val="2"/>
    </font>
    <font>
      <b/>
      <sz val="9"/>
      <name val="Calibri"/>
      <family val="2"/>
      <scheme val="minor"/>
    </font>
    <font>
      <b/>
      <sz val="9"/>
      <color rgb="FFFF0000"/>
      <name val="Calibri"/>
      <family val="2"/>
      <scheme val="minor"/>
    </font>
    <font>
      <u/>
      <sz val="9"/>
      <color theme="1"/>
      <name val="Calibri"/>
      <family val="2"/>
      <scheme val="minor"/>
    </font>
    <font>
      <b/>
      <u/>
      <sz val="9"/>
      <color theme="1"/>
      <name val="Calibri"/>
      <family val="2"/>
      <scheme val="minor"/>
    </font>
    <font>
      <u/>
      <sz val="9"/>
      <name val="Calibri"/>
      <family val="2"/>
      <scheme val="minor"/>
    </font>
    <font>
      <b/>
      <u/>
      <sz val="9"/>
      <name val="Calibri"/>
      <family val="2"/>
      <scheme val="minor"/>
    </font>
    <font>
      <sz val="8"/>
      <color theme="1"/>
      <name val="Calibri"/>
      <family val="2"/>
      <scheme val="minor"/>
    </font>
    <font>
      <b/>
      <sz val="8"/>
      <name val="Arial"/>
      <family val="2"/>
    </font>
    <font>
      <sz val="8"/>
      <name val="Arial"/>
      <family val="2"/>
    </font>
    <font>
      <sz val="11"/>
      <name val="Calibri"/>
      <family val="2"/>
      <scheme val="minor"/>
    </font>
    <font>
      <sz val="10"/>
      <color theme="1"/>
      <name val="Calibri"/>
      <family val="2"/>
      <scheme val="minor"/>
    </font>
    <font>
      <b/>
      <sz val="10"/>
      <color theme="1"/>
      <name val="Calibri"/>
      <family val="2"/>
      <scheme val="minor"/>
    </font>
    <font>
      <sz val="10"/>
      <name val="Calibri"/>
      <family val="2"/>
      <scheme val="minor"/>
    </font>
    <font>
      <sz val="14"/>
      <color theme="1"/>
      <name val="Calibri"/>
      <family val="2"/>
      <scheme val="minor"/>
    </font>
    <font>
      <sz val="14"/>
      <name val="Calibri"/>
      <family val="2"/>
      <scheme val="minor"/>
    </font>
    <font>
      <sz val="8"/>
      <name val="Calibri"/>
      <family val="2"/>
      <scheme val="minor"/>
    </font>
    <font>
      <b/>
      <sz val="16"/>
      <color theme="0"/>
      <name val="Calibri"/>
      <family val="2"/>
      <scheme val="minor"/>
    </font>
    <font>
      <b/>
      <sz val="11"/>
      <name val="Calibri"/>
      <family val="2"/>
      <scheme val="minor"/>
    </font>
    <font>
      <b/>
      <sz val="10"/>
      <name val="Calibri"/>
      <family val="2"/>
      <scheme val="minor"/>
    </font>
    <font>
      <b/>
      <sz val="12"/>
      <name val="Calibri"/>
      <family val="2"/>
      <scheme val="minor"/>
    </font>
    <font>
      <b/>
      <sz val="12"/>
      <name val="Arial Narrow"/>
      <family val="2"/>
    </font>
  </fonts>
  <fills count="40">
    <fill>
      <patternFill patternType="none"/>
    </fill>
    <fill>
      <patternFill patternType="gray125"/>
    </fill>
    <fill>
      <patternFill patternType="solid">
        <fgColor theme="9" tint="0.39997558519241921"/>
        <bgColor indexed="64"/>
      </patternFill>
    </fill>
    <fill>
      <patternFill patternType="solid">
        <fgColor theme="9" tint="0.79998168889431442"/>
        <bgColor indexed="64"/>
      </patternFill>
    </fill>
    <fill>
      <patternFill patternType="solid">
        <fgColor theme="9"/>
        <bgColor indexed="64"/>
      </patternFill>
    </fill>
    <fill>
      <patternFill patternType="solid">
        <fgColor theme="9" tint="-0.249977111117893"/>
        <bgColor indexed="64"/>
      </patternFill>
    </fill>
    <fill>
      <patternFill patternType="solid">
        <fgColor theme="9" tint="-0.499984740745262"/>
        <bgColor indexed="64"/>
      </patternFill>
    </fill>
    <fill>
      <patternFill patternType="solid">
        <fgColor theme="0"/>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rgb="FF00B050"/>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A5A5A5"/>
      </patternFill>
    </fill>
    <fill>
      <patternFill patternType="solid">
        <fgColor theme="5" tint="-0.249977111117893"/>
        <bgColor indexed="64"/>
      </patternFill>
    </fill>
    <fill>
      <patternFill patternType="solid">
        <fgColor theme="7" tint="-0.249977111117893"/>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rgb="FF00B0F0"/>
        <bgColor indexed="64"/>
      </patternFill>
    </fill>
    <fill>
      <patternFill patternType="solid">
        <fgColor rgb="FFFFC000"/>
        <bgColor indexed="64"/>
      </patternFill>
    </fill>
    <fill>
      <patternFill patternType="solid">
        <fgColor theme="6" tint="0.39997558519241921"/>
        <bgColor indexed="64"/>
      </patternFill>
    </fill>
    <fill>
      <patternFill patternType="solid">
        <fgColor theme="4"/>
        <bgColor indexed="64"/>
      </patternFill>
    </fill>
    <fill>
      <patternFill patternType="solid">
        <fgColor theme="5" tint="0.59999389629810485"/>
        <bgColor indexed="64"/>
      </patternFill>
    </fill>
    <fill>
      <patternFill patternType="solid">
        <fgColor rgb="FFFFFF00"/>
        <bgColor indexed="64"/>
      </patternFill>
    </fill>
    <fill>
      <patternFill patternType="solid">
        <fgColor theme="4" tint="0.59999389629810485"/>
        <bgColor indexed="64"/>
      </patternFill>
    </fill>
    <fill>
      <patternFill patternType="solid">
        <fgColor theme="8"/>
        <bgColor indexed="64"/>
      </patternFill>
    </fill>
    <fill>
      <patternFill patternType="solid">
        <fgColor theme="6" tint="0.79998168889431442"/>
        <bgColor indexed="64"/>
      </patternFill>
    </fill>
    <fill>
      <patternFill patternType="solid">
        <fgColor rgb="FFC6E0B4"/>
        <bgColor indexed="64"/>
      </patternFill>
    </fill>
    <fill>
      <patternFill patternType="solid">
        <fgColor rgb="FF375623"/>
        <bgColor indexed="64"/>
      </patternFill>
    </fill>
    <fill>
      <patternFill patternType="solid">
        <fgColor theme="9" tint="0.39997558519241921"/>
        <bgColor theme="9" tint="0.59999389629810485"/>
      </patternFill>
    </fill>
    <fill>
      <patternFill patternType="solid">
        <fgColor theme="9" tint="0.79998168889431442"/>
        <bgColor theme="9" tint="0.79998168889431442"/>
      </patternFill>
    </fill>
    <fill>
      <patternFill patternType="solid">
        <fgColor theme="9" tint="0.79998168889431442"/>
        <bgColor theme="9" tint="0.59999389629810485"/>
      </patternFill>
    </fill>
    <fill>
      <patternFill patternType="solid">
        <fgColor theme="7" tint="0.59999389629810485"/>
        <bgColor indexed="64"/>
      </patternFill>
    </fill>
    <fill>
      <patternFill patternType="solid">
        <fgColor theme="9" tint="0.39997558519241921"/>
        <bgColor theme="9" tint="0.79998168889431442"/>
      </patternFill>
    </fill>
    <fill>
      <patternFill patternType="solid">
        <fgColor theme="5" tint="0.79998168889431442"/>
        <bgColor indexed="64"/>
      </patternFill>
    </fill>
    <fill>
      <patternFill patternType="solid">
        <fgColor theme="8" tint="0.39997558519241921"/>
        <bgColor indexed="64"/>
      </patternFill>
    </fill>
  </fills>
  <borders count="144">
    <border>
      <left/>
      <right/>
      <top/>
      <bottom/>
      <diagonal/>
    </border>
    <border>
      <left style="thin">
        <color theme="2"/>
      </left>
      <right style="thin">
        <color theme="2"/>
      </right>
      <top style="thin">
        <color theme="2"/>
      </top>
      <bottom style="thin">
        <color theme="2"/>
      </bottom>
      <diagonal/>
    </border>
    <border>
      <left style="thin">
        <color theme="2"/>
      </left>
      <right style="thin">
        <color theme="2"/>
      </right>
      <top/>
      <bottom style="thin">
        <color theme="2"/>
      </bottom>
      <diagonal/>
    </border>
    <border>
      <left style="thin">
        <color indexed="64"/>
      </left>
      <right style="thin">
        <color indexed="64"/>
      </right>
      <top style="thin">
        <color indexed="64"/>
      </top>
      <bottom style="thin">
        <color indexed="64"/>
      </bottom>
      <diagonal/>
    </border>
    <border>
      <left style="thin">
        <color theme="2"/>
      </left>
      <right style="thin">
        <color theme="2"/>
      </right>
      <top style="thin">
        <color theme="2"/>
      </top>
      <bottom/>
      <diagonal/>
    </border>
    <border>
      <left style="thin">
        <color theme="2"/>
      </left>
      <right style="thin">
        <color theme="2"/>
      </right>
      <top/>
      <bottom/>
      <diagonal/>
    </border>
    <border>
      <left style="thin">
        <color theme="2"/>
      </left>
      <right/>
      <top style="thin">
        <color theme="2"/>
      </top>
      <bottom/>
      <diagonal/>
    </border>
    <border>
      <left style="thin">
        <color theme="2"/>
      </left>
      <right/>
      <top/>
      <bottom/>
      <diagonal/>
    </border>
    <border>
      <left/>
      <right style="thin">
        <color theme="2"/>
      </right>
      <top style="thin">
        <color theme="2"/>
      </top>
      <bottom style="thin">
        <color theme="2"/>
      </bottom>
      <diagonal/>
    </border>
    <border>
      <left style="thin">
        <color theme="2"/>
      </left>
      <right/>
      <top/>
      <bottom style="thin">
        <color theme="2"/>
      </bottom>
      <diagonal/>
    </border>
    <border>
      <left style="thin">
        <color theme="2"/>
      </left>
      <right/>
      <top style="thin">
        <color theme="2"/>
      </top>
      <bottom style="thin">
        <color theme="2"/>
      </bottom>
      <diagonal/>
    </border>
    <border>
      <left/>
      <right/>
      <top style="thin">
        <color theme="2"/>
      </top>
      <bottom style="thin">
        <color theme="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theme="2"/>
      </bottom>
      <diagonal/>
    </border>
    <border>
      <left/>
      <right/>
      <top style="medium">
        <color indexed="64"/>
      </top>
      <bottom style="thin">
        <color theme="2"/>
      </bottom>
      <diagonal/>
    </border>
    <border>
      <left/>
      <right style="medium">
        <color indexed="64"/>
      </right>
      <top style="medium">
        <color indexed="64"/>
      </top>
      <bottom style="thin">
        <color theme="2"/>
      </bottom>
      <diagonal/>
    </border>
    <border>
      <left style="medium">
        <color indexed="64"/>
      </left>
      <right/>
      <top style="thin">
        <color theme="2"/>
      </top>
      <bottom style="thin">
        <color theme="2"/>
      </bottom>
      <diagonal/>
    </border>
    <border>
      <left/>
      <right style="medium">
        <color indexed="64"/>
      </right>
      <top style="thin">
        <color theme="2"/>
      </top>
      <bottom style="thin">
        <color theme="2"/>
      </bottom>
      <diagonal/>
    </border>
    <border>
      <left style="medium">
        <color indexed="64"/>
      </left>
      <right style="thin">
        <color theme="2"/>
      </right>
      <top style="thin">
        <color theme="2"/>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theme="2"/>
      </left>
      <right style="medium">
        <color indexed="64"/>
      </right>
      <top style="thin">
        <color theme="2"/>
      </top>
      <bottom/>
      <diagonal/>
    </border>
    <border>
      <left style="medium">
        <color indexed="64"/>
      </left>
      <right style="thin">
        <color theme="2"/>
      </right>
      <top style="medium">
        <color indexed="64"/>
      </top>
      <bottom style="thin">
        <color theme="2"/>
      </bottom>
      <diagonal/>
    </border>
    <border>
      <left style="thin">
        <color theme="2"/>
      </left>
      <right/>
      <top style="medium">
        <color indexed="64"/>
      </top>
      <bottom style="thin">
        <color theme="2"/>
      </bottom>
      <diagonal/>
    </border>
    <border>
      <left style="medium">
        <color theme="9" tint="-0.499984740745262"/>
      </left>
      <right/>
      <top style="medium">
        <color theme="9" tint="-0.499984740745262"/>
      </top>
      <bottom/>
      <diagonal/>
    </border>
    <border>
      <left/>
      <right/>
      <top style="medium">
        <color theme="9" tint="-0.499984740745262"/>
      </top>
      <bottom/>
      <diagonal/>
    </border>
    <border>
      <left style="medium">
        <color theme="9" tint="-0.499984740745262"/>
      </left>
      <right/>
      <top/>
      <bottom/>
      <diagonal/>
    </border>
    <border>
      <left style="medium">
        <color theme="9" tint="-0.499984740745262"/>
      </left>
      <right style="thin">
        <color theme="2"/>
      </right>
      <top style="medium">
        <color theme="9" tint="-0.499984740745262"/>
      </top>
      <bottom/>
      <diagonal/>
    </border>
    <border>
      <left style="thin">
        <color theme="2"/>
      </left>
      <right/>
      <top style="medium">
        <color theme="9" tint="-0.499984740745262"/>
      </top>
      <bottom/>
      <diagonal/>
    </border>
    <border>
      <left style="medium">
        <color theme="9" tint="-0.499984740745262"/>
      </left>
      <right style="thin">
        <color theme="2"/>
      </right>
      <top/>
      <bottom style="thin">
        <color theme="2"/>
      </bottom>
      <diagonal/>
    </border>
    <border>
      <left style="medium">
        <color theme="9" tint="-0.499984740745262"/>
      </left>
      <right style="thin">
        <color theme="2"/>
      </right>
      <top style="thin">
        <color theme="2"/>
      </top>
      <bottom/>
      <diagonal/>
    </border>
    <border>
      <left style="medium">
        <color theme="9" tint="-0.499984740745262"/>
      </left>
      <right style="thin">
        <color theme="2"/>
      </right>
      <top/>
      <bottom/>
      <diagonal/>
    </border>
    <border>
      <left style="medium">
        <color theme="9" tint="-0.499984740745262"/>
      </left>
      <right style="thin">
        <color theme="2"/>
      </right>
      <top/>
      <bottom style="medium">
        <color theme="9" tint="-0.499984740745262"/>
      </bottom>
      <diagonal/>
    </border>
    <border>
      <left style="thin">
        <color theme="2"/>
      </left>
      <right/>
      <top/>
      <bottom style="medium">
        <color theme="9" tint="-0.499984740745262"/>
      </bottom>
      <diagonal/>
    </border>
    <border>
      <left/>
      <right style="medium">
        <color indexed="64"/>
      </right>
      <top style="thin">
        <color indexed="64"/>
      </top>
      <bottom/>
      <diagonal/>
    </border>
    <border>
      <left style="medium">
        <color indexed="64"/>
      </left>
      <right style="thin">
        <color theme="2"/>
      </right>
      <top style="thin">
        <color theme="2"/>
      </top>
      <bottom style="thin">
        <color theme="2"/>
      </bottom>
      <diagonal/>
    </border>
    <border>
      <left style="medium">
        <color indexed="64"/>
      </left>
      <right style="thin">
        <color theme="2"/>
      </right>
      <top style="thin">
        <color theme="2"/>
      </top>
      <bottom style="medium">
        <color indexed="64"/>
      </bottom>
      <diagonal/>
    </border>
    <border>
      <left style="thin">
        <color theme="2"/>
      </left>
      <right/>
      <top style="thin">
        <color theme="2"/>
      </top>
      <bottom style="medium">
        <color indexed="64"/>
      </bottom>
      <diagonal/>
    </border>
    <border>
      <left/>
      <right style="medium">
        <color indexed="64"/>
      </right>
      <top/>
      <bottom style="thin">
        <color indexed="64"/>
      </bottom>
      <diagonal/>
    </border>
    <border>
      <left style="medium">
        <color indexed="64"/>
      </left>
      <right style="thin">
        <color theme="2"/>
      </right>
      <top style="medium">
        <color indexed="64"/>
      </top>
      <bottom style="medium">
        <color indexed="64"/>
      </bottom>
      <diagonal/>
    </border>
    <border>
      <left style="thin">
        <color theme="2"/>
      </left>
      <right/>
      <top style="medium">
        <color indexed="64"/>
      </top>
      <bottom style="medium">
        <color indexed="64"/>
      </bottom>
      <diagonal/>
    </border>
    <border>
      <left style="medium">
        <color indexed="64"/>
      </left>
      <right style="thin">
        <color theme="2"/>
      </right>
      <top style="medium">
        <color indexed="64"/>
      </top>
      <bottom/>
      <diagonal/>
    </border>
    <border>
      <left style="thin">
        <color theme="2"/>
      </left>
      <right/>
      <top style="medium">
        <color indexed="64"/>
      </top>
      <bottom/>
      <diagonal/>
    </border>
    <border>
      <left style="medium">
        <color indexed="64"/>
      </left>
      <right style="thin">
        <color theme="2"/>
      </right>
      <top/>
      <bottom style="medium">
        <color indexed="64"/>
      </bottom>
      <diagonal/>
    </border>
    <border>
      <left style="thin">
        <color theme="2"/>
      </left>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n">
        <color theme="2"/>
      </bottom>
      <diagonal/>
    </border>
    <border>
      <left/>
      <right style="thin">
        <color theme="2"/>
      </right>
      <top/>
      <bottom style="thin">
        <color theme="2"/>
      </bottom>
      <diagonal/>
    </border>
    <border>
      <left/>
      <right style="thin">
        <color indexed="64"/>
      </right>
      <top style="thin">
        <color theme="2"/>
      </top>
      <bottom style="thin">
        <color theme="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theme="2"/>
      </right>
      <top/>
      <bottom/>
      <diagonal/>
    </border>
    <border>
      <left style="thin">
        <color theme="2"/>
      </left>
      <right style="medium">
        <color indexed="64"/>
      </right>
      <top style="thin">
        <color theme="2"/>
      </top>
      <bottom style="thin">
        <color theme="2"/>
      </bottom>
      <diagonal/>
    </border>
    <border>
      <left/>
      <right/>
      <top style="thin">
        <color theme="2"/>
      </top>
      <bottom/>
      <diagonal/>
    </border>
    <border>
      <left style="thin">
        <color theme="2"/>
      </left>
      <right style="thin">
        <color theme="2"/>
      </right>
      <top style="medium">
        <color indexed="64"/>
      </top>
      <bottom/>
      <diagonal/>
    </border>
    <border>
      <left style="thin">
        <color theme="2"/>
      </left>
      <right style="thin">
        <color theme="2"/>
      </right>
      <top style="medium">
        <color indexed="64"/>
      </top>
      <bottom style="thin">
        <color theme="2"/>
      </bottom>
      <diagonal/>
    </border>
    <border>
      <left style="medium">
        <color indexed="64"/>
      </left>
      <right style="thin">
        <color theme="2"/>
      </right>
      <top/>
      <bottom style="thin">
        <color theme="2"/>
      </bottom>
      <diagonal/>
    </border>
    <border>
      <left style="thin">
        <color theme="2"/>
      </left>
      <right style="medium">
        <color indexed="64"/>
      </right>
      <top/>
      <bottom style="thin">
        <color theme="2"/>
      </bottom>
      <diagonal/>
    </border>
    <border>
      <left style="medium">
        <color indexed="64"/>
      </left>
      <right style="thin">
        <color theme="2"/>
      </right>
      <top/>
      <bottom/>
      <diagonal/>
    </border>
    <border>
      <left style="thin">
        <color theme="2"/>
      </left>
      <right style="medium">
        <color indexed="64"/>
      </right>
      <top/>
      <bottom/>
      <diagonal/>
    </border>
    <border>
      <left/>
      <right style="thin">
        <color theme="2"/>
      </right>
      <top style="thin">
        <color theme="2"/>
      </top>
      <bottom/>
      <diagonal/>
    </border>
    <border>
      <left style="thin">
        <color theme="2"/>
      </left>
      <right style="thin">
        <color theme="2"/>
      </right>
      <top style="thin">
        <color theme="2"/>
      </top>
      <bottom style="medium">
        <color indexed="64"/>
      </bottom>
      <diagonal/>
    </border>
    <border>
      <left style="thin">
        <color theme="2"/>
      </left>
      <right style="medium">
        <color indexed="64"/>
      </right>
      <top style="thin">
        <color theme="2"/>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theme="2"/>
      </left>
      <right style="medium">
        <color indexed="64"/>
      </right>
      <top/>
      <bottom style="medium">
        <color indexed="64"/>
      </bottom>
      <diagonal/>
    </border>
    <border>
      <left/>
      <right style="thin">
        <color theme="2"/>
      </right>
      <top style="thin">
        <color theme="2"/>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2"/>
      </left>
      <right style="thin">
        <color theme="2"/>
      </right>
      <top/>
      <bottom style="medium">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theme="2"/>
      </top>
      <bottom style="thin">
        <color indexed="64"/>
      </bottom>
      <diagonal/>
    </border>
    <border>
      <left/>
      <right/>
      <top style="thin">
        <color theme="2"/>
      </top>
      <bottom style="thin">
        <color indexed="64"/>
      </bottom>
      <diagonal/>
    </border>
    <border>
      <left/>
      <right style="thin">
        <color theme="2"/>
      </right>
      <top style="thin">
        <color theme="2"/>
      </top>
      <bottom style="thin">
        <color indexed="64"/>
      </bottom>
      <diagonal/>
    </border>
    <border>
      <left style="thin">
        <color theme="2"/>
      </left>
      <right style="thin">
        <color theme="0" tint="-0.249977111117893"/>
      </right>
      <top style="thin">
        <color theme="2"/>
      </top>
      <bottom/>
      <diagonal/>
    </border>
    <border>
      <left style="thin">
        <color theme="2"/>
      </left>
      <right style="thin">
        <color theme="0" tint="-0.249977111117893"/>
      </right>
      <top/>
      <bottom style="thin">
        <color theme="2"/>
      </bottom>
      <diagonal/>
    </border>
    <border>
      <left style="thin">
        <color theme="2"/>
      </left>
      <right style="thin">
        <color theme="2"/>
      </right>
      <top/>
      <bottom style="thin">
        <color indexed="64"/>
      </bottom>
      <diagonal/>
    </border>
    <border>
      <left style="thin">
        <color theme="2"/>
      </left>
      <right style="thin">
        <color theme="2"/>
      </right>
      <top style="thin">
        <color theme="2"/>
      </top>
      <bottom style="thin">
        <color indexed="64"/>
      </bottom>
      <diagonal/>
    </border>
    <border>
      <left style="thin">
        <color theme="2"/>
      </left>
      <right/>
      <top style="thin">
        <color theme="2"/>
      </top>
      <bottom style="thin">
        <color indexed="64"/>
      </bottom>
      <diagonal/>
    </border>
    <border>
      <left style="thin">
        <color indexed="64"/>
      </left>
      <right style="thin">
        <color theme="2"/>
      </right>
      <top/>
      <bottom/>
      <diagonal/>
    </border>
    <border>
      <left style="thin">
        <color indexed="64"/>
      </left>
      <right style="thin">
        <color theme="2"/>
      </right>
      <top/>
      <bottom style="thin">
        <color theme="2"/>
      </bottom>
      <diagonal/>
    </border>
    <border>
      <left style="thin">
        <color auto="1"/>
      </left>
      <right style="dotted">
        <color auto="1"/>
      </right>
      <top style="thin">
        <color auto="1"/>
      </top>
      <bottom/>
      <diagonal/>
    </border>
    <border>
      <left style="dotted">
        <color auto="1"/>
      </left>
      <right style="thin">
        <color auto="1"/>
      </right>
      <top style="thin">
        <color auto="1"/>
      </top>
      <bottom/>
      <diagonal/>
    </border>
    <border>
      <left/>
      <right style="dotted">
        <color auto="1"/>
      </right>
      <top style="thin">
        <color auto="1"/>
      </top>
      <bottom/>
      <diagonal/>
    </border>
    <border>
      <left style="thin">
        <color auto="1"/>
      </left>
      <right style="dotted">
        <color auto="1"/>
      </right>
      <top style="thin">
        <color indexed="64"/>
      </top>
      <bottom style="thin">
        <color indexed="64"/>
      </bottom>
      <diagonal/>
    </border>
    <border>
      <left style="dotted">
        <color auto="1"/>
      </left>
      <right style="thin">
        <color auto="1"/>
      </right>
      <top style="thin">
        <color indexed="64"/>
      </top>
      <bottom style="thin">
        <color indexed="64"/>
      </bottom>
      <diagonal/>
    </border>
    <border>
      <left/>
      <right style="dotted">
        <color auto="1"/>
      </right>
      <top style="thin">
        <color indexed="64"/>
      </top>
      <bottom style="thin">
        <color indexed="64"/>
      </bottom>
      <diagonal/>
    </border>
    <border>
      <left style="thin">
        <color auto="1"/>
      </left>
      <right/>
      <top/>
      <bottom style="dotted">
        <color auto="1"/>
      </bottom>
      <diagonal/>
    </border>
    <border>
      <left style="thin">
        <color auto="1"/>
      </left>
      <right style="dotted">
        <color auto="1"/>
      </right>
      <top/>
      <bottom style="dotted">
        <color auto="1"/>
      </bottom>
      <diagonal/>
    </border>
    <border>
      <left style="dotted">
        <color auto="1"/>
      </left>
      <right style="thin">
        <color auto="1"/>
      </right>
      <top/>
      <bottom style="dotted">
        <color auto="1"/>
      </bottom>
      <diagonal/>
    </border>
    <border>
      <left/>
      <right style="dotted">
        <color auto="1"/>
      </right>
      <top/>
      <bottom style="dotted">
        <color auto="1"/>
      </bottom>
      <diagonal/>
    </border>
    <border>
      <left style="thin">
        <color auto="1"/>
      </left>
      <right/>
      <top style="dotted">
        <color auto="1"/>
      </top>
      <bottom style="dotted">
        <color auto="1"/>
      </bottom>
      <diagonal/>
    </border>
    <border>
      <left style="thin">
        <color auto="1"/>
      </left>
      <right style="dotted">
        <color auto="1"/>
      </right>
      <top style="dotted">
        <color auto="1"/>
      </top>
      <bottom style="dotted">
        <color auto="1"/>
      </bottom>
      <diagonal/>
    </border>
    <border>
      <left style="dotted">
        <color auto="1"/>
      </left>
      <right style="thin">
        <color auto="1"/>
      </right>
      <top style="dotted">
        <color auto="1"/>
      </top>
      <bottom style="dotted">
        <color auto="1"/>
      </bottom>
      <diagonal/>
    </border>
    <border>
      <left/>
      <right style="dotted">
        <color auto="1"/>
      </right>
      <top style="dotted">
        <color auto="1"/>
      </top>
      <bottom style="dotted">
        <color auto="1"/>
      </bottom>
      <diagonal/>
    </border>
    <border>
      <left style="thin">
        <color auto="1"/>
      </left>
      <right style="thin">
        <color auto="1"/>
      </right>
      <top style="dotted">
        <color auto="1"/>
      </top>
      <bottom/>
      <diagonal/>
    </border>
    <border>
      <left style="dotted">
        <color auto="1"/>
      </left>
      <right style="thin">
        <color auto="1"/>
      </right>
      <top style="dotted">
        <color auto="1"/>
      </top>
      <bottom/>
      <diagonal/>
    </border>
    <border>
      <left style="thin">
        <color auto="1"/>
      </left>
      <right/>
      <top style="dotted">
        <color auto="1"/>
      </top>
      <bottom/>
      <diagonal/>
    </border>
    <border>
      <left style="thin">
        <color auto="1"/>
      </left>
      <right style="dotted">
        <color auto="1"/>
      </right>
      <top style="dotted">
        <color auto="1"/>
      </top>
      <bottom/>
      <diagonal/>
    </border>
    <border>
      <left/>
      <right style="dotted">
        <color auto="1"/>
      </right>
      <top style="dotted">
        <color auto="1"/>
      </top>
      <bottom/>
      <diagonal/>
    </border>
    <border>
      <left style="thin">
        <color auto="1"/>
      </left>
      <right style="thin">
        <color auto="1"/>
      </right>
      <top/>
      <bottom style="dotted">
        <color auto="1"/>
      </bottom>
      <diagonal/>
    </border>
    <border>
      <left style="thin">
        <color auto="1"/>
      </left>
      <right style="dotted">
        <color auto="1"/>
      </right>
      <top/>
      <bottom/>
      <diagonal/>
    </border>
    <border>
      <left style="dotted">
        <color auto="1"/>
      </left>
      <right style="thin">
        <color auto="1"/>
      </right>
      <top/>
      <bottom/>
      <diagonal/>
    </border>
    <border>
      <left/>
      <right style="dotted">
        <color auto="1"/>
      </right>
      <top/>
      <bottom/>
      <diagonal/>
    </border>
  </borders>
  <cellStyleXfs count="15">
    <xf numFmtId="0" fontId="0" fillId="0" borderId="0"/>
    <xf numFmtId="44" fontId="4" fillId="0" borderId="0" applyFont="0" applyFill="0" applyBorder="0" applyAlignment="0" applyProtection="0"/>
    <xf numFmtId="9" fontId="4" fillId="0" borderId="0" applyFont="0" applyFill="0" applyBorder="0" applyAlignment="0" applyProtection="0"/>
    <xf numFmtId="165" fontId="4" fillId="0" borderId="0" applyFont="0" applyFill="0" applyBorder="0" applyAlignment="0" applyProtection="0"/>
    <xf numFmtId="0" fontId="15" fillId="13" borderId="0" applyNumberFormat="0" applyBorder="0" applyAlignment="0" applyProtection="0"/>
    <xf numFmtId="0" fontId="16" fillId="14" borderId="0" applyNumberFormat="0" applyBorder="0" applyAlignment="0" applyProtection="0"/>
    <xf numFmtId="43" fontId="4" fillId="0" borderId="0" applyFont="0" applyFill="0" applyBorder="0" applyAlignment="0" applyProtection="0"/>
    <xf numFmtId="0" fontId="21" fillId="15" borderId="0" applyNumberFormat="0" applyBorder="0" applyAlignment="0" applyProtection="0"/>
    <xf numFmtId="0" fontId="22" fillId="16" borderId="70" applyNumberFormat="0" applyAlignment="0" applyProtection="0"/>
    <xf numFmtId="0" fontId="8" fillId="17" borderId="71" applyNumberFormat="0" applyAlignment="0" applyProtection="0"/>
    <xf numFmtId="169" fontId="4" fillId="0" borderId="0" applyFont="0" applyFill="0" applyBorder="0" applyAlignment="0" applyProtection="0"/>
    <xf numFmtId="43" fontId="4" fillId="0" borderId="0" applyFont="0" applyFill="0" applyBorder="0" applyAlignment="0" applyProtection="0"/>
    <xf numFmtId="171" fontId="4" fillId="0" borderId="0" applyFont="0" applyFill="0" applyBorder="0" applyAlignment="0" applyProtection="0"/>
    <xf numFmtId="172" fontId="4" fillId="0" borderId="0" applyFont="0" applyFill="0" applyBorder="0" applyAlignment="0" applyProtection="0"/>
    <xf numFmtId="175" fontId="4" fillId="0" borderId="0" applyFont="0" applyFill="0" applyBorder="0" applyAlignment="0" applyProtection="0"/>
  </cellStyleXfs>
  <cellXfs count="1226">
    <xf numFmtId="0" fontId="0" fillId="0" borderId="0" xfId="0"/>
    <xf numFmtId="0" fontId="1" fillId="0" borderId="0" xfId="0" applyFont="1" applyAlignment="1">
      <alignment horizontal="center" vertical="center"/>
    </xf>
    <xf numFmtId="0" fontId="1" fillId="0" borderId="0" xfId="0" applyFont="1" applyBorder="1" applyAlignment="1">
      <alignment horizontal="center" vertical="center"/>
    </xf>
    <xf numFmtId="0" fontId="1" fillId="2" borderId="0" xfId="0" applyFont="1" applyFill="1" applyAlignment="1">
      <alignment horizontal="left" vertical="center"/>
    </xf>
    <xf numFmtId="0" fontId="1" fillId="3" borderId="0" xfId="0" applyFont="1" applyFill="1" applyAlignment="1">
      <alignment horizontal="left" vertical="center"/>
    </xf>
    <xf numFmtId="0" fontId="1" fillId="0" borderId="0" xfId="0" applyFont="1" applyAlignment="1">
      <alignment horizontal="left" vertical="center"/>
    </xf>
    <xf numFmtId="0" fontId="1" fillId="3" borderId="1" xfId="0" applyFont="1" applyFill="1" applyBorder="1" applyAlignment="1">
      <alignment horizontal="center" vertical="center"/>
    </xf>
    <xf numFmtId="0" fontId="1" fillId="2" borderId="1" xfId="0" applyFont="1" applyFill="1" applyBorder="1" applyAlignment="1">
      <alignment horizontal="center" vertical="center"/>
    </xf>
    <xf numFmtId="0" fontId="1" fillId="3" borderId="1" xfId="0" applyFont="1" applyFill="1" applyBorder="1" applyAlignment="1">
      <alignment horizontal="left" vertical="center" wrapText="1"/>
    </xf>
    <xf numFmtId="0" fontId="1"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5" fillId="4" borderId="1" xfId="0" applyFont="1" applyFill="1" applyBorder="1" applyAlignment="1">
      <alignment horizontal="center" vertical="center"/>
    </xf>
    <xf numFmtId="0" fontId="5" fillId="4" borderId="0" xfId="0" applyFont="1" applyFill="1" applyAlignment="1">
      <alignment horizontal="center" vertical="center"/>
    </xf>
    <xf numFmtId="0" fontId="5" fillId="5" borderId="0" xfId="0" applyFont="1" applyFill="1" applyAlignment="1">
      <alignment horizontal="center" vertical="center"/>
    </xf>
    <xf numFmtId="0" fontId="5" fillId="4" borderId="2" xfId="0" applyFont="1" applyFill="1" applyBorder="1" applyAlignment="1">
      <alignment horizontal="center" vertical="center"/>
    </xf>
    <xf numFmtId="0" fontId="5" fillId="4" borderId="4" xfId="0" applyFont="1" applyFill="1" applyBorder="1" applyAlignment="1">
      <alignment horizontal="center" vertical="center"/>
    </xf>
    <xf numFmtId="0" fontId="1" fillId="7" borderId="0" xfId="0" applyFont="1" applyFill="1" applyAlignment="1">
      <alignment horizontal="left" vertical="center"/>
    </xf>
    <xf numFmtId="0" fontId="1" fillId="7" borderId="0" xfId="0" applyFont="1" applyFill="1" applyBorder="1" applyAlignment="1">
      <alignment horizontal="center" vertical="center"/>
    </xf>
    <xf numFmtId="0" fontId="1" fillId="2" borderId="1" xfId="0" applyFont="1" applyFill="1" applyBorder="1" applyAlignment="1">
      <alignment horizontal="justify" vertical="center" wrapText="1"/>
    </xf>
    <xf numFmtId="0" fontId="1" fillId="3" borderId="1" xfId="0" applyFont="1" applyFill="1" applyBorder="1" applyAlignment="1">
      <alignment horizontal="justify" vertical="center" wrapText="1"/>
    </xf>
    <xf numFmtId="164" fontId="6" fillId="2" borderId="3" xfId="1" applyNumberFormat="1" applyFont="1" applyFill="1" applyBorder="1" applyAlignment="1">
      <alignment horizontal="left" vertical="center"/>
    </xf>
    <xf numFmtId="9" fontId="1" fillId="3" borderId="3" xfId="2" applyFont="1" applyFill="1" applyBorder="1" applyAlignment="1">
      <alignment horizontal="center" vertical="center"/>
    </xf>
    <xf numFmtId="9" fontId="1" fillId="2" borderId="3" xfId="2" applyFont="1" applyFill="1" applyBorder="1" applyAlignment="1">
      <alignment horizontal="center" vertical="center"/>
    </xf>
    <xf numFmtId="0" fontId="1" fillId="8" borderId="1" xfId="0" applyFont="1" applyFill="1" applyBorder="1" applyAlignment="1">
      <alignment horizontal="left" vertical="center" wrapText="1"/>
    </xf>
    <xf numFmtId="0" fontId="1" fillId="8" borderId="1" xfId="0" applyFont="1" applyFill="1" applyBorder="1" applyAlignment="1">
      <alignment horizontal="center" vertical="center" wrapText="1"/>
    </xf>
    <xf numFmtId="0" fontId="1" fillId="8" borderId="1" xfId="0" applyFont="1" applyFill="1" applyBorder="1" applyAlignment="1">
      <alignment horizontal="center" vertical="center"/>
    </xf>
    <xf numFmtId="0" fontId="1" fillId="8" borderId="1" xfId="0" applyFont="1" applyFill="1" applyBorder="1" applyAlignment="1">
      <alignment horizontal="left" vertical="center"/>
    </xf>
    <xf numFmtId="0" fontId="1" fillId="8" borderId="1" xfId="0" applyFont="1" applyFill="1" applyBorder="1" applyAlignment="1">
      <alignment horizontal="justify" vertical="center"/>
    </xf>
    <xf numFmtId="0" fontId="1" fillId="8" borderId="0" xfId="0" applyFont="1" applyFill="1" applyAlignment="1">
      <alignment horizontal="left" vertical="center"/>
    </xf>
    <xf numFmtId="0" fontId="5" fillId="4" borderId="9" xfId="0" applyFont="1" applyFill="1" applyBorder="1" applyAlignment="1">
      <alignment horizontal="center" vertical="center"/>
    </xf>
    <xf numFmtId="0" fontId="1" fillId="3" borderId="3" xfId="0" applyFont="1" applyFill="1" applyBorder="1" applyAlignment="1">
      <alignment horizontal="left" vertical="center" wrapText="1"/>
    </xf>
    <xf numFmtId="0" fontId="1" fillId="7" borderId="4" xfId="0" applyFont="1" applyFill="1" applyBorder="1" applyAlignment="1">
      <alignment horizontal="left" vertical="center" wrapText="1"/>
    </xf>
    <xf numFmtId="0" fontId="1" fillId="7" borderId="4" xfId="0" applyFont="1" applyFill="1" applyBorder="1" applyAlignment="1">
      <alignment horizontal="center" vertical="center" wrapText="1"/>
    </xf>
    <xf numFmtId="0" fontId="1" fillId="7" borderId="0" xfId="0" applyFont="1" applyFill="1" applyBorder="1" applyAlignment="1">
      <alignment horizontal="center" vertical="center" wrapText="1"/>
    </xf>
    <xf numFmtId="0" fontId="5" fillId="10" borderId="4" xfId="0" applyFont="1" applyFill="1" applyBorder="1" applyAlignment="1">
      <alignment horizontal="center" vertical="center"/>
    </xf>
    <xf numFmtId="0" fontId="1" fillId="7" borderId="0" xfId="0" applyFont="1" applyFill="1" applyBorder="1" applyAlignment="1">
      <alignment horizontal="left" vertical="center" wrapText="1"/>
    </xf>
    <xf numFmtId="0" fontId="1" fillId="7" borderId="0" xfId="0" applyFont="1" applyFill="1" applyBorder="1" applyAlignment="1">
      <alignment horizontal="left" vertical="center"/>
    </xf>
    <xf numFmtId="164" fontId="6" fillId="7" borderId="0" xfId="1" applyNumberFormat="1" applyFont="1" applyFill="1" applyBorder="1" applyAlignment="1">
      <alignment horizontal="center" vertical="center"/>
    </xf>
    <xf numFmtId="0" fontId="9" fillId="4" borderId="2" xfId="0" applyFont="1" applyFill="1" applyBorder="1" applyAlignment="1">
      <alignment horizontal="center" vertical="center"/>
    </xf>
    <xf numFmtId="0" fontId="13" fillId="7" borderId="0" xfId="0" applyFont="1" applyFill="1" applyBorder="1" applyAlignment="1">
      <alignment horizontal="center" vertical="center"/>
    </xf>
    <xf numFmtId="0" fontId="13" fillId="0" borderId="0" xfId="0" applyFont="1" applyAlignment="1">
      <alignment horizontal="left" vertical="center"/>
    </xf>
    <xf numFmtId="9" fontId="13" fillId="2" borderId="3" xfId="2" applyFont="1" applyFill="1" applyBorder="1" applyAlignment="1">
      <alignment horizontal="center" vertical="center"/>
    </xf>
    <xf numFmtId="9" fontId="13" fillId="3" borderId="3" xfId="2" applyFont="1" applyFill="1" applyBorder="1" applyAlignment="1">
      <alignment horizontal="center" vertical="center"/>
    </xf>
    <xf numFmtId="0" fontId="8" fillId="10" borderId="4" xfId="0" applyFont="1" applyFill="1" applyBorder="1" applyAlignment="1">
      <alignment horizontal="center" vertical="center"/>
    </xf>
    <xf numFmtId="0" fontId="5" fillId="4" borderId="6" xfId="0" applyFont="1" applyFill="1" applyBorder="1" applyAlignment="1">
      <alignment horizontal="center" vertical="center"/>
    </xf>
    <xf numFmtId="0" fontId="14" fillId="2" borderId="3" xfId="0" applyFont="1" applyFill="1" applyBorder="1" applyAlignment="1">
      <alignment horizontal="center" vertical="center"/>
    </xf>
    <xf numFmtId="9" fontId="14" fillId="2" borderId="3" xfId="2" applyFont="1" applyFill="1" applyBorder="1" applyAlignment="1">
      <alignment horizontal="center" vertical="center"/>
    </xf>
    <xf numFmtId="0" fontId="14" fillId="3" borderId="15" xfId="0" applyFont="1" applyFill="1" applyBorder="1" applyAlignment="1">
      <alignment horizontal="left" vertical="center" wrapText="1"/>
    </xf>
    <xf numFmtId="0" fontId="14" fillId="2" borderId="15" xfId="0" applyFont="1" applyFill="1" applyBorder="1" applyAlignment="1">
      <alignment horizontal="left" vertical="center" wrapText="1"/>
    </xf>
    <xf numFmtId="0" fontId="14" fillId="2" borderId="3" xfId="0" applyFont="1" applyFill="1" applyBorder="1" applyAlignment="1">
      <alignment horizontal="center" vertical="center" wrapText="1"/>
    </xf>
    <xf numFmtId="1" fontId="1" fillId="2" borderId="3" xfId="2" applyNumberFormat="1" applyFont="1" applyFill="1" applyBorder="1" applyAlignment="1">
      <alignment horizontal="center" vertical="center"/>
    </xf>
    <xf numFmtId="0" fontId="14" fillId="3" borderId="3" xfId="0" applyFont="1" applyFill="1" applyBorder="1" applyAlignment="1">
      <alignment horizontal="center" vertical="center"/>
    </xf>
    <xf numFmtId="9" fontId="14" fillId="3" borderId="3" xfId="2" applyFont="1" applyFill="1" applyBorder="1" applyAlignment="1">
      <alignment horizontal="center" vertical="center"/>
    </xf>
    <xf numFmtId="0" fontId="14" fillId="2" borderId="32" xfId="0" applyFont="1" applyFill="1" applyBorder="1" applyAlignment="1">
      <alignment horizontal="center" vertical="center" wrapText="1"/>
    </xf>
    <xf numFmtId="9" fontId="14" fillId="2" borderId="32" xfId="2" applyFont="1" applyFill="1" applyBorder="1" applyAlignment="1">
      <alignment horizontal="center" vertical="center" wrapText="1"/>
    </xf>
    <xf numFmtId="9" fontId="14" fillId="3" borderId="32" xfId="2" applyFont="1" applyFill="1" applyBorder="1" applyAlignment="1">
      <alignment horizontal="center" vertical="center" wrapText="1"/>
    </xf>
    <xf numFmtId="0" fontId="14" fillId="3" borderId="3" xfId="0" applyFont="1" applyFill="1" applyBorder="1" applyAlignment="1">
      <alignment horizontal="center" vertical="center" wrapText="1"/>
    </xf>
    <xf numFmtId="0" fontId="17" fillId="3" borderId="3" xfId="0" applyFont="1" applyFill="1" applyBorder="1" applyAlignment="1">
      <alignment horizontal="center" vertical="center"/>
    </xf>
    <xf numFmtId="9" fontId="17" fillId="2" borderId="3" xfId="2" applyFont="1" applyFill="1" applyBorder="1" applyAlignment="1">
      <alignment horizontal="center" vertical="center"/>
    </xf>
    <xf numFmtId="9" fontId="14" fillId="2" borderId="12" xfId="2" applyFont="1" applyFill="1" applyBorder="1" applyAlignment="1">
      <alignment horizontal="center" vertical="center"/>
    </xf>
    <xf numFmtId="0" fontId="8" fillId="10" borderId="31" xfId="0" applyFont="1" applyFill="1" applyBorder="1" applyAlignment="1">
      <alignment horizontal="center" vertical="center"/>
    </xf>
    <xf numFmtId="10" fontId="14" fillId="3" borderId="32" xfId="2" applyNumberFormat="1" applyFont="1" applyFill="1" applyBorder="1" applyAlignment="1">
      <alignment horizontal="center" vertical="center"/>
    </xf>
    <xf numFmtId="9" fontId="14" fillId="7" borderId="3" xfId="2" applyFont="1" applyFill="1" applyBorder="1" applyAlignment="1">
      <alignment horizontal="center" vertical="center"/>
    </xf>
    <xf numFmtId="0" fontId="14" fillId="2" borderId="3" xfId="5" applyFont="1" applyFill="1" applyBorder="1" applyAlignment="1">
      <alignment horizontal="center" vertical="center" wrapText="1"/>
    </xf>
    <xf numFmtId="0" fontId="14" fillId="3" borderId="15" xfId="4" applyFont="1" applyFill="1" applyBorder="1" applyAlignment="1">
      <alignment horizontal="left" vertical="center" wrapText="1"/>
    </xf>
    <xf numFmtId="0" fontId="14" fillId="7" borderId="15" xfId="0" applyFont="1" applyFill="1" applyBorder="1" applyAlignment="1">
      <alignment horizontal="left" vertical="center" wrapText="1"/>
    </xf>
    <xf numFmtId="0" fontId="14" fillId="3" borderId="3" xfId="5" applyFont="1" applyFill="1" applyBorder="1" applyAlignment="1">
      <alignment horizontal="center" vertical="center" wrapText="1"/>
    </xf>
    <xf numFmtId="0" fontId="14" fillId="2" borderId="36" xfId="4" applyFont="1" applyFill="1" applyBorder="1" applyAlignment="1">
      <alignment horizontal="left" vertical="center" wrapText="1"/>
    </xf>
    <xf numFmtId="0" fontId="14" fillId="2" borderId="40" xfId="4" applyFont="1" applyFill="1" applyBorder="1" applyAlignment="1">
      <alignment horizontal="left" vertical="center" wrapText="1"/>
    </xf>
    <xf numFmtId="0" fontId="1" fillId="3" borderId="3" xfId="0" applyFont="1" applyFill="1" applyBorder="1" applyAlignment="1">
      <alignment horizontal="center" vertical="center"/>
    </xf>
    <xf numFmtId="0" fontId="5" fillId="5" borderId="1" xfId="0" applyFont="1" applyFill="1" applyBorder="1" applyAlignment="1">
      <alignment horizontal="center" vertical="center"/>
    </xf>
    <xf numFmtId="0" fontId="1" fillId="2" borderId="3" xfId="0" applyFont="1" applyFill="1" applyBorder="1" applyAlignment="1">
      <alignment horizontal="center" vertical="center"/>
    </xf>
    <xf numFmtId="0" fontId="13" fillId="2" borderId="3" xfId="0" applyFont="1" applyFill="1" applyBorder="1" applyAlignment="1">
      <alignment horizontal="center" vertical="center"/>
    </xf>
    <xf numFmtId="0" fontId="1" fillId="3" borderId="3"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5" fillId="5" borderId="10" xfId="0" applyFont="1" applyFill="1" applyBorder="1" applyAlignment="1">
      <alignment horizontal="center" vertical="center"/>
    </xf>
    <xf numFmtId="0" fontId="1" fillId="2" borderId="3" xfId="0" applyFont="1" applyFill="1" applyBorder="1" applyAlignment="1">
      <alignment horizontal="left" vertical="center" wrapText="1"/>
    </xf>
    <xf numFmtId="164" fontId="6" fillId="2" borderId="3" xfId="1" applyNumberFormat="1" applyFont="1" applyFill="1" applyBorder="1" applyAlignment="1">
      <alignment horizontal="center" vertical="center"/>
    </xf>
    <xf numFmtId="0" fontId="1" fillId="2" borderId="0"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24" xfId="0" applyFont="1" applyFill="1" applyBorder="1" applyAlignment="1">
      <alignment horizontal="center" vertical="center"/>
    </xf>
    <xf numFmtId="0" fontId="1" fillId="3" borderId="15" xfId="0" applyFont="1" applyFill="1" applyBorder="1" applyAlignment="1">
      <alignment horizontal="center" vertical="center"/>
    </xf>
    <xf numFmtId="0" fontId="1" fillId="3" borderId="16" xfId="0" applyFont="1" applyFill="1" applyBorder="1" applyAlignment="1">
      <alignment horizontal="center" vertical="center"/>
    </xf>
    <xf numFmtId="0" fontId="14" fillId="2" borderId="13" xfId="0" applyFont="1" applyFill="1" applyBorder="1" applyAlignment="1">
      <alignment horizontal="center" vertical="center" wrapText="1"/>
    </xf>
    <xf numFmtId="0" fontId="14" fillId="3" borderId="3" xfId="4" applyFont="1" applyFill="1" applyBorder="1" applyAlignment="1">
      <alignment horizontal="center" vertical="center" wrapText="1"/>
    </xf>
    <xf numFmtId="0" fontId="1" fillId="2" borderId="4"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5" xfId="0" applyFont="1" applyFill="1" applyBorder="1" applyAlignment="1">
      <alignment horizontal="justify" vertical="center" wrapText="1"/>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4" xfId="0" applyFont="1" applyFill="1" applyBorder="1" applyAlignment="1">
      <alignment horizontal="center" vertical="center"/>
    </xf>
    <xf numFmtId="0" fontId="1" fillId="2" borderId="2" xfId="0" applyFont="1" applyFill="1" applyBorder="1" applyAlignment="1">
      <alignment horizontal="center" vertical="center"/>
    </xf>
    <xf numFmtId="0" fontId="1" fillId="3"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3" xfId="0" applyFont="1" applyFill="1" applyBorder="1" applyAlignment="1">
      <alignment horizontal="center" vertical="center" wrapText="1"/>
    </xf>
    <xf numFmtId="0" fontId="1" fillId="3" borderId="3" xfId="0" applyFont="1" applyFill="1" applyBorder="1" applyAlignment="1">
      <alignment horizontal="center" vertical="center"/>
    </xf>
    <xf numFmtId="0" fontId="1" fillId="3" borderId="3" xfId="0" applyFont="1" applyFill="1" applyBorder="1" applyAlignment="1">
      <alignment horizontal="center" vertical="center" wrapText="1"/>
    </xf>
    <xf numFmtId="0" fontId="1" fillId="2" borderId="3" xfId="0" applyFont="1" applyFill="1" applyBorder="1" applyAlignment="1">
      <alignment horizontal="left" vertical="center" wrapText="1"/>
    </xf>
    <xf numFmtId="0" fontId="5" fillId="5" borderId="11" xfId="0" applyFont="1" applyFill="1" applyBorder="1" applyAlignment="1">
      <alignment horizontal="center" vertical="center"/>
    </xf>
    <xf numFmtId="0" fontId="5" fillId="5" borderId="1" xfId="0" applyFont="1" applyFill="1" applyBorder="1" applyAlignment="1">
      <alignment horizontal="center" vertical="center"/>
    </xf>
    <xf numFmtId="0" fontId="5" fillId="10" borderId="41" xfId="0" applyFont="1" applyFill="1" applyBorder="1" applyAlignment="1">
      <alignment horizontal="center" vertical="center"/>
    </xf>
    <xf numFmtId="0" fontId="1" fillId="2" borderId="42" xfId="0" applyFont="1" applyFill="1" applyBorder="1" applyAlignment="1">
      <alignment horizontal="center" vertical="center"/>
    </xf>
    <xf numFmtId="0" fontId="1" fillId="2" borderId="43" xfId="0" applyFont="1" applyFill="1" applyBorder="1" applyAlignment="1">
      <alignment horizontal="center" vertical="center" wrapText="1"/>
    </xf>
    <xf numFmtId="0" fontId="1" fillId="2" borderId="0" xfId="0" applyFont="1" applyFill="1" applyBorder="1" applyAlignment="1">
      <alignment horizontal="left" vertical="center"/>
    </xf>
    <xf numFmtId="10" fontId="13" fillId="12" borderId="3" xfId="0" applyNumberFormat="1" applyFont="1" applyFill="1" applyBorder="1" applyAlignment="1">
      <alignment horizontal="center" vertical="center" wrapText="1"/>
    </xf>
    <xf numFmtId="10" fontId="11" fillId="11" borderId="15" xfId="0" applyNumberFormat="1" applyFont="1" applyFill="1" applyBorder="1" applyAlignment="1">
      <alignment horizontal="center" vertical="center" wrapText="1"/>
    </xf>
    <xf numFmtId="0" fontId="1" fillId="3" borderId="46" xfId="0" applyFont="1" applyFill="1" applyBorder="1" applyAlignment="1">
      <alignment horizontal="center" vertical="center"/>
    </xf>
    <xf numFmtId="0" fontId="1" fillId="3" borderId="0" xfId="0" applyFont="1" applyFill="1" applyBorder="1" applyAlignment="1">
      <alignment horizontal="center" vertical="center" wrapText="1"/>
    </xf>
    <xf numFmtId="9" fontId="13" fillId="12" borderId="3" xfId="0" applyNumberFormat="1" applyFont="1" applyFill="1" applyBorder="1" applyAlignment="1">
      <alignment horizontal="center" vertical="center"/>
    </xf>
    <xf numFmtId="10" fontId="13" fillId="12" borderId="3" xfId="0" applyNumberFormat="1" applyFont="1" applyFill="1" applyBorder="1" applyAlignment="1">
      <alignment horizontal="center" vertical="center"/>
    </xf>
    <xf numFmtId="166" fontId="11" fillId="11" borderId="15" xfId="0" applyNumberFormat="1" applyFont="1" applyFill="1" applyBorder="1" applyAlignment="1">
      <alignment horizontal="center" vertical="center" wrapText="1"/>
    </xf>
    <xf numFmtId="0" fontId="19" fillId="3" borderId="3" xfId="0" applyFont="1" applyFill="1" applyBorder="1" applyAlignment="1">
      <alignment horizontal="center" vertical="center"/>
    </xf>
    <xf numFmtId="0" fontId="1" fillId="2" borderId="7" xfId="0" applyFont="1" applyFill="1" applyBorder="1" applyAlignment="1">
      <alignment horizontal="center" vertical="center" wrapText="1"/>
    </xf>
    <xf numFmtId="0" fontId="1" fillId="8" borderId="42" xfId="0" applyFont="1" applyFill="1" applyBorder="1" applyAlignment="1">
      <alignment horizontal="center" vertical="center"/>
    </xf>
    <xf numFmtId="0" fontId="1" fillId="8" borderId="43" xfId="0" applyFont="1" applyFill="1" applyBorder="1" applyAlignment="1">
      <alignment horizontal="center" vertical="center" wrapText="1"/>
    </xf>
    <xf numFmtId="10" fontId="13" fillId="12" borderId="3" xfId="2" applyNumberFormat="1" applyFont="1" applyFill="1" applyBorder="1" applyAlignment="1">
      <alignment horizontal="center" vertical="center" wrapText="1"/>
    </xf>
    <xf numFmtId="0" fontId="1" fillId="8" borderId="55" xfId="0" applyFont="1" applyFill="1" applyBorder="1" applyAlignment="1">
      <alignment horizontal="center" vertical="center"/>
    </xf>
    <xf numFmtId="0" fontId="1" fillId="8" borderId="10" xfId="0" applyFont="1" applyFill="1" applyBorder="1" applyAlignment="1">
      <alignment horizontal="center" vertical="center" wrapText="1"/>
    </xf>
    <xf numFmtId="0" fontId="1" fillId="8" borderId="56" xfId="0" applyFont="1" applyFill="1" applyBorder="1" applyAlignment="1">
      <alignment horizontal="center" vertical="center"/>
    </xf>
    <xf numFmtId="0" fontId="1" fillId="8" borderId="57" xfId="0" applyFont="1" applyFill="1" applyBorder="1" applyAlignment="1">
      <alignment horizontal="center" vertical="center" wrapText="1"/>
    </xf>
    <xf numFmtId="0" fontId="1" fillId="2" borderId="59" xfId="0" applyFont="1" applyFill="1" applyBorder="1" applyAlignment="1">
      <alignment horizontal="center" vertical="center"/>
    </xf>
    <xf numFmtId="0" fontId="1" fillId="2" borderId="60" xfId="0" applyFont="1" applyFill="1" applyBorder="1" applyAlignment="1">
      <alignment horizontal="center" vertical="center" wrapText="1"/>
    </xf>
    <xf numFmtId="10" fontId="11" fillId="11" borderId="67" xfId="0" applyNumberFormat="1" applyFont="1" applyFill="1" applyBorder="1" applyAlignment="1">
      <alignment horizontal="center" vertical="center" wrapText="1"/>
    </xf>
    <xf numFmtId="166" fontId="11" fillId="11" borderId="67" xfId="0" applyNumberFormat="1" applyFont="1" applyFill="1" applyBorder="1" applyAlignment="1">
      <alignment horizontal="center" vertical="center" wrapText="1"/>
    </xf>
    <xf numFmtId="0" fontId="12" fillId="11" borderId="65" xfId="0" applyFont="1" applyFill="1" applyBorder="1" applyAlignment="1">
      <alignment horizontal="center" vertical="center" wrapText="1"/>
    </xf>
    <xf numFmtId="0" fontId="12" fillId="11" borderId="66" xfId="0" applyFont="1" applyFill="1" applyBorder="1" applyAlignment="1">
      <alignment horizontal="center" vertical="center" wrapText="1"/>
    </xf>
    <xf numFmtId="13" fontId="14" fillId="2" borderId="35" xfId="2" applyNumberFormat="1" applyFont="1" applyFill="1" applyBorder="1" applyAlignment="1">
      <alignment vertical="center"/>
    </xf>
    <xf numFmtId="9" fontId="14" fillId="2" borderId="39" xfId="2" applyFont="1" applyFill="1" applyBorder="1" applyAlignment="1">
      <alignment vertical="center"/>
    </xf>
    <xf numFmtId="10" fontId="13" fillId="12" borderId="12" xfId="0" applyNumberFormat="1" applyFont="1" applyFill="1" applyBorder="1" applyAlignment="1">
      <alignment horizontal="center" vertical="center"/>
    </xf>
    <xf numFmtId="10" fontId="13" fillId="12" borderId="13" xfId="0" applyNumberFormat="1" applyFont="1" applyFill="1" applyBorder="1" applyAlignment="1">
      <alignment horizontal="center" vertical="center"/>
    </xf>
    <xf numFmtId="0" fontId="14" fillId="2" borderId="12" xfId="4" applyFont="1" applyFill="1" applyBorder="1" applyAlignment="1">
      <alignment horizontal="center" vertical="center" wrapText="1"/>
    </xf>
    <xf numFmtId="0" fontId="14" fillId="2" borderId="14" xfId="4"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3" xfId="0" applyFont="1" applyFill="1" applyBorder="1" applyAlignment="1">
      <alignment horizontal="left" vertical="center" wrapText="1"/>
    </xf>
    <xf numFmtId="0" fontId="1" fillId="2" borderId="3" xfId="0" applyFont="1" applyFill="1" applyBorder="1" applyAlignment="1">
      <alignment horizontal="center" vertical="center"/>
    </xf>
    <xf numFmtId="1" fontId="13" fillId="2" borderId="3" xfId="2" applyNumberFormat="1" applyFont="1" applyFill="1" applyBorder="1" applyAlignment="1">
      <alignment horizontal="center" vertical="center"/>
    </xf>
    <xf numFmtId="164" fontId="6" fillId="2" borderId="3" xfId="1" applyNumberFormat="1" applyFont="1" applyFill="1" applyBorder="1" applyAlignment="1">
      <alignment horizontal="center" vertical="center"/>
    </xf>
    <xf numFmtId="0" fontId="1" fillId="3" borderId="4" xfId="0" applyFont="1" applyFill="1" applyBorder="1" applyAlignment="1">
      <alignment horizontal="left" vertical="center" wrapText="1"/>
    </xf>
    <xf numFmtId="0" fontId="1" fillId="3" borderId="2" xfId="0" applyFont="1" applyFill="1" applyBorder="1" applyAlignment="1">
      <alignment horizontal="left" vertical="center" wrapText="1"/>
    </xf>
    <xf numFmtId="0" fontId="1" fillId="3" borderId="4" xfId="0" applyFont="1" applyFill="1" applyBorder="1" applyAlignment="1">
      <alignment horizontal="justify" vertical="center" wrapText="1"/>
    </xf>
    <xf numFmtId="0" fontId="1" fillId="3" borderId="2" xfId="0" applyFont="1" applyFill="1" applyBorder="1" applyAlignment="1">
      <alignment horizontal="justify" vertical="center" wrapText="1"/>
    </xf>
    <xf numFmtId="0" fontId="1" fillId="3" borderId="61" xfId="0" applyFont="1" applyFill="1" applyBorder="1" applyAlignment="1">
      <alignment horizontal="center" vertical="center"/>
    </xf>
    <xf numFmtId="0" fontId="1" fillId="3" borderId="63" xfId="0" applyFont="1" applyFill="1" applyBorder="1" applyAlignment="1">
      <alignment horizontal="center" vertical="center"/>
    </xf>
    <xf numFmtId="0" fontId="1" fillId="3" borderId="62" xfId="0" applyFont="1" applyFill="1" applyBorder="1" applyAlignment="1">
      <alignment horizontal="center" vertical="center" wrapText="1"/>
    </xf>
    <xf numFmtId="0" fontId="1" fillId="3" borderId="64"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15" xfId="0" applyFont="1" applyFill="1" applyBorder="1" applyAlignment="1">
      <alignment horizontal="center" vertical="center"/>
    </xf>
    <xf numFmtId="0" fontId="1" fillId="3" borderId="25" xfId="0" applyFont="1" applyFill="1" applyBorder="1" applyAlignment="1">
      <alignment horizontal="center" vertical="center"/>
    </xf>
    <xf numFmtId="0" fontId="1" fillId="3" borderId="16" xfId="0" applyFont="1" applyFill="1" applyBorder="1" applyAlignment="1">
      <alignment horizontal="center" vertical="center"/>
    </xf>
    <xf numFmtId="10" fontId="13" fillId="12" borderId="12" xfId="2" applyNumberFormat="1" applyFont="1" applyFill="1" applyBorder="1" applyAlignment="1">
      <alignment horizontal="center" vertical="center"/>
    </xf>
    <xf numFmtId="10" fontId="13" fillId="12" borderId="14" xfId="2" applyNumberFormat="1" applyFont="1" applyFill="1" applyBorder="1" applyAlignment="1">
      <alignment horizontal="center" vertical="center"/>
    </xf>
    <xf numFmtId="10" fontId="13" fillId="12" borderId="13" xfId="2" applyNumberFormat="1" applyFont="1" applyFill="1" applyBorder="1" applyAlignment="1">
      <alignment horizontal="center" vertical="center"/>
    </xf>
    <xf numFmtId="0" fontId="14" fillId="3" borderId="12" xfId="0" applyFont="1" applyFill="1" applyBorder="1" applyAlignment="1">
      <alignment horizontal="center" vertical="center" wrapText="1"/>
    </xf>
    <xf numFmtId="0" fontId="14" fillId="3" borderId="14" xfId="0" applyFont="1" applyFill="1" applyBorder="1" applyAlignment="1">
      <alignment horizontal="center" vertical="center"/>
    </xf>
    <xf numFmtId="0" fontId="14" fillId="3" borderId="13" xfId="0" applyFont="1" applyFill="1" applyBorder="1" applyAlignment="1">
      <alignment horizontal="center" vertical="center"/>
    </xf>
    <xf numFmtId="0" fontId="1" fillId="2" borderId="17"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0" fontId="1" fillId="2" borderId="20" xfId="0" applyFont="1" applyFill="1" applyBorder="1" applyAlignment="1">
      <alignment horizontal="center" vertical="center"/>
    </xf>
    <xf numFmtId="0" fontId="1" fillId="2" borderId="0"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23" xfId="0" applyFont="1" applyFill="1" applyBorder="1" applyAlignment="1">
      <alignment horizontal="center" vertical="center"/>
    </xf>
    <xf numFmtId="0" fontId="1" fillId="2" borderId="24" xfId="0" applyFont="1" applyFill="1" applyBorder="1" applyAlignment="1">
      <alignment horizontal="center" vertical="center"/>
    </xf>
    <xf numFmtId="0" fontId="1" fillId="3" borderId="3" xfId="0" applyFont="1" applyFill="1" applyBorder="1" applyAlignment="1">
      <alignment horizontal="center" vertical="center" wrapText="1"/>
    </xf>
    <xf numFmtId="0" fontId="1" fillId="3" borderId="3" xfId="0" applyFont="1" applyFill="1" applyBorder="1" applyAlignment="1">
      <alignment horizontal="center" vertical="center"/>
    </xf>
    <xf numFmtId="0" fontId="13" fillId="3" borderId="3" xfId="0" applyFont="1" applyFill="1" applyBorder="1" applyAlignment="1">
      <alignment horizontal="center" vertical="center"/>
    </xf>
    <xf numFmtId="0" fontId="17" fillId="3" borderId="35" xfId="0" applyFont="1" applyFill="1" applyBorder="1" applyAlignment="1">
      <alignment horizontal="center" vertical="center"/>
    </xf>
    <xf numFmtId="0" fontId="17" fillId="3" borderId="39" xfId="0" applyFont="1" applyFill="1" applyBorder="1" applyAlignment="1">
      <alignment horizontal="center" vertical="center"/>
    </xf>
    <xf numFmtId="0" fontId="17" fillId="3" borderId="37" xfId="0" applyFont="1" applyFill="1" applyBorder="1" applyAlignment="1">
      <alignment horizontal="center" vertical="center"/>
    </xf>
    <xf numFmtId="0" fontId="1" fillId="3" borderId="5" xfId="0" applyFont="1" applyFill="1" applyBorder="1" applyAlignment="1">
      <alignment horizontal="left" vertical="center" wrapText="1"/>
    </xf>
    <xf numFmtId="0" fontId="1" fillId="3" borderId="5" xfId="0" applyFont="1" applyFill="1" applyBorder="1" applyAlignment="1">
      <alignment horizontal="justify" vertical="center" wrapText="1"/>
    </xf>
    <xf numFmtId="0" fontId="1" fillId="3" borderId="50" xfId="0" applyFont="1" applyFill="1" applyBorder="1" applyAlignment="1">
      <alignment horizontal="center" vertical="center"/>
    </xf>
    <xf numFmtId="0" fontId="1" fillId="3" borderId="51" xfId="0" applyFont="1" applyFill="1" applyBorder="1" applyAlignment="1">
      <alignment horizontal="center" vertical="center"/>
    </xf>
    <xf numFmtId="0" fontId="1" fillId="3" borderId="6" xfId="0" applyFont="1" applyFill="1" applyBorder="1" applyAlignment="1">
      <alignment horizontal="center" vertical="center" wrapText="1"/>
    </xf>
    <xf numFmtId="0" fontId="1" fillId="3" borderId="7" xfId="0" applyFont="1" applyFill="1" applyBorder="1" applyAlignment="1">
      <alignment horizontal="center" vertical="center" wrapText="1"/>
    </xf>
    <xf numFmtId="9" fontId="17" fillId="2" borderId="35" xfId="2" applyFont="1" applyFill="1" applyBorder="1" applyAlignment="1">
      <alignment horizontal="center" vertical="center"/>
    </xf>
    <xf numFmtId="9" fontId="17" fillId="2" borderId="37" xfId="2" applyFont="1" applyFill="1" applyBorder="1" applyAlignment="1">
      <alignment horizontal="center" vertical="center"/>
    </xf>
    <xf numFmtId="0" fontId="14" fillId="2" borderId="12" xfId="0" applyFont="1" applyFill="1" applyBorder="1" applyAlignment="1">
      <alignment horizontal="center" vertical="center" wrapText="1"/>
    </xf>
    <xf numFmtId="0" fontId="14" fillId="2" borderId="13"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4" xfId="0" applyFont="1" applyFill="1" applyBorder="1" applyAlignment="1">
      <alignment horizontal="center" vertical="center"/>
    </xf>
    <xf numFmtId="0" fontId="1" fillId="3" borderId="5" xfId="0" applyFont="1" applyFill="1" applyBorder="1" applyAlignment="1">
      <alignment horizontal="center" vertical="center"/>
    </xf>
    <xf numFmtId="0" fontId="1" fillId="3" borderId="2" xfId="0" applyFont="1" applyFill="1" applyBorder="1" applyAlignment="1">
      <alignment horizontal="center" vertical="center"/>
    </xf>
    <xf numFmtId="9" fontId="13" fillId="2" borderId="3" xfId="2" applyFont="1" applyFill="1" applyBorder="1" applyAlignment="1">
      <alignment horizontal="center" vertical="center"/>
    </xf>
    <xf numFmtId="0" fontId="1" fillId="2" borderId="4"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4"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4" xfId="0" applyFont="1" applyFill="1" applyBorder="1" applyAlignment="1">
      <alignment horizontal="justify" vertical="center" wrapText="1"/>
    </xf>
    <xf numFmtId="0" fontId="1" fillId="2" borderId="2" xfId="0" applyFont="1" applyFill="1" applyBorder="1" applyAlignment="1">
      <alignment horizontal="justify" vertical="center" wrapText="1"/>
    </xf>
    <xf numFmtId="0" fontId="1" fillId="2" borderId="50" xfId="0" applyFont="1" applyFill="1" applyBorder="1" applyAlignment="1">
      <alignment horizontal="center" vertical="center"/>
    </xf>
    <xf numFmtId="0" fontId="1" fillId="2" borderId="49" xfId="0" applyFont="1" applyFill="1" applyBorder="1" applyAlignment="1">
      <alignment horizontal="center" vertical="center"/>
    </xf>
    <xf numFmtId="0" fontId="1" fillId="2" borderId="6"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4" fillId="3" borderId="13" xfId="0" applyFont="1" applyFill="1" applyBorder="1" applyAlignment="1">
      <alignment horizontal="center" vertical="center" wrapText="1"/>
    </xf>
    <xf numFmtId="0" fontId="1" fillId="2" borderId="4" xfId="0" applyFont="1" applyFill="1" applyBorder="1" applyAlignment="1">
      <alignment horizontal="center" vertical="center"/>
    </xf>
    <xf numFmtId="0" fontId="1" fillId="2" borderId="2" xfId="0" applyFont="1" applyFill="1" applyBorder="1" applyAlignment="1">
      <alignment horizontal="center" vertical="center"/>
    </xf>
    <xf numFmtId="0" fontId="1" fillId="3" borderId="47" xfId="0" applyFont="1" applyFill="1" applyBorder="1" applyAlignment="1">
      <alignment horizontal="center" vertical="center"/>
    </xf>
    <xf numFmtId="0" fontId="1" fillId="3" borderId="49" xfId="0" applyFont="1" applyFill="1" applyBorder="1" applyAlignment="1">
      <alignment horizontal="center" vertical="center"/>
    </xf>
    <xf numFmtId="0" fontId="1" fillId="3" borderId="48"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13" fillId="2" borderId="3" xfId="0" applyFont="1" applyFill="1" applyBorder="1" applyAlignment="1">
      <alignment horizontal="center" vertical="center"/>
    </xf>
    <xf numFmtId="0" fontId="14" fillId="2" borderId="35" xfId="0" applyFont="1" applyFill="1" applyBorder="1" applyAlignment="1">
      <alignment horizontal="center" vertical="center"/>
    </xf>
    <xf numFmtId="0" fontId="14" fillId="2" borderId="39" xfId="0" applyFont="1" applyFill="1" applyBorder="1" applyAlignment="1">
      <alignment horizontal="center" vertical="center"/>
    </xf>
    <xf numFmtId="0" fontId="14" fillId="2" borderId="37" xfId="0" applyFont="1" applyFill="1" applyBorder="1" applyAlignment="1">
      <alignment horizontal="center" vertical="center"/>
    </xf>
    <xf numFmtId="0" fontId="1" fillId="2" borderId="5" xfId="0" applyFont="1" applyFill="1" applyBorder="1" applyAlignment="1">
      <alignment horizontal="left" vertical="center" wrapText="1"/>
    </xf>
    <xf numFmtId="0" fontId="1" fillId="2" borderId="5" xfId="0" applyFont="1" applyFill="1" applyBorder="1" applyAlignment="1">
      <alignment horizontal="justify" vertical="center" wrapText="1"/>
    </xf>
    <xf numFmtId="0" fontId="1" fillId="2" borderId="51" xfId="0" applyFont="1" applyFill="1" applyBorder="1" applyAlignment="1">
      <alignment horizontal="center" vertical="center"/>
    </xf>
    <xf numFmtId="0" fontId="1" fillId="2" borderId="52" xfId="0" applyFont="1" applyFill="1" applyBorder="1" applyAlignment="1">
      <alignment horizontal="center" vertical="center"/>
    </xf>
    <xf numFmtId="0" fontId="1" fillId="2" borderId="7" xfId="0" applyFont="1" applyFill="1" applyBorder="1" applyAlignment="1">
      <alignment horizontal="center" vertical="center" wrapText="1"/>
    </xf>
    <xf numFmtId="0" fontId="1" fillId="2" borderId="53" xfId="0" applyFont="1" applyFill="1" applyBorder="1" applyAlignment="1">
      <alignment horizontal="center" vertical="center" wrapText="1"/>
    </xf>
    <xf numFmtId="9" fontId="14" fillId="3" borderId="35" xfId="2" applyFont="1" applyFill="1" applyBorder="1" applyAlignment="1">
      <alignment horizontal="center" vertical="center"/>
    </xf>
    <xf numFmtId="9" fontId="14" fillId="3" borderId="37" xfId="2" applyFont="1" applyFill="1" applyBorder="1" applyAlignment="1">
      <alignment horizontal="center" vertical="center"/>
    </xf>
    <xf numFmtId="0" fontId="14" fillId="7" borderId="12" xfId="0" applyFont="1" applyFill="1" applyBorder="1" applyAlignment="1">
      <alignment horizontal="center" vertical="center" wrapText="1"/>
    </xf>
    <xf numFmtId="0" fontId="14" fillId="7" borderId="13"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5" xfId="0" applyFont="1" applyFill="1" applyBorder="1" applyAlignment="1">
      <alignment horizontal="center" vertical="center"/>
    </xf>
    <xf numFmtId="9" fontId="13" fillId="3" borderId="3" xfId="2" applyFont="1" applyFill="1" applyBorder="1" applyAlignment="1">
      <alignment horizontal="center" vertical="center"/>
    </xf>
    <xf numFmtId="0" fontId="1" fillId="2" borderId="47" xfId="0" applyFont="1" applyFill="1" applyBorder="1" applyAlignment="1">
      <alignment horizontal="center" vertical="center"/>
    </xf>
    <xf numFmtId="0" fontId="1" fillId="2" borderId="48" xfId="0" applyFont="1" applyFill="1" applyBorder="1" applyAlignment="1">
      <alignment horizontal="center" vertical="center" wrapText="1"/>
    </xf>
    <xf numFmtId="10" fontId="13" fillId="12" borderId="14" xfId="0" applyNumberFormat="1" applyFont="1" applyFill="1" applyBorder="1" applyAlignment="1">
      <alignment horizontal="center" vertical="center"/>
    </xf>
    <xf numFmtId="0" fontId="14" fillId="3" borderId="14" xfId="0" applyFont="1" applyFill="1" applyBorder="1" applyAlignment="1">
      <alignment horizontal="center" vertical="center" wrapText="1"/>
    </xf>
    <xf numFmtId="0" fontId="1" fillId="3" borderId="52" xfId="0" applyFont="1" applyFill="1" applyBorder="1" applyAlignment="1">
      <alignment horizontal="center" vertical="center"/>
    </xf>
    <xf numFmtId="0" fontId="1" fillId="3" borderId="53" xfId="0" applyFont="1" applyFill="1" applyBorder="1" applyAlignment="1">
      <alignment horizontal="center" vertical="center" wrapText="1"/>
    </xf>
    <xf numFmtId="9" fontId="14" fillId="7" borderId="35" xfId="2" applyFont="1" applyFill="1" applyBorder="1" applyAlignment="1">
      <alignment horizontal="center" vertical="center"/>
    </xf>
    <xf numFmtId="9" fontId="14" fillId="7" borderId="37" xfId="2" applyFont="1" applyFill="1" applyBorder="1" applyAlignment="1">
      <alignment horizontal="center" vertical="center"/>
    </xf>
    <xf numFmtId="0" fontId="14" fillId="3" borderId="35" xfId="0" applyFont="1" applyFill="1" applyBorder="1" applyAlignment="1">
      <alignment horizontal="center" vertical="center"/>
    </xf>
    <xf numFmtId="0" fontId="14" fillId="3" borderId="39" xfId="0" applyFont="1" applyFill="1" applyBorder="1" applyAlignment="1">
      <alignment horizontal="center" vertical="center"/>
    </xf>
    <xf numFmtId="0" fontId="14" fillId="3" borderId="37" xfId="0" applyFont="1" applyFill="1" applyBorder="1" applyAlignment="1">
      <alignment horizontal="center" vertical="center"/>
    </xf>
    <xf numFmtId="9" fontId="14" fillId="2" borderId="35" xfId="2" applyNumberFormat="1" applyFont="1" applyFill="1" applyBorder="1" applyAlignment="1">
      <alignment horizontal="center" vertical="center"/>
    </xf>
    <xf numFmtId="9" fontId="14" fillId="2" borderId="37" xfId="2" applyNumberFormat="1" applyFont="1" applyFill="1" applyBorder="1" applyAlignment="1">
      <alignment horizontal="center" vertical="center"/>
    </xf>
    <xf numFmtId="0" fontId="1" fillId="2" borderId="46" xfId="0" applyFont="1" applyFill="1" applyBorder="1" applyAlignment="1">
      <alignment horizontal="center" vertical="center"/>
    </xf>
    <xf numFmtId="0" fontId="1" fillId="2" borderId="0" xfId="0" applyFont="1" applyFill="1" applyBorder="1" applyAlignment="1">
      <alignment horizontal="center" vertical="center" wrapText="1"/>
    </xf>
    <xf numFmtId="164" fontId="6" fillId="2" borderId="13" xfId="1" applyNumberFormat="1" applyFont="1" applyFill="1" applyBorder="1" applyAlignment="1">
      <alignment horizontal="center" vertical="center"/>
    </xf>
    <xf numFmtId="166" fontId="13" fillId="12" borderId="12" xfId="2" applyNumberFormat="1" applyFont="1" applyFill="1" applyBorder="1" applyAlignment="1">
      <alignment horizontal="center" vertical="center"/>
    </xf>
    <xf numFmtId="166" fontId="13" fillId="12" borderId="13" xfId="2" applyNumberFormat="1" applyFont="1" applyFill="1" applyBorder="1" applyAlignment="1">
      <alignment horizontal="center" vertical="center"/>
    </xf>
    <xf numFmtId="0" fontId="14" fillId="3" borderId="3" xfId="4" applyFont="1" applyFill="1" applyBorder="1" applyAlignment="1">
      <alignment horizontal="center" vertical="center" wrapText="1"/>
    </xf>
    <xf numFmtId="0" fontId="1" fillId="3" borderId="44" xfId="0" applyFont="1" applyFill="1" applyBorder="1" applyAlignment="1">
      <alignment horizontal="center" vertical="center"/>
    </xf>
    <xf numFmtId="0" fontId="1" fillId="3" borderId="46" xfId="0" applyFont="1" applyFill="1" applyBorder="1" applyAlignment="1">
      <alignment horizontal="center" vertical="center"/>
    </xf>
    <xf numFmtId="0" fontId="1" fillId="3" borderId="45" xfId="0" applyFont="1" applyFill="1" applyBorder="1" applyAlignment="1">
      <alignment horizontal="center" vertical="center" wrapText="1"/>
    </xf>
    <xf numFmtId="0" fontId="1" fillId="3" borderId="0" xfId="0" applyFont="1" applyFill="1" applyBorder="1" applyAlignment="1">
      <alignment horizontal="center" vertical="center" wrapText="1"/>
    </xf>
    <xf numFmtId="0" fontId="10" fillId="6" borderId="10" xfId="0" applyFont="1" applyFill="1" applyBorder="1" applyAlignment="1">
      <alignment horizontal="center" vertical="center"/>
    </xf>
    <xf numFmtId="0" fontId="10" fillId="6" borderId="11" xfId="0" applyFont="1" applyFill="1" applyBorder="1" applyAlignment="1">
      <alignment horizontal="center" vertical="center"/>
    </xf>
    <xf numFmtId="0" fontId="10" fillId="6" borderId="30" xfId="0" applyFont="1" applyFill="1" applyBorder="1" applyAlignment="1">
      <alignment horizontal="center" vertical="center"/>
    </xf>
    <xf numFmtId="0" fontId="7" fillId="3" borderId="4" xfId="0" applyFont="1" applyFill="1" applyBorder="1" applyAlignment="1">
      <alignment horizontal="center" vertical="center" textRotation="90"/>
    </xf>
    <xf numFmtId="0" fontId="7" fillId="3" borderId="5" xfId="0" applyFont="1" applyFill="1" applyBorder="1" applyAlignment="1">
      <alignment horizontal="center" vertical="center" textRotation="90"/>
    </xf>
    <xf numFmtId="0" fontId="7" fillId="3" borderId="2" xfId="0" applyFont="1" applyFill="1" applyBorder="1" applyAlignment="1">
      <alignment horizontal="center" vertical="center" textRotation="90"/>
    </xf>
    <xf numFmtId="0" fontId="7" fillId="2" borderId="6" xfId="0" applyFont="1" applyFill="1" applyBorder="1" applyAlignment="1">
      <alignment horizontal="center" vertical="center" textRotation="90"/>
    </xf>
    <xf numFmtId="0" fontId="7" fillId="2" borderId="7" xfId="0" applyFont="1" applyFill="1" applyBorder="1" applyAlignment="1">
      <alignment horizontal="center" vertical="center" textRotation="90"/>
    </xf>
    <xf numFmtId="0" fontId="7" fillId="2" borderId="9" xfId="0" applyFont="1" applyFill="1" applyBorder="1" applyAlignment="1">
      <alignment horizontal="center" vertical="center" textRotation="90"/>
    </xf>
    <xf numFmtId="164" fontId="6" fillId="2" borderId="16" xfId="1" applyNumberFormat="1" applyFont="1" applyFill="1" applyBorder="1" applyAlignment="1">
      <alignment horizontal="center" vertical="center"/>
    </xf>
    <xf numFmtId="0" fontId="1" fillId="3" borderId="15" xfId="0" applyFont="1" applyFill="1" applyBorder="1" applyAlignment="1">
      <alignment horizontal="center" vertical="center" wrapText="1"/>
    </xf>
    <xf numFmtId="0" fontId="2" fillId="6" borderId="2" xfId="0" applyFont="1" applyFill="1" applyBorder="1" applyAlignment="1">
      <alignment horizontal="center" vertical="center"/>
    </xf>
    <xf numFmtId="0" fontId="2" fillId="6" borderId="1" xfId="0" applyFont="1" applyFill="1" applyBorder="1" applyAlignment="1">
      <alignment horizontal="center" vertical="center"/>
    </xf>
    <xf numFmtId="0" fontId="18" fillId="9" borderId="26" xfId="0" applyFont="1" applyFill="1" applyBorder="1" applyAlignment="1">
      <alignment horizontal="center" vertical="center"/>
    </xf>
    <xf numFmtId="0" fontId="18" fillId="9" borderId="27" xfId="0" applyFont="1" applyFill="1" applyBorder="1" applyAlignment="1">
      <alignment horizontal="center" vertical="center"/>
    </xf>
    <xf numFmtId="0" fontId="18" fillId="9" borderId="28" xfId="0" applyFont="1" applyFill="1" applyBorder="1" applyAlignment="1">
      <alignment horizontal="center" vertical="center"/>
    </xf>
    <xf numFmtId="0" fontId="5" fillId="5" borderId="1" xfId="0" applyFont="1" applyFill="1" applyBorder="1" applyAlignment="1">
      <alignment horizontal="center" vertical="center"/>
    </xf>
    <xf numFmtId="0" fontId="5" fillId="5" borderId="10" xfId="0" applyFont="1" applyFill="1" applyBorder="1" applyAlignment="1">
      <alignment horizontal="center" vertical="center"/>
    </xf>
    <xf numFmtId="0" fontId="5" fillId="5" borderId="11" xfId="0" applyFont="1" applyFill="1" applyBorder="1" applyAlignment="1">
      <alignment horizontal="center" vertical="center"/>
    </xf>
    <xf numFmtId="0" fontId="5" fillId="5" borderId="8" xfId="0" applyFont="1" applyFill="1" applyBorder="1" applyAlignment="1">
      <alignment horizontal="center" vertical="center"/>
    </xf>
    <xf numFmtId="0" fontId="10" fillId="5" borderId="10" xfId="0" applyFont="1" applyFill="1" applyBorder="1" applyAlignment="1">
      <alignment horizontal="center" vertical="center"/>
    </xf>
    <xf numFmtId="0" fontId="10" fillId="5" borderId="11" xfId="0" applyFont="1" applyFill="1" applyBorder="1" applyAlignment="1">
      <alignment horizontal="center" vertical="center"/>
    </xf>
    <xf numFmtId="0" fontId="10" fillId="5" borderId="8" xfId="0" applyFont="1" applyFill="1" applyBorder="1" applyAlignment="1">
      <alignment horizontal="center" vertical="center"/>
    </xf>
    <xf numFmtId="0" fontId="10" fillId="6" borderId="29" xfId="0" applyFont="1" applyFill="1" applyBorder="1" applyAlignment="1">
      <alignment horizontal="center" vertical="center"/>
    </xf>
    <xf numFmtId="0" fontId="10" fillId="6" borderId="8" xfId="0" applyFont="1" applyFill="1" applyBorder="1" applyAlignment="1">
      <alignment horizontal="center" vertical="center"/>
    </xf>
    <xf numFmtId="0" fontId="1" fillId="7" borderId="0" xfId="0" applyFont="1" applyFill="1" applyAlignment="1">
      <alignment horizontal="center" vertical="center"/>
    </xf>
    <xf numFmtId="0" fontId="20" fillId="7" borderId="3" xfId="0" applyFont="1" applyFill="1" applyBorder="1" applyAlignment="1">
      <alignment horizontal="center" vertical="center"/>
    </xf>
    <xf numFmtId="0" fontId="5" fillId="6" borderId="2" xfId="0" applyFont="1" applyFill="1" applyBorder="1" applyAlignment="1">
      <alignment horizontal="center" vertical="center"/>
    </xf>
    <xf numFmtId="0" fontId="5" fillId="18" borderId="9" xfId="0" applyFont="1" applyFill="1" applyBorder="1" applyAlignment="1">
      <alignment horizontal="center" vertical="center"/>
    </xf>
    <xf numFmtId="0" fontId="5" fillId="18" borderId="73" xfId="0" applyFont="1" applyFill="1" applyBorder="1" applyAlignment="1">
      <alignment horizontal="center" vertical="center"/>
    </xf>
    <xf numFmtId="0" fontId="5" fillId="18" borderId="74" xfId="0" applyFont="1" applyFill="1" applyBorder="1" applyAlignment="1">
      <alignment horizontal="center" vertical="center"/>
    </xf>
    <xf numFmtId="0" fontId="5" fillId="19" borderId="9" xfId="0" applyFont="1" applyFill="1" applyBorder="1" applyAlignment="1">
      <alignment horizontal="center" vertical="center"/>
    </xf>
    <xf numFmtId="0" fontId="5" fillId="19" borderId="73" xfId="0" applyFont="1" applyFill="1" applyBorder="1" applyAlignment="1">
      <alignment horizontal="center" vertical="center"/>
    </xf>
    <xf numFmtId="0" fontId="5" fillId="19" borderId="74" xfId="0" applyFont="1" applyFill="1" applyBorder="1" applyAlignment="1">
      <alignment horizontal="center" vertical="center"/>
    </xf>
    <xf numFmtId="0" fontId="5" fillId="20" borderId="9" xfId="0" applyFont="1" applyFill="1" applyBorder="1" applyAlignment="1">
      <alignment horizontal="center" vertical="center"/>
    </xf>
    <xf numFmtId="0" fontId="5" fillId="20" borderId="73" xfId="0" applyFont="1" applyFill="1" applyBorder="1" applyAlignment="1">
      <alignment horizontal="center" vertical="center"/>
    </xf>
    <xf numFmtId="0" fontId="5" fillId="20" borderId="74" xfId="0" applyFont="1" applyFill="1" applyBorder="1" applyAlignment="1">
      <alignment horizontal="center" vertical="center"/>
    </xf>
    <xf numFmtId="0" fontId="5" fillId="21" borderId="9" xfId="0" applyFont="1" applyFill="1" applyBorder="1" applyAlignment="1">
      <alignment horizontal="center" vertical="center"/>
    </xf>
    <xf numFmtId="0" fontId="5" fillId="21" borderId="73" xfId="0" applyFont="1" applyFill="1" applyBorder="1" applyAlignment="1">
      <alignment horizontal="center" vertical="center"/>
    </xf>
    <xf numFmtId="0" fontId="5" fillId="21" borderId="74" xfId="0" applyFont="1" applyFill="1" applyBorder="1" applyAlignment="1">
      <alignment horizontal="center" vertical="center"/>
    </xf>
    <xf numFmtId="0" fontId="5" fillId="22" borderId="9" xfId="0" applyFont="1" applyFill="1" applyBorder="1" applyAlignment="1">
      <alignment horizontal="center" vertical="center"/>
    </xf>
    <xf numFmtId="0" fontId="5" fillId="22" borderId="73" xfId="0" applyFont="1" applyFill="1" applyBorder="1" applyAlignment="1">
      <alignment horizontal="center" vertical="center"/>
    </xf>
    <xf numFmtId="0" fontId="5" fillId="22" borderId="74" xfId="0" applyFont="1" applyFill="1" applyBorder="1" applyAlignment="1">
      <alignment horizontal="center" vertical="center"/>
    </xf>
    <xf numFmtId="0" fontId="5" fillId="23" borderId="9" xfId="0" applyFont="1" applyFill="1" applyBorder="1" applyAlignment="1">
      <alignment horizontal="center" vertical="center"/>
    </xf>
    <xf numFmtId="0" fontId="5" fillId="23" borderId="73" xfId="0" applyFont="1" applyFill="1" applyBorder="1" applyAlignment="1">
      <alignment horizontal="center" vertical="center"/>
    </xf>
    <xf numFmtId="0" fontId="5" fillId="0" borderId="0" xfId="0" applyFont="1" applyAlignment="1">
      <alignment horizontal="center" vertical="center"/>
    </xf>
    <xf numFmtId="0" fontId="5" fillId="6" borderId="1" xfId="0" applyFont="1" applyFill="1" applyBorder="1" applyAlignment="1">
      <alignment horizontal="center" vertical="center"/>
    </xf>
    <xf numFmtId="0" fontId="5" fillId="5" borderId="75" xfId="0" applyFont="1" applyFill="1" applyBorder="1" applyAlignment="1">
      <alignment horizontal="center" vertical="center"/>
    </xf>
    <xf numFmtId="0" fontId="5" fillId="4" borderId="1" xfId="0" applyFont="1" applyFill="1" applyBorder="1" applyAlignment="1">
      <alignment horizontal="center" vertical="center" wrapText="1"/>
    </xf>
    <xf numFmtId="0" fontId="1" fillId="2" borderId="1" xfId="0" applyFont="1" applyFill="1" applyBorder="1" applyAlignment="1">
      <alignment horizontal="left" vertical="center"/>
    </xf>
    <xf numFmtId="0" fontId="6" fillId="3" borderId="4" xfId="0" applyFont="1" applyFill="1" applyBorder="1" applyAlignment="1">
      <alignment horizontal="center" vertical="center"/>
    </xf>
    <xf numFmtId="0" fontId="6" fillId="2" borderId="4" xfId="0" applyFont="1" applyFill="1" applyBorder="1" applyAlignment="1">
      <alignment horizontal="center" vertical="center" wrapText="1"/>
    </xf>
    <xf numFmtId="9" fontId="1" fillId="2" borderId="1" xfId="0" applyNumberFormat="1" applyFont="1" applyFill="1" applyBorder="1" applyAlignment="1">
      <alignment horizontal="center" vertical="center"/>
    </xf>
    <xf numFmtId="165" fontId="6" fillId="2" borderId="4" xfId="3" applyFont="1" applyFill="1" applyBorder="1" applyAlignment="1">
      <alignment horizontal="center" vertical="center"/>
    </xf>
    <xf numFmtId="9" fontId="1" fillId="2" borderId="4" xfId="2" applyFont="1" applyFill="1" applyBorder="1" applyAlignment="1">
      <alignment horizontal="center" vertical="center"/>
    </xf>
    <xf numFmtId="9" fontId="1" fillId="2" borderId="4" xfId="0" applyNumberFormat="1" applyFont="1" applyFill="1" applyBorder="1" applyAlignment="1">
      <alignment horizontal="center" vertical="center"/>
    </xf>
    <xf numFmtId="9" fontId="1" fillId="2" borderId="1" xfId="2" applyFont="1" applyFill="1" applyBorder="1" applyAlignment="1">
      <alignment horizontal="center" vertical="center"/>
    </xf>
    <xf numFmtId="0" fontId="1" fillId="3" borderId="1" xfId="0" applyFont="1" applyFill="1" applyBorder="1" applyAlignment="1">
      <alignment horizontal="left" vertical="center"/>
    </xf>
    <xf numFmtId="0" fontId="6" fillId="3" borderId="5" xfId="0" applyFont="1" applyFill="1" applyBorder="1" applyAlignment="1">
      <alignment horizontal="center" vertical="center"/>
    </xf>
    <xf numFmtId="0" fontId="6" fillId="2" borderId="5" xfId="0" applyFont="1" applyFill="1" applyBorder="1" applyAlignment="1">
      <alignment horizontal="center" vertical="center" wrapText="1"/>
    </xf>
    <xf numFmtId="9" fontId="1" fillId="3" borderId="1" xfId="0" applyNumberFormat="1" applyFont="1" applyFill="1" applyBorder="1" applyAlignment="1">
      <alignment horizontal="center" vertical="center"/>
    </xf>
    <xf numFmtId="165" fontId="6" fillId="2" borderId="5" xfId="3" applyFont="1" applyFill="1" applyBorder="1" applyAlignment="1">
      <alignment horizontal="center" vertical="center"/>
    </xf>
    <xf numFmtId="9" fontId="1" fillId="2" borderId="5" xfId="2" applyFont="1" applyFill="1" applyBorder="1" applyAlignment="1">
      <alignment horizontal="center" vertical="center"/>
    </xf>
    <xf numFmtId="9" fontId="1" fillId="3" borderId="1" xfId="2" applyFont="1" applyFill="1" applyBorder="1" applyAlignment="1">
      <alignment horizontal="center" vertical="center"/>
    </xf>
    <xf numFmtId="9" fontId="1" fillId="2" borderId="5" xfId="0" applyNumberFormat="1" applyFont="1" applyFill="1" applyBorder="1" applyAlignment="1">
      <alignment horizontal="center" vertical="center"/>
    </xf>
    <xf numFmtId="0" fontId="1" fillId="2" borderId="5" xfId="0" applyFont="1" applyFill="1" applyBorder="1" applyAlignment="1">
      <alignment vertical="center"/>
    </xf>
    <xf numFmtId="0" fontId="6" fillId="2" borderId="2" xfId="0" applyFont="1" applyFill="1" applyBorder="1" applyAlignment="1">
      <alignment horizontal="center" vertical="center" wrapText="1"/>
    </xf>
    <xf numFmtId="0" fontId="1" fillId="3" borderId="5" xfId="0" applyFont="1" applyFill="1" applyBorder="1" applyAlignment="1">
      <alignment horizontal="left" vertical="center"/>
    </xf>
    <xf numFmtId="9" fontId="1" fillId="2" borderId="2" xfId="2" applyFont="1" applyFill="1" applyBorder="1" applyAlignment="1">
      <alignment horizontal="center" vertical="center"/>
    </xf>
    <xf numFmtId="9" fontId="14" fillId="2" borderId="1" xfId="2" applyFont="1" applyFill="1" applyBorder="1" applyAlignment="1">
      <alignment horizontal="center" vertical="center"/>
    </xf>
    <xf numFmtId="9" fontId="1" fillId="3" borderId="5" xfId="0" applyNumberFormat="1" applyFont="1" applyFill="1" applyBorder="1" applyAlignment="1">
      <alignment horizontal="center" vertical="center"/>
    </xf>
    <xf numFmtId="0" fontId="6" fillId="3" borderId="4" xfId="0" applyFont="1" applyFill="1" applyBorder="1" applyAlignment="1">
      <alignment horizontal="center" vertical="center" wrapText="1"/>
    </xf>
    <xf numFmtId="9" fontId="1" fillId="3" borderId="4" xfId="0" applyNumberFormat="1" applyFont="1" applyFill="1" applyBorder="1" applyAlignment="1">
      <alignment horizontal="center" vertical="center"/>
    </xf>
    <xf numFmtId="9" fontId="14" fillId="3" borderId="1" xfId="2" applyFont="1" applyFill="1" applyBorder="1" applyAlignment="1">
      <alignment horizontal="center" vertical="center"/>
    </xf>
    <xf numFmtId="0" fontId="6" fillId="3" borderId="2" xfId="0" applyFont="1" applyFill="1" applyBorder="1" applyAlignment="1">
      <alignment horizontal="center" vertical="center" wrapText="1"/>
    </xf>
    <xf numFmtId="0" fontId="1" fillId="3" borderId="2" xfId="0" applyFont="1" applyFill="1" applyBorder="1" applyAlignment="1">
      <alignment horizontal="left" vertical="center"/>
    </xf>
    <xf numFmtId="9" fontId="1" fillId="3" borderId="2" xfId="0" applyNumberFormat="1" applyFont="1" applyFill="1" applyBorder="1" applyAlignment="1">
      <alignment horizontal="center" vertical="center"/>
    </xf>
    <xf numFmtId="0" fontId="6" fillId="2" borderId="1" xfId="0" applyFont="1" applyFill="1" applyBorder="1" applyAlignment="1">
      <alignment horizontal="center" vertical="center" wrapText="1"/>
    </xf>
    <xf numFmtId="0" fontId="1" fillId="2" borderId="4" xfId="0" applyFont="1" applyFill="1" applyBorder="1" applyAlignment="1">
      <alignment vertical="center"/>
    </xf>
    <xf numFmtId="0" fontId="14" fillId="2" borderId="1" xfId="0" applyFont="1" applyFill="1" applyBorder="1" applyAlignment="1">
      <alignment horizontal="center" vertical="center"/>
    </xf>
    <xf numFmtId="0" fontId="1" fillId="21" borderId="1" xfId="0" applyFont="1" applyFill="1" applyBorder="1" applyAlignment="1">
      <alignment horizontal="left" vertical="center"/>
    </xf>
    <xf numFmtId="0" fontId="1" fillId="21"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1" fillId="3" borderId="1" xfId="0" applyFont="1" applyFill="1" applyBorder="1" applyAlignment="1">
      <alignment vertical="center" wrapText="1"/>
    </xf>
    <xf numFmtId="0" fontId="6" fillId="3" borderId="2" xfId="0" applyFont="1" applyFill="1" applyBorder="1" applyAlignment="1">
      <alignment horizontal="center" vertical="center"/>
    </xf>
    <xf numFmtId="0" fontId="1" fillId="2" borderId="1" xfId="0" applyFont="1" applyFill="1" applyBorder="1" applyAlignment="1">
      <alignment vertical="center"/>
    </xf>
    <xf numFmtId="165" fontId="6" fillId="2" borderId="2" xfId="3" applyFont="1" applyFill="1" applyBorder="1" applyAlignment="1">
      <alignment horizontal="center" vertical="center"/>
    </xf>
    <xf numFmtId="9" fontId="1" fillId="2" borderId="4" xfId="2" applyFont="1" applyFill="1" applyBorder="1" applyAlignment="1">
      <alignment horizontal="center" vertical="center"/>
    </xf>
    <xf numFmtId="9" fontId="1" fillId="2" borderId="4" xfId="0" applyNumberFormat="1" applyFont="1" applyFill="1" applyBorder="1" applyAlignment="1">
      <alignment horizontal="center" vertical="center"/>
    </xf>
    <xf numFmtId="0" fontId="1" fillId="2" borderId="4" xfId="0" applyFont="1" applyFill="1" applyBorder="1" applyAlignment="1">
      <alignment horizontal="left" vertical="center"/>
    </xf>
    <xf numFmtId="166" fontId="1" fillId="2" borderId="4" xfId="0" applyNumberFormat="1" applyFont="1" applyFill="1" applyBorder="1" applyAlignment="1">
      <alignment horizontal="center" vertical="center"/>
    </xf>
    <xf numFmtId="9" fontId="1" fillId="0" borderId="76" xfId="2" applyFont="1" applyBorder="1" applyAlignment="1">
      <alignment horizontal="center" vertical="center"/>
    </xf>
    <xf numFmtId="0" fontId="1" fillId="0" borderId="77" xfId="0" applyFont="1" applyBorder="1" applyAlignment="1">
      <alignment horizontal="left" vertical="center"/>
    </xf>
    <xf numFmtId="9" fontId="1" fillId="0" borderId="78" xfId="0" applyNumberFormat="1" applyFont="1" applyBorder="1" applyAlignment="1">
      <alignment horizontal="center" vertical="center"/>
    </xf>
    <xf numFmtId="0" fontId="13" fillId="10" borderId="79" xfId="0" applyFont="1" applyFill="1" applyBorder="1" applyAlignment="1">
      <alignment horizontal="center" vertical="center" wrapText="1"/>
    </xf>
    <xf numFmtId="0" fontId="13" fillId="10" borderId="76" xfId="0" applyFont="1" applyFill="1" applyBorder="1" applyAlignment="1">
      <alignment horizontal="center" vertical="center" wrapText="1"/>
    </xf>
    <xf numFmtId="0" fontId="13" fillId="10" borderId="80" xfId="0" applyFont="1" applyFill="1" applyBorder="1" applyAlignment="1">
      <alignment horizontal="center" vertical="center" wrapText="1"/>
    </xf>
    <xf numFmtId="0" fontId="13" fillId="10" borderId="77" xfId="0" applyFont="1" applyFill="1" applyBorder="1" applyAlignment="1">
      <alignment horizontal="center" vertical="center" wrapText="1"/>
    </xf>
    <xf numFmtId="0" fontId="13" fillId="10" borderId="81" xfId="0" applyFont="1" applyFill="1" applyBorder="1" applyAlignment="1">
      <alignment horizontal="center" vertical="center" wrapText="1"/>
    </xf>
    <xf numFmtId="166" fontId="1" fillId="0" borderId="79" xfId="0" applyNumberFormat="1" applyFont="1" applyBorder="1" applyAlignment="1">
      <alignment horizontal="center" vertical="center"/>
    </xf>
    <xf numFmtId="166" fontId="1" fillId="0" borderId="79" xfId="2" applyNumberFormat="1" applyFont="1" applyBorder="1" applyAlignment="1">
      <alignment horizontal="center" vertical="center"/>
    </xf>
    <xf numFmtId="0" fontId="13" fillId="10" borderId="76" xfId="0" applyFont="1" applyFill="1" applyBorder="1" applyAlignment="1">
      <alignment horizontal="center" vertical="center" wrapText="1"/>
    </xf>
    <xf numFmtId="0" fontId="2" fillId="4" borderId="2" xfId="0" applyFont="1" applyFill="1" applyBorder="1" applyAlignment="1">
      <alignment horizontal="center" vertical="center"/>
    </xf>
    <xf numFmtId="0" fontId="2" fillId="4" borderId="2" xfId="0" applyFont="1" applyFill="1" applyBorder="1" applyAlignment="1">
      <alignment horizontal="center" vertical="center" wrapText="1"/>
    </xf>
    <xf numFmtId="0" fontId="2" fillId="4" borderId="9" xfId="0" applyFont="1" applyFill="1" applyBorder="1" applyAlignment="1">
      <alignment horizontal="center" vertical="center"/>
    </xf>
    <xf numFmtId="0" fontId="2" fillId="4" borderId="74" xfId="0" applyFont="1" applyFill="1" applyBorder="1" applyAlignment="1">
      <alignment horizontal="center" vertical="center"/>
    </xf>
    <xf numFmtId="0" fontId="14" fillId="24" borderId="9" xfId="0" applyFont="1" applyFill="1" applyBorder="1" applyAlignment="1">
      <alignment horizontal="center" vertical="center"/>
    </xf>
    <xf numFmtId="0" fontId="14" fillId="24" borderId="73" xfId="0" applyFont="1" applyFill="1" applyBorder="1" applyAlignment="1">
      <alignment horizontal="center" vertical="center"/>
    </xf>
    <xf numFmtId="0" fontId="14" fillId="24" borderId="74"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0" xfId="0" applyFont="1" applyFill="1" applyAlignment="1">
      <alignment horizontal="center" vertical="center"/>
    </xf>
    <xf numFmtId="0" fontId="2" fillId="4" borderId="82" xfId="0" applyFont="1" applyFill="1" applyBorder="1" applyAlignment="1">
      <alignment horizontal="center" vertical="center"/>
    </xf>
    <xf numFmtId="0" fontId="2" fillId="18" borderId="7" xfId="0" applyFont="1" applyFill="1" applyBorder="1" applyAlignment="1">
      <alignment horizontal="center" vertical="center"/>
    </xf>
    <xf numFmtId="0" fontId="2" fillId="18" borderId="0" xfId="0" applyFont="1" applyFill="1" applyAlignment="1">
      <alignment horizontal="center" vertical="center"/>
    </xf>
    <xf numFmtId="0" fontId="2" fillId="18" borderId="82" xfId="0" applyFont="1" applyFill="1" applyBorder="1" applyAlignment="1">
      <alignment horizontal="center" vertical="center"/>
    </xf>
    <xf numFmtId="0" fontId="2" fillId="25" borderId="7" xfId="0" applyFont="1" applyFill="1" applyBorder="1" applyAlignment="1">
      <alignment horizontal="center" vertical="center"/>
    </xf>
    <xf numFmtId="0" fontId="2" fillId="25" borderId="0" xfId="0" applyFont="1" applyFill="1" applyAlignment="1">
      <alignment horizontal="center" vertical="center"/>
    </xf>
    <xf numFmtId="0" fontId="2" fillId="25" borderId="82" xfId="0" applyFont="1" applyFill="1" applyBorder="1" applyAlignment="1">
      <alignment horizontal="center" vertical="center"/>
    </xf>
    <xf numFmtId="0" fontId="1" fillId="26" borderId="7" xfId="0" applyFont="1" applyFill="1" applyBorder="1" applyAlignment="1">
      <alignment horizontal="center" vertical="center"/>
    </xf>
    <xf numFmtId="0" fontId="1" fillId="26" borderId="0" xfId="0" applyFont="1" applyFill="1" applyAlignment="1">
      <alignment horizontal="center" vertical="center"/>
    </xf>
    <xf numFmtId="0" fontId="1" fillId="26" borderId="82" xfId="0" applyFont="1" applyFill="1" applyBorder="1" applyAlignment="1">
      <alignment horizontal="center" vertical="center"/>
    </xf>
    <xf numFmtId="0" fontId="1" fillId="27" borderId="7" xfId="0" applyFont="1" applyFill="1" applyBorder="1" applyAlignment="1">
      <alignment horizontal="center" vertical="center"/>
    </xf>
    <xf numFmtId="0" fontId="1" fillId="27" borderId="0" xfId="0" applyFont="1" applyFill="1" applyAlignment="1">
      <alignment horizontal="center" vertical="center"/>
    </xf>
    <xf numFmtId="0" fontId="1" fillId="27" borderId="82" xfId="0" applyFont="1" applyFill="1" applyBorder="1" applyAlignment="1">
      <alignment horizontal="center" vertical="center"/>
    </xf>
    <xf numFmtId="0" fontId="1" fillId="23" borderId="7" xfId="0" applyFont="1" applyFill="1" applyBorder="1" applyAlignment="1">
      <alignment horizontal="center" vertical="center"/>
    </xf>
    <xf numFmtId="0" fontId="1" fillId="23" borderId="0" xfId="0" applyFont="1" applyFill="1" applyAlignment="1">
      <alignment horizontal="center" vertical="center"/>
    </xf>
    <xf numFmtId="0" fontId="1" fillId="23" borderId="82" xfId="0" applyFont="1" applyFill="1" applyBorder="1" applyAlignment="1">
      <alignment horizontal="center" vertical="center"/>
    </xf>
    <xf numFmtId="0" fontId="1" fillId="28" borderId="7" xfId="0" applyFont="1" applyFill="1" applyBorder="1" applyAlignment="1">
      <alignment horizontal="center" vertical="center"/>
    </xf>
    <xf numFmtId="0" fontId="1" fillId="28" borderId="0" xfId="0" applyFont="1" applyFill="1" applyAlignment="1">
      <alignment horizontal="center" vertical="center"/>
    </xf>
    <xf numFmtId="0" fontId="1" fillId="28" borderId="82" xfId="0" applyFont="1" applyFill="1" applyBorder="1" applyAlignment="1">
      <alignment horizontal="center" vertical="center"/>
    </xf>
    <xf numFmtId="0" fontId="6" fillId="29" borderId="7" xfId="0" applyFont="1" applyFill="1" applyBorder="1" applyAlignment="1">
      <alignment horizontal="center" vertical="center"/>
    </xf>
    <xf numFmtId="0" fontId="6" fillId="29" borderId="0" xfId="0" applyFont="1" applyFill="1" applyAlignment="1">
      <alignment horizontal="center" vertical="center"/>
    </xf>
    <xf numFmtId="0" fontId="6" fillId="29" borderId="82" xfId="0" applyFont="1" applyFill="1" applyBorder="1" applyAlignment="1">
      <alignment horizontal="center" vertical="center"/>
    </xf>
    <xf numFmtId="0" fontId="2" fillId="0" borderId="0" xfId="0" applyFont="1" applyAlignment="1">
      <alignment horizontal="center" vertical="center"/>
    </xf>
    <xf numFmtId="0" fontId="2" fillId="4" borderId="0" xfId="0" applyFont="1" applyFill="1" applyAlignment="1">
      <alignment horizontal="center" vertical="center"/>
    </xf>
    <xf numFmtId="0" fontId="2" fillId="5" borderId="1" xfId="0" applyFont="1" applyFill="1" applyBorder="1" applyAlignment="1">
      <alignment horizontal="center" vertical="center"/>
    </xf>
    <xf numFmtId="0" fontId="2" fillId="5" borderId="10" xfId="0" applyFont="1" applyFill="1" applyBorder="1" applyAlignment="1">
      <alignment horizontal="center" vertical="center"/>
    </xf>
    <xf numFmtId="0" fontId="2" fillId="5" borderId="11" xfId="0" applyFont="1" applyFill="1" applyBorder="1" applyAlignment="1">
      <alignment horizontal="center" vertical="center"/>
    </xf>
    <xf numFmtId="0" fontId="2" fillId="5" borderId="8" xfId="0" applyFont="1" applyFill="1" applyBorder="1" applyAlignment="1">
      <alignment horizontal="center" vertical="center"/>
    </xf>
    <xf numFmtId="0" fontId="2" fillId="5" borderId="1" xfId="0" applyFont="1" applyFill="1" applyBorder="1" applyAlignment="1">
      <alignment horizontal="center" vertical="center"/>
    </xf>
    <xf numFmtId="0" fontId="14" fillId="24" borderId="10" xfId="0" applyFont="1" applyFill="1" applyBorder="1" applyAlignment="1">
      <alignment horizontal="center" vertical="center"/>
    </xf>
    <xf numFmtId="0" fontId="14" fillId="24" borderId="11" xfId="0" applyFont="1" applyFill="1" applyBorder="1" applyAlignment="1">
      <alignment horizontal="center" vertical="center"/>
    </xf>
    <xf numFmtId="0" fontId="14" fillId="24" borderId="8" xfId="0" applyFont="1" applyFill="1" applyBorder="1" applyAlignment="1">
      <alignment horizontal="center" vertical="center"/>
    </xf>
    <xf numFmtId="0" fontId="2" fillId="5" borderId="26" xfId="0" applyFont="1" applyFill="1" applyBorder="1" applyAlignment="1">
      <alignment horizontal="center" vertical="center"/>
    </xf>
    <xf numFmtId="0" fontId="2" fillId="5" borderId="27" xfId="0" applyFont="1" applyFill="1" applyBorder="1" applyAlignment="1">
      <alignment horizontal="center" vertical="center"/>
    </xf>
    <xf numFmtId="0" fontId="2" fillId="5" borderId="28" xfId="0" applyFont="1" applyFill="1" applyBorder="1" applyAlignment="1">
      <alignment horizontal="center" vertical="center"/>
    </xf>
    <xf numFmtId="0" fontId="2" fillId="5" borderId="0" xfId="0" applyFont="1" applyFill="1" applyAlignment="1">
      <alignment horizontal="center" vertical="center"/>
    </xf>
    <xf numFmtId="0" fontId="2" fillId="4" borderId="1" xfId="0" applyFont="1" applyFill="1" applyBorder="1" applyAlignment="1">
      <alignment horizontal="center" vertical="center"/>
    </xf>
    <xf numFmtId="0" fontId="2" fillId="4" borderId="1" xfId="0" applyFont="1" applyFill="1" applyBorder="1" applyAlignment="1">
      <alignment horizontal="center" vertical="center" wrapText="1"/>
    </xf>
    <xf numFmtId="0" fontId="14" fillId="24" borderId="1" xfId="0" applyFont="1" applyFill="1" applyBorder="1" applyAlignment="1">
      <alignment horizontal="center" vertical="center"/>
    </xf>
    <xf numFmtId="0" fontId="14" fillId="24" borderId="10" xfId="0" applyFont="1" applyFill="1" applyBorder="1" applyAlignment="1">
      <alignment horizontal="center" vertical="center"/>
    </xf>
    <xf numFmtId="0" fontId="2" fillId="4" borderId="55" xfId="0" applyFont="1" applyFill="1" applyBorder="1" applyAlignment="1">
      <alignment horizontal="center" vertical="center"/>
    </xf>
    <xf numFmtId="0" fontId="2" fillId="4" borderId="83" xfId="0" applyFont="1" applyFill="1" applyBorder="1" applyAlignment="1">
      <alignment horizontal="center" vertical="center"/>
    </xf>
    <xf numFmtId="0" fontId="2" fillId="4" borderId="31"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4" xfId="0" applyFont="1" applyFill="1" applyBorder="1" applyAlignment="1">
      <alignment horizontal="center"/>
    </xf>
    <xf numFmtId="0" fontId="2" fillId="4" borderId="41" xfId="0" applyFont="1" applyFill="1" applyBorder="1" applyAlignment="1">
      <alignment horizontal="center" vertical="center"/>
    </xf>
    <xf numFmtId="0" fontId="1" fillId="2" borderId="84" xfId="0" applyFont="1" applyFill="1" applyBorder="1" applyAlignment="1">
      <alignment horizontal="center" vertical="center"/>
    </xf>
    <xf numFmtId="0" fontId="1" fillId="2" borderId="4" xfId="0" applyFont="1" applyFill="1" applyBorder="1" applyAlignment="1">
      <alignment horizontal="left" vertical="center"/>
    </xf>
    <xf numFmtId="0" fontId="1" fillId="2" borderId="4" xfId="0" applyFont="1" applyFill="1" applyBorder="1" applyAlignment="1">
      <alignment vertical="center" wrapText="1"/>
    </xf>
    <xf numFmtId="165" fontId="1" fillId="2" borderId="4" xfId="3" applyFont="1" applyFill="1" applyBorder="1" applyAlignment="1">
      <alignment horizontal="center" vertical="center"/>
    </xf>
    <xf numFmtId="165" fontId="1" fillId="2" borderId="4" xfId="0" applyNumberFormat="1" applyFont="1" applyFill="1" applyBorder="1" applyAlignment="1">
      <alignment horizontal="center" vertical="center"/>
    </xf>
    <xf numFmtId="0" fontId="1" fillId="24" borderId="4" xfId="0" applyFont="1" applyFill="1" applyBorder="1" applyAlignment="1">
      <alignment horizontal="center" vertical="center"/>
    </xf>
    <xf numFmtId="2" fontId="1" fillId="24" borderId="1" xfId="0" applyNumberFormat="1" applyFont="1" applyFill="1" applyBorder="1" applyAlignment="1">
      <alignment horizontal="center" vertical="center"/>
    </xf>
    <xf numFmtId="0" fontId="1" fillId="24" borderId="1" xfId="0" applyFont="1" applyFill="1" applyBorder="1" applyAlignment="1">
      <alignment horizontal="center" vertical="center" wrapText="1"/>
    </xf>
    <xf numFmtId="0" fontId="1" fillId="24" borderId="1" xfId="0" applyFont="1" applyFill="1" applyBorder="1" applyAlignment="1">
      <alignment horizontal="center" vertical="center"/>
    </xf>
    <xf numFmtId="0" fontId="1" fillId="24" borderId="10" xfId="0" applyFont="1" applyFill="1" applyBorder="1" applyAlignment="1">
      <alignment horizontal="center" vertical="center" wrapText="1"/>
    </xf>
    <xf numFmtId="0" fontId="1" fillId="2" borderId="31" xfId="0" applyFont="1" applyFill="1" applyBorder="1" applyAlignment="1">
      <alignment horizontal="center" vertical="center"/>
    </xf>
    <xf numFmtId="0" fontId="1" fillId="2" borderId="41" xfId="0" applyFont="1" applyFill="1" applyBorder="1" applyAlignment="1">
      <alignment horizontal="center" vertical="center" wrapText="1"/>
    </xf>
    <xf numFmtId="0" fontId="25" fillId="2" borderId="55" xfId="0" applyFont="1" applyFill="1" applyBorder="1" applyAlignment="1">
      <alignment horizontal="center" vertical="center"/>
    </xf>
    <xf numFmtId="0" fontId="1" fillId="2" borderId="83" xfId="0" applyFont="1" applyFill="1" applyBorder="1" applyAlignment="1">
      <alignment horizontal="center" vertical="center" wrapText="1"/>
    </xf>
    <xf numFmtId="0" fontId="1" fillId="2" borderId="41" xfId="0" applyFont="1" applyFill="1" applyBorder="1" applyAlignment="1">
      <alignment horizontal="center" vertical="center" wrapText="1"/>
    </xf>
    <xf numFmtId="0" fontId="1" fillId="2" borderId="61" xfId="0" applyFont="1" applyFill="1" applyBorder="1" applyAlignment="1">
      <alignment horizontal="center" vertical="center"/>
    </xf>
    <xf numFmtId="0" fontId="1" fillId="2" borderId="85" xfId="0" applyFont="1" applyFill="1" applyBorder="1" applyAlignment="1">
      <alignment horizontal="center" vertical="center"/>
    </xf>
    <xf numFmtId="9" fontId="1" fillId="2" borderId="85" xfId="2" applyFont="1" applyFill="1" applyBorder="1" applyAlignment="1">
      <alignment horizontal="center" vertical="center"/>
    </xf>
    <xf numFmtId="0" fontId="14" fillId="2" borderId="42" xfId="0" applyFont="1" applyFill="1" applyBorder="1" applyAlignment="1">
      <alignment horizontal="center" vertical="center"/>
    </xf>
    <xf numFmtId="0" fontId="1" fillId="2" borderId="86" xfId="0" applyFont="1" applyFill="1" applyBorder="1" applyAlignment="1">
      <alignment horizontal="center" vertical="center"/>
    </xf>
    <xf numFmtId="9" fontId="1" fillId="2" borderId="86" xfId="2" applyFont="1" applyFill="1" applyBorder="1" applyAlignment="1">
      <alignment horizontal="center" vertical="center"/>
    </xf>
    <xf numFmtId="0" fontId="1" fillId="2" borderId="0" xfId="0" applyFont="1" applyFill="1" applyAlignment="1">
      <alignment horizontal="center" vertical="center"/>
    </xf>
    <xf numFmtId="0" fontId="1" fillId="2" borderId="2" xfId="0" applyFont="1" applyFill="1" applyBorder="1" applyAlignment="1">
      <alignment horizontal="left" vertical="center"/>
    </xf>
    <xf numFmtId="0" fontId="1" fillId="2" borderId="2" xfId="0" applyFont="1" applyFill="1" applyBorder="1" applyAlignment="1">
      <alignment vertical="center" wrapText="1"/>
    </xf>
    <xf numFmtId="165" fontId="1" fillId="2" borderId="5" xfId="3" applyFont="1" applyFill="1" applyBorder="1" applyAlignment="1">
      <alignment horizontal="center" vertical="center"/>
    </xf>
    <xf numFmtId="168" fontId="1" fillId="2" borderId="5" xfId="0" applyNumberFormat="1" applyFont="1" applyFill="1" applyBorder="1" applyAlignment="1">
      <alignment horizontal="center" vertical="center"/>
    </xf>
    <xf numFmtId="0" fontId="1" fillId="24" borderId="10" xfId="0" applyFont="1" applyFill="1" applyBorder="1" applyAlignment="1">
      <alignment horizontal="center" vertical="center"/>
    </xf>
    <xf numFmtId="0" fontId="1" fillId="2" borderId="87" xfId="0" applyFont="1" applyFill="1" applyBorder="1" applyAlignment="1">
      <alignment horizontal="center" vertical="center"/>
    </xf>
    <xf numFmtId="0" fontId="1" fillId="2" borderId="88" xfId="0" applyFont="1" applyFill="1" applyBorder="1" applyAlignment="1">
      <alignment horizontal="center" vertical="center" wrapText="1"/>
    </xf>
    <xf numFmtId="0" fontId="1" fillId="2" borderId="55" xfId="0" applyFont="1" applyFill="1" applyBorder="1" applyAlignment="1">
      <alignment horizontal="center" vertical="center"/>
    </xf>
    <xf numFmtId="0" fontId="14" fillId="2" borderId="55" xfId="0" applyFont="1" applyFill="1" applyBorder="1" applyAlignment="1">
      <alignment horizontal="center" vertical="center"/>
    </xf>
    <xf numFmtId="9" fontId="1" fillId="24" borderId="1" xfId="0" applyNumberFormat="1" applyFont="1" applyFill="1" applyBorder="1" applyAlignment="1">
      <alignment horizontal="center" vertical="center"/>
    </xf>
    <xf numFmtId="9" fontId="1" fillId="3" borderId="55" xfId="0" applyNumberFormat="1" applyFont="1" applyFill="1" applyBorder="1" applyAlignment="1">
      <alignment horizontal="center" vertical="center"/>
    </xf>
    <xf numFmtId="0" fontId="1" fillId="3" borderId="83" xfId="0" applyFont="1" applyFill="1" applyBorder="1" applyAlignment="1">
      <alignment horizontal="center" vertical="center"/>
    </xf>
    <xf numFmtId="0" fontId="1" fillId="3" borderId="55" xfId="0" applyFont="1" applyFill="1" applyBorder="1" applyAlignment="1">
      <alignment horizontal="center" vertical="center"/>
    </xf>
    <xf numFmtId="9" fontId="1" fillId="3" borderId="1" xfId="2" applyFont="1" applyFill="1" applyBorder="1" applyAlignment="1">
      <alignment horizontal="center"/>
    </xf>
    <xf numFmtId="0" fontId="1" fillId="3" borderId="83" xfId="0" applyFont="1" applyFill="1" applyBorder="1" applyAlignment="1">
      <alignment horizontal="center" vertical="center" wrapText="1"/>
    </xf>
    <xf numFmtId="166" fontId="1" fillId="3" borderId="55" xfId="0" applyNumberFormat="1" applyFont="1" applyFill="1" applyBorder="1" applyAlignment="1">
      <alignment horizontal="center" vertical="center"/>
    </xf>
    <xf numFmtId="10" fontId="1" fillId="3" borderId="55" xfId="0" applyNumberFormat="1" applyFont="1" applyFill="1" applyBorder="1" applyAlignment="1">
      <alignment horizontal="center" vertical="center"/>
    </xf>
    <xf numFmtId="0" fontId="1" fillId="2" borderId="5" xfId="0" applyFont="1" applyFill="1" applyBorder="1" applyAlignment="1">
      <alignment vertical="center" wrapText="1"/>
    </xf>
    <xf numFmtId="0" fontId="1" fillId="24" borderId="5" xfId="0" applyFont="1" applyFill="1" applyBorder="1" applyAlignment="1">
      <alignment horizontal="center" vertical="center"/>
    </xf>
    <xf numFmtId="0" fontId="1" fillId="2" borderId="89" xfId="0" applyFont="1" applyFill="1" applyBorder="1" applyAlignment="1">
      <alignment horizontal="center" vertical="center"/>
    </xf>
    <xf numFmtId="0" fontId="1" fillId="2" borderId="83" xfId="0" applyFont="1" applyFill="1" applyBorder="1" applyAlignment="1">
      <alignment horizontal="center" vertical="center"/>
    </xf>
    <xf numFmtId="9" fontId="1" fillId="2" borderId="1" xfId="2" applyFont="1" applyFill="1" applyBorder="1" applyAlignment="1">
      <alignment horizontal="center"/>
    </xf>
    <xf numFmtId="9" fontId="1" fillId="2" borderId="89" xfId="0" applyNumberFormat="1" applyFont="1" applyFill="1" applyBorder="1" applyAlignment="1">
      <alignment horizontal="center" vertical="center"/>
    </xf>
    <xf numFmtId="0" fontId="1" fillId="2" borderId="41" xfId="0" applyFont="1" applyFill="1" applyBorder="1" applyAlignment="1">
      <alignment horizontal="center" vertical="center"/>
    </xf>
    <xf numFmtId="0" fontId="1" fillId="2" borderId="90" xfId="0" applyFont="1" applyFill="1" applyBorder="1" applyAlignment="1">
      <alignment horizontal="center" vertical="center"/>
    </xf>
    <xf numFmtId="9" fontId="1" fillId="2" borderId="4" xfId="2" applyFont="1" applyFill="1" applyBorder="1" applyAlignment="1">
      <alignment horizontal="center"/>
    </xf>
    <xf numFmtId="0" fontId="1" fillId="3" borderId="4" xfId="0" applyFont="1" applyFill="1" applyBorder="1" applyAlignment="1">
      <alignment horizontal="left" vertical="center"/>
    </xf>
    <xf numFmtId="0" fontId="1" fillId="3" borderId="4" xfId="0" applyFont="1" applyFill="1" applyBorder="1" applyAlignment="1">
      <alignment vertical="center" wrapText="1"/>
    </xf>
    <xf numFmtId="0" fontId="1" fillId="3" borderId="89" xfId="0" applyFont="1" applyFill="1" applyBorder="1" applyAlignment="1">
      <alignment horizontal="center" vertical="center"/>
    </xf>
    <xf numFmtId="9" fontId="1" fillId="3" borderId="4" xfId="2" applyFont="1" applyFill="1" applyBorder="1" applyAlignment="1">
      <alignment horizontal="center" vertical="center"/>
    </xf>
    <xf numFmtId="0" fontId="1" fillId="3" borderId="41" xfId="0" applyFont="1" applyFill="1" applyBorder="1" applyAlignment="1">
      <alignment horizontal="center" vertical="center" wrapText="1"/>
    </xf>
    <xf numFmtId="0" fontId="1" fillId="2" borderId="90" xfId="0" applyFont="1" applyFill="1" applyBorder="1" applyAlignment="1">
      <alignment horizontal="center" vertical="center" wrapText="1"/>
    </xf>
    <xf numFmtId="9" fontId="1" fillId="2" borderId="5" xfId="2" applyFont="1" applyFill="1" applyBorder="1" applyAlignment="1">
      <alignment horizontal="center" vertical="center"/>
    </xf>
    <xf numFmtId="0" fontId="14" fillId="3" borderId="89" xfId="0" applyFont="1" applyFill="1" applyBorder="1" applyAlignment="1">
      <alignment horizontal="center" vertical="center"/>
    </xf>
    <xf numFmtId="0" fontId="14" fillId="3" borderId="5" xfId="0" applyFont="1" applyFill="1" applyBorder="1" applyAlignment="1">
      <alignment horizontal="center" vertical="center"/>
    </xf>
    <xf numFmtId="9" fontId="14" fillId="3" borderId="4" xfId="2" applyFont="1" applyFill="1" applyBorder="1" applyAlignment="1">
      <alignment horizontal="center" vertical="center"/>
    </xf>
    <xf numFmtId="0" fontId="14" fillId="3" borderId="41" xfId="0" applyFont="1" applyFill="1" applyBorder="1" applyAlignment="1">
      <alignment horizontal="center" vertical="center" wrapText="1"/>
    </xf>
    <xf numFmtId="0" fontId="14" fillId="2" borderId="89" xfId="0" applyFont="1" applyFill="1" applyBorder="1" applyAlignment="1">
      <alignment horizontal="center" vertical="center"/>
    </xf>
    <xf numFmtId="0" fontId="14" fillId="2" borderId="5" xfId="0" applyFont="1" applyFill="1" applyBorder="1" applyAlignment="1">
      <alignment horizontal="center" vertical="center"/>
    </xf>
    <xf numFmtId="9" fontId="14" fillId="2" borderId="5" xfId="2" applyFont="1" applyFill="1" applyBorder="1" applyAlignment="1">
      <alignment horizontal="center" vertical="center"/>
    </xf>
    <xf numFmtId="0" fontId="19" fillId="3" borderId="89" xfId="0" applyFont="1" applyFill="1" applyBorder="1" applyAlignment="1">
      <alignment horizontal="center" vertical="center"/>
    </xf>
    <xf numFmtId="0" fontId="1" fillId="3" borderId="2" xfId="0" applyFont="1" applyFill="1" applyBorder="1" applyAlignment="1">
      <alignment vertical="center" wrapText="1"/>
    </xf>
    <xf numFmtId="9" fontId="1" fillId="3" borderId="2" xfId="2" applyFont="1" applyFill="1" applyBorder="1" applyAlignment="1">
      <alignment horizontal="center" vertical="center"/>
    </xf>
    <xf numFmtId="0" fontId="1" fillId="3" borderId="88" xfId="0" applyFont="1" applyFill="1" applyBorder="1" applyAlignment="1">
      <alignment horizontal="center" vertical="center" wrapText="1"/>
    </xf>
    <xf numFmtId="0" fontId="14" fillId="3" borderId="55" xfId="0" applyFont="1" applyFill="1" applyBorder="1" applyAlignment="1">
      <alignment horizontal="center" vertical="center"/>
    </xf>
    <xf numFmtId="9" fontId="14" fillId="3" borderId="2" xfId="2" applyFont="1" applyFill="1" applyBorder="1" applyAlignment="1">
      <alignment horizontal="center" vertical="center"/>
    </xf>
    <xf numFmtId="0" fontId="14" fillId="3" borderId="88" xfId="0" applyFont="1" applyFill="1" applyBorder="1" applyAlignment="1">
      <alignment horizontal="center" vertical="center" wrapText="1"/>
    </xf>
    <xf numFmtId="0" fontId="14" fillId="3" borderId="1" xfId="0" applyFont="1" applyFill="1" applyBorder="1" applyAlignment="1">
      <alignment horizontal="center" vertical="center"/>
    </xf>
    <xf numFmtId="9" fontId="14" fillId="3" borderId="1" xfId="0" applyNumberFormat="1" applyFont="1" applyFill="1" applyBorder="1" applyAlignment="1">
      <alignment horizontal="center" vertical="center"/>
    </xf>
    <xf numFmtId="0" fontId="14" fillId="3" borderId="83" xfId="0" applyFont="1" applyFill="1" applyBorder="1" applyAlignment="1">
      <alignment horizontal="center" vertical="center" wrapText="1"/>
    </xf>
    <xf numFmtId="0" fontId="19" fillId="3" borderId="55" xfId="0" applyFont="1" applyFill="1" applyBorder="1" applyAlignment="1">
      <alignment horizontal="center" vertical="center"/>
    </xf>
    <xf numFmtId="9" fontId="1" fillId="24" borderId="5" xfId="0" applyNumberFormat="1" applyFont="1" applyFill="1" applyBorder="1" applyAlignment="1">
      <alignment horizontal="center" vertical="center"/>
    </xf>
    <xf numFmtId="9" fontId="1" fillId="2" borderId="5" xfId="0" applyNumberFormat="1" applyFont="1" applyFill="1" applyBorder="1" applyAlignment="1">
      <alignment horizontal="center" vertical="center"/>
    </xf>
    <xf numFmtId="0" fontId="19" fillId="2" borderId="89" xfId="0" applyFont="1" applyFill="1" applyBorder="1" applyAlignment="1">
      <alignment horizontal="center" vertical="center"/>
    </xf>
    <xf numFmtId="9" fontId="1" fillId="3" borderId="4" xfId="2" applyFont="1" applyFill="1" applyBorder="1" applyAlignment="1">
      <alignment horizontal="center" vertical="center"/>
    </xf>
    <xf numFmtId="0" fontId="1" fillId="2" borderId="2" xfId="0" applyFont="1" applyFill="1" applyBorder="1" applyAlignment="1">
      <alignment vertical="center"/>
    </xf>
    <xf numFmtId="9" fontId="1" fillId="2" borderId="2" xfId="2" applyFont="1" applyFill="1" applyBorder="1" applyAlignment="1">
      <alignment horizontal="center" vertical="center"/>
    </xf>
    <xf numFmtId="0" fontId="1" fillId="24" borderId="2" xfId="0" applyFont="1" applyFill="1" applyBorder="1" applyAlignment="1">
      <alignment horizontal="center" vertical="center"/>
    </xf>
    <xf numFmtId="9" fontId="1" fillId="24" borderId="2" xfId="2" applyFont="1" applyFill="1" applyBorder="1" applyAlignment="1">
      <alignment horizontal="center" vertical="center"/>
    </xf>
    <xf numFmtId="0" fontId="1" fillId="2" borderId="87" xfId="0" applyFont="1" applyFill="1" applyBorder="1" applyAlignment="1">
      <alignment horizontal="center" vertical="center"/>
    </xf>
    <xf numFmtId="0" fontId="1" fillId="3" borderId="4" xfId="0" applyFont="1" applyFill="1" applyBorder="1" applyAlignment="1">
      <alignment vertical="center"/>
    </xf>
    <xf numFmtId="9" fontId="1" fillId="24" borderId="4" xfId="2" applyFont="1" applyFill="1" applyBorder="1" applyAlignment="1">
      <alignment horizontal="center" vertical="center"/>
    </xf>
    <xf numFmtId="0" fontId="1" fillId="3" borderId="31" xfId="0" applyFont="1" applyFill="1" applyBorder="1" applyAlignment="1">
      <alignment horizontal="center" vertical="center"/>
    </xf>
    <xf numFmtId="9" fontId="1" fillId="2" borderId="2" xfId="2" applyFont="1" applyFill="1" applyBorder="1" applyAlignment="1">
      <alignment horizontal="left" vertical="center"/>
    </xf>
    <xf numFmtId="165" fontId="1" fillId="2" borderId="2" xfId="3" applyFont="1" applyFill="1" applyBorder="1" applyAlignment="1">
      <alignment horizontal="center" vertical="center"/>
    </xf>
    <xf numFmtId="0" fontId="1" fillId="2" borderId="31" xfId="0" applyFont="1" applyFill="1" applyBorder="1" applyAlignment="1">
      <alignment horizontal="center" vertical="center"/>
    </xf>
    <xf numFmtId="0" fontId="1" fillId="24" borderId="1" xfId="0" applyFont="1" applyFill="1" applyBorder="1" applyAlignment="1">
      <alignment horizontal="left" vertical="center"/>
    </xf>
    <xf numFmtId="0" fontId="1" fillId="24" borderId="1" xfId="0" applyFont="1" applyFill="1" applyBorder="1" applyAlignment="1">
      <alignment horizontal="left" vertical="center" wrapText="1"/>
    </xf>
    <xf numFmtId="0" fontId="1" fillId="24" borderId="10" xfId="0" applyFont="1" applyFill="1" applyBorder="1" applyAlignment="1">
      <alignment horizontal="left" vertical="center" wrapText="1"/>
    </xf>
    <xf numFmtId="9" fontId="1" fillId="3" borderId="1" xfId="2" applyFont="1" applyFill="1" applyBorder="1" applyAlignment="1">
      <alignment horizontal="left" vertical="center"/>
    </xf>
    <xf numFmtId="0" fontId="1" fillId="3" borderId="83" xfId="0" applyFont="1" applyFill="1" applyBorder="1" applyAlignment="1">
      <alignment horizontal="left" vertical="center" wrapText="1"/>
    </xf>
    <xf numFmtId="0" fontId="1" fillId="3" borderId="31" xfId="0" applyFont="1" applyFill="1" applyBorder="1" applyAlignment="1">
      <alignment horizontal="center" vertical="center"/>
    </xf>
    <xf numFmtId="166" fontId="1" fillId="3" borderId="1" xfId="2" applyNumberFormat="1" applyFont="1" applyFill="1" applyBorder="1" applyAlignment="1">
      <alignment horizontal="center" vertical="center"/>
    </xf>
    <xf numFmtId="0" fontId="1" fillId="3" borderId="10" xfId="0" applyFont="1" applyFill="1" applyBorder="1" applyAlignment="1">
      <alignment horizontal="justify" vertical="center" wrapText="1"/>
    </xf>
    <xf numFmtId="9" fontId="1" fillId="3" borderId="3" xfId="2" applyFont="1" applyFill="1" applyBorder="1" applyAlignment="1">
      <alignment horizontal="center" vertical="center"/>
    </xf>
    <xf numFmtId="0" fontId="1" fillId="3" borderId="3" xfId="0" applyFont="1" applyFill="1" applyBorder="1" applyAlignment="1">
      <alignment horizontal="left" vertical="center" wrapText="1"/>
    </xf>
    <xf numFmtId="0" fontId="14" fillId="3" borderId="3" xfId="0" applyFont="1" applyFill="1" applyBorder="1" applyAlignment="1">
      <alignment horizontal="left" vertical="center" wrapText="1"/>
    </xf>
    <xf numFmtId="1" fontId="14" fillId="3" borderId="3" xfId="0" applyNumberFormat="1" applyFont="1" applyFill="1" applyBorder="1" applyAlignment="1">
      <alignment horizontal="center" vertical="center" wrapText="1"/>
    </xf>
    <xf numFmtId="9" fontId="14" fillId="3" borderId="3" xfId="0" applyNumberFormat="1" applyFont="1" applyFill="1" applyBorder="1" applyAlignment="1">
      <alignment horizontal="center" vertical="center"/>
    </xf>
    <xf numFmtId="169" fontId="14" fillId="3" borderId="3" xfId="10" applyFont="1" applyFill="1" applyBorder="1" applyAlignment="1">
      <alignment horizontal="center" vertical="center"/>
    </xf>
    <xf numFmtId="0" fontId="14" fillId="3" borderId="3" xfId="0" applyFont="1" applyFill="1" applyBorder="1" applyAlignment="1">
      <alignment horizontal="left" vertical="center" wrapText="1"/>
    </xf>
    <xf numFmtId="9" fontId="14" fillId="3" borderId="3" xfId="10" applyNumberFormat="1" applyFont="1" applyFill="1" applyBorder="1" applyAlignment="1">
      <alignment horizontal="center" vertical="center"/>
    </xf>
    <xf numFmtId="0" fontId="1" fillId="24" borderId="10" xfId="0" applyFont="1" applyFill="1" applyBorder="1" applyAlignment="1">
      <alignment horizontal="left" vertical="center"/>
    </xf>
    <xf numFmtId="0" fontId="1" fillId="3" borderId="83" xfId="0" applyFont="1" applyFill="1" applyBorder="1" applyAlignment="1">
      <alignment horizontal="left" vertical="center"/>
    </xf>
    <xf numFmtId="0" fontId="1" fillId="3" borderId="87" xfId="0" applyFont="1" applyFill="1" applyBorder="1" applyAlignment="1">
      <alignment horizontal="center" vertical="center"/>
    </xf>
    <xf numFmtId="0" fontId="1" fillId="3" borderId="10" xfId="0" applyFont="1" applyFill="1" applyBorder="1" applyAlignment="1">
      <alignment horizontal="left" vertical="center" wrapText="1"/>
    </xf>
    <xf numFmtId="0" fontId="1" fillId="3" borderId="3" xfId="0" applyFont="1" applyFill="1" applyBorder="1" applyAlignment="1">
      <alignment horizontal="left" vertical="center"/>
    </xf>
    <xf numFmtId="1" fontId="14" fillId="3" borderId="3" xfId="0" applyNumberFormat="1" applyFont="1" applyFill="1" applyBorder="1" applyAlignment="1">
      <alignment horizontal="center" vertical="center"/>
    </xf>
    <xf numFmtId="0" fontId="14" fillId="3" borderId="3" xfId="0" applyFont="1" applyFill="1" applyBorder="1" applyAlignment="1">
      <alignment horizontal="center" vertical="center"/>
    </xf>
    <xf numFmtId="0" fontId="14" fillId="3" borderId="3" xfId="0" applyFont="1" applyFill="1" applyBorder="1" applyAlignment="1">
      <alignment horizontal="left" vertical="center"/>
    </xf>
    <xf numFmtId="0" fontId="14" fillId="3" borderId="10" xfId="0" applyFont="1" applyFill="1" applyBorder="1" applyAlignment="1">
      <alignment horizontal="left" vertical="center" wrapText="1"/>
    </xf>
    <xf numFmtId="0" fontId="1" fillId="24" borderId="2" xfId="0" applyFont="1" applyFill="1" applyBorder="1" applyAlignment="1">
      <alignment vertical="center"/>
    </xf>
    <xf numFmtId="0" fontId="1" fillId="24" borderId="9" xfId="0" applyFont="1" applyFill="1" applyBorder="1" applyAlignment="1">
      <alignment vertical="center"/>
    </xf>
    <xf numFmtId="9" fontId="1" fillId="2" borderId="2" xfId="2" applyFont="1" applyFill="1" applyBorder="1" applyAlignment="1">
      <alignment vertical="center"/>
    </xf>
    <xf numFmtId="0" fontId="1" fillId="2" borderId="88" xfId="0" applyFont="1" applyFill="1" applyBorder="1" applyAlignment="1">
      <alignment vertical="center" wrapText="1"/>
    </xf>
    <xf numFmtId="0" fontId="1" fillId="2" borderId="87" xfId="0" applyFont="1" applyFill="1" applyBorder="1" applyAlignment="1">
      <alignment vertical="center"/>
    </xf>
    <xf numFmtId="0" fontId="1" fillId="2" borderId="88" xfId="0" applyFont="1" applyFill="1" applyBorder="1" applyAlignment="1">
      <alignment vertical="center"/>
    </xf>
    <xf numFmtId="9" fontId="1" fillId="24" borderId="4" xfId="0" applyNumberFormat="1" applyFont="1" applyFill="1" applyBorder="1" applyAlignment="1">
      <alignment vertical="center"/>
    </xf>
    <xf numFmtId="0" fontId="1" fillId="24" borderId="4" xfId="0" applyFont="1" applyFill="1" applyBorder="1" applyAlignment="1">
      <alignment vertical="center"/>
    </xf>
    <xf numFmtId="0" fontId="1" fillId="24" borderId="4" xfId="0" applyFont="1" applyFill="1" applyBorder="1" applyAlignment="1">
      <alignment vertical="center" wrapText="1"/>
    </xf>
    <xf numFmtId="0" fontId="1" fillId="24" borderId="6" xfId="0" applyFont="1" applyFill="1" applyBorder="1" applyAlignment="1">
      <alignment vertical="center" wrapText="1"/>
    </xf>
    <xf numFmtId="9" fontId="1" fillId="3" borderId="4" xfId="0" applyNumberFormat="1" applyFont="1" applyFill="1" applyBorder="1" applyAlignment="1">
      <alignment vertical="center"/>
    </xf>
    <xf numFmtId="9" fontId="1" fillId="3" borderId="4" xfId="2" applyFont="1" applyFill="1" applyBorder="1" applyAlignment="1">
      <alignment vertical="center"/>
    </xf>
    <xf numFmtId="0" fontId="1" fillId="3" borderId="41" xfId="0" applyFont="1" applyFill="1" applyBorder="1" applyAlignment="1">
      <alignment vertical="center" wrapText="1"/>
    </xf>
    <xf numFmtId="0" fontId="1" fillId="3" borderId="31" xfId="0" applyFont="1" applyFill="1" applyBorder="1" applyAlignment="1">
      <alignment vertical="center"/>
    </xf>
    <xf numFmtId="9" fontId="1" fillId="3" borderId="4" xfId="0" applyNumberFormat="1" applyFont="1" applyFill="1" applyBorder="1" applyAlignment="1">
      <alignment horizontal="center" vertical="center"/>
    </xf>
    <xf numFmtId="0" fontId="14" fillId="3" borderId="4" xfId="0" applyFont="1" applyFill="1" applyBorder="1" applyAlignment="1">
      <alignment vertical="center" wrapText="1"/>
    </xf>
    <xf numFmtId="9" fontId="1" fillId="3" borderId="4" xfId="2" applyFont="1" applyFill="1" applyBorder="1"/>
    <xf numFmtId="0" fontId="19" fillId="30" borderId="31" xfId="0" applyFont="1" applyFill="1" applyBorder="1" applyAlignment="1">
      <alignment horizontal="center" vertical="center"/>
    </xf>
    <xf numFmtId="9" fontId="19" fillId="30" borderId="4" xfId="0" applyNumberFormat="1" applyFont="1" applyFill="1" applyBorder="1" applyAlignment="1">
      <alignment horizontal="center" vertical="center"/>
    </xf>
    <xf numFmtId="9" fontId="19" fillId="30" borderId="4" xfId="2" applyFont="1" applyFill="1" applyBorder="1" applyAlignment="1">
      <alignment horizontal="center" vertical="center"/>
    </xf>
    <xf numFmtId="0" fontId="19" fillId="30" borderId="4" xfId="0" applyFont="1" applyFill="1" applyBorder="1" applyAlignment="1">
      <alignment vertical="center" wrapText="1"/>
    </xf>
    <xf numFmtId="9" fontId="14" fillId="30" borderId="31" xfId="0" applyNumberFormat="1" applyFont="1" applyFill="1" applyBorder="1" applyAlignment="1">
      <alignment horizontal="center" vertical="center"/>
    </xf>
    <xf numFmtId="9" fontId="14" fillId="30" borderId="4" xfId="0" applyNumberFormat="1" applyFont="1" applyFill="1" applyBorder="1" applyAlignment="1">
      <alignment horizontal="center" vertical="center"/>
    </xf>
    <xf numFmtId="9" fontId="14" fillId="30" borderId="4" xfId="2" applyFont="1" applyFill="1" applyBorder="1" applyAlignment="1">
      <alignment horizontal="center" vertical="center"/>
    </xf>
    <xf numFmtId="0" fontId="14" fillId="30" borderId="4" xfId="0" applyFont="1" applyFill="1" applyBorder="1" applyAlignment="1">
      <alignment vertical="center" wrapText="1"/>
    </xf>
    <xf numFmtId="9" fontId="1" fillId="24" borderId="1" xfId="0" applyNumberFormat="1" applyFont="1" applyFill="1" applyBorder="1" applyAlignment="1">
      <alignment horizontal="left" vertical="center"/>
    </xf>
    <xf numFmtId="9" fontId="1" fillId="2" borderId="55" xfId="0" applyNumberFormat="1" applyFont="1" applyFill="1" applyBorder="1" applyAlignment="1">
      <alignment horizontal="center" vertical="center"/>
    </xf>
    <xf numFmtId="0" fontId="1" fillId="2" borderId="83" xfId="0" applyFont="1" applyFill="1" applyBorder="1" applyAlignment="1">
      <alignment horizontal="left" vertical="center" wrapText="1"/>
    </xf>
    <xf numFmtId="0" fontId="1" fillId="2" borderId="55" xfId="0" applyFont="1" applyFill="1" applyBorder="1" applyAlignment="1">
      <alignment horizontal="left" vertical="center"/>
    </xf>
    <xf numFmtId="9" fontId="14" fillId="2" borderId="1" xfId="0" applyNumberFormat="1" applyFont="1" applyFill="1" applyBorder="1" applyAlignment="1">
      <alignment horizontal="center" vertical="center" wrapText="1"/>
    </xf>
    <xf numFmtId="9" fontId="14" fillId="2" borderId="1" xfId="0" applyNumberFormat="1" applyFont="1" applyFill="1" applyBorder="1" applyAlignment="1">
      <alignment horizontal="center" vertical="center"/>
    </xf>
    <xf numFmtId="9" fontId="14" fillId="2" borderId="1" xfId="2" applyFont="1" applyFill="1" applyBorder="1" applyAlignment="1">
      <alignment horizontal="center"/>
    </xf>
    <xf numFmtId="0" fontId="14" fillId="2" borderId="1" xfId="0" applyFont="1" applyFill="1" applyBorder="1" applyAlignment="1">
      <alignment horizontal="left" vertical="center" wrapText="1"/>
    </xf>
    <xf numFmtId="0" fontId="1" fillId="3" borderId="55" xfId="0" applyFont="1" applyFill="1" applyBorder="1" applyAlignment="1">
      <alignment horizontal="left" vertical="center"/>
    </xf>
    <xf numFmtId="0" fontId="14" fillId="3" borderId="1" xfId="0" applyFont="1" applyFill="1" applyBorder="1" applyAlignment="1">
      <alignment horizontal="left" vertical="center" wrapText="1"/>
    </xf>
    <xf numFmtId="1" fontId="1" fillId="3" borderId="1" xfId="0" applyNumberFormat="1" applyFont="1" applyFill="1" applyBorder="1" applyAlignment="1">
      <alignment horizontal="center" vertical="center" wrapText="1"/>
    </xf>
    <xf numFmtId="9" fontId="1" fillId="3" borderId="1" xfId="2" applyFont="1" applyFill="1" applyBorder="1" applyAlignment="1">
      <alignment horizontal="left" vertical="center" wrapText="1"/>
    </xf>
    <xf numFmtId="1" fontId="14" fillId="3" borderId="1" xfId="0" applyNumberFormat="1" applyFont="1" applyFill="1" applyBorder="1" applyAlignment="1">
      <alignment horizontal="center" vertical="center" wrapText="1"/>
    </xf>
    <xf numFmtId="9" fontId="1" fillId="3" borderId="1" xfId="2" applyFont="1" applyFill="1" applyBorder="1" applyAlignment="1">
      <alignment horizontal="center" vertical="center" wrapText="1"/>
    </xf>
    <xf numFmtId="9" fontId="14" fillId="3" borderId="1" xfId="2" applyFont="1" applyFill="1" applyBorder="1" applyAlignment="1">
      <alignment horizontal="center" vertical="center" wrapText="1"/>
    </xf>
    <xf numFmtId="0" fontId="14" fillId="3" borderId="1" xfId="0" applyFont="1" applyFill="1" applyBorder="1" applyAlignment="1">
      <alignment horizontal="center" vertical="center" wrapText="1"/>
    </xf>
    <xf numFmtId="2" fontId="1" fillId="24" borderId="1" xfId="0" applyNumberFormat="1" applyFont="1" applyFill="1" applyBorder="1" applyAlignment="1">
      <alignment horizontal="left" vertical="center"/>
    </xf>
    <xf numFmtId="0" fontId="1" fillId="2" borderId="83" xfId="0" applyFont="1" applyFill="1" applyBorder="1" applyAlignment="1">
      <alignment horizontal="left" vertical="center"/>
    </xf>
    <xf numFmtId="9" fontId="1" fillId="2" borderId="1" xfId="2" applyFont="1" applyFill="1" applyBorder="1" applyAlignment="1">
      <alignment horizontal="left" vertical="center" wrapText="1"/>
    </xf>
    <xf numFmtId="9" fontId="1" fillId="2" borderId="1" xfId="2" applyFont="1" applyFill="1" applyBorder="1" applyAlignment="1">
      <alignment horizontal="center" vertical="center" wrapText="1"/>
    </xf>
    <xf numFmtId="0" fontId="14" fillId="2" borderId="1" xfId="0" applyFont="1" applyFill="1" applyBorder="1" applyAlignment="1">
      <alignment horizontal="center" vertical="center" wrapText="1"/>
    </xf>
    <xf numFmtId="9" fontId="14" fillId="2" borderId="1" xfId="2" applyFont="1" applyFill="1" applyBorder="1" applyAlignment="1">
      <alignment horizontal="center" vertical="center" wrapText="1"/>
    </xf>
    <xf numFmtId="0" fontId="1" fillId="3" borderId="6" xfId="0" applyFont="1" applyFill="1" applyBorder="1" applyAlignment="1">
      <alignment horizontal="center" vertical="center"/>
    </xf>
    <xf numFmtId="0" fontId="1" fillId="3" borderId="84" xfId="0" applyFont="1" applyFill="1" applyBorder="1" applyAlignment="1">
      <alignment horizontal="center" vertical="center" wrapText="1"/>
    </xf>
    <xf numFmtId="0" fontId="1" fillId="3" borderId="84" xfId="0" applyFont="1" applyFill="1" applyBorder="1" applyAlignment="1">
      <alignment horizontal="center" vertical="center"/>
    </xf>
    <xf numFmtId="0" fontId="1" fillId="3" borderId="91" xfId="0" applyFont="1" applyFill="1" applyBorder="1" applyAlignment="1">
      <alignment horizontal="center" vertical="center"/>
    </xf>
    <xf numFmtId="0" fontId="1" fillId="24" borderId="4" xfId="0" applyFont="1" applyFill="1" applyBorder="1" applyAlignment="1">
      <alignment horizontal="center" vertical="center"/>
    </xf>
    <xf numFmtId="2" fontId="1" fillId="24" borderId="4" xfId="0" applyNumberFormat="1" applyFont="1" applyFill="1" applyBorder="1" applyAlignment="1">
      <alignment horizontal="center" vertical="center"/>
    </xf>
    <xf numFmtId="9" fontId="1" fillId="2" borderId="12" xfId="2" applyFont="1" applyFill="1" applyBorder="1" applyAlignment="1">
      <alignment horizontal="center" vertical="center"/>
    </xf>
    <xf numFmtId="0" fontId="1" fillId="3" borderId="17" xfId="0" applyFont="1" applyFill="1" applyBorder="1" applyAlignment="1">
      <alignment horizontal="center" vertical="top" wrapText="1"/>
    </xf>
    <xf numFmtId="9" fontId="1" fillId="3" borderId="3" xfId="0" applyNumberFormat="1" applyFont="1" applyFill="1" applyBorder="1" applyAlignment="1">
      <alignment horizontal="center" vertical="center"/>
    </xf>
    <xf numFmtId="0" fontId="1" fillId="3" borderId="3" xfId="0" applyFont="1" applyFill="1" applyBorder="1" applyAlignment="1">
      <alignment vertical="top" wrapText="1"/>
    </xf>
    <xf numFmtId="0" fontId="14" fillId="3" borderId="3" xfId="0" applyFont="1" applyFill="1" applyBorder="1" applyAlignment="1">
      <alignment vertical="top" wrapText="1"/>
    </xf>
    <xf numFmtId="0" fontId="1" fillId="3" borderId="17" xfId="0" applyFont="1" applyFill="1" applyBorder="1" applyAlignment="1">
      <alignment horizontal="left" vertical="top" wrapText="1"/>
    </xf>
    <xf numFmtId="0" fontId="1" fillId="3" borderId="7" xfId="0" applyFont="1" applyFill="1" applyBorder="1" applyAlignment="1">
      <alignment horizontal="center" vertical="center"/>
    </xf>
    <xf numFmtId="0" fontId="1" fillId="3" borderId="0" xfId="0" applyFont="1" applyFill="1" applyAlignment="1">
      <alignment horizontal="center" vertical="center" wrapText="1"/>
    </xf>
    <xf numFmtId="0" fontId="1" fillId="3" borderId="0" xfId="0" applyFont="1" applyFill="1" applyAlignment="1">
      <alignment horizontal="center" vertical="center"/>
    </xf>
    <xf numFmtId="0" fontId="1" fillId="3" borderId="82" xfId="0" applyFont="1" applyFill="1" applyBorder="1" applyAlignment="1">
      <alignment horizontal="center" vertical="center"/>
    </xf>
    <xf numFmtId="0" fontId="1" fillId="24" borderId="5" xfId="0" applyFont="1" applyFill="1" applyBorder="1" applyAlignment="1">
      <alignment horizontal="center" vertical="center"/>
    </xf>
    <xf numFmtId="2" fontId="1" fillId="24" borderId="5" xfId="0" applyNumberFormat="1" applyFont="1" applyFill="1" applyBorder="1" applyAlignment="1">
      <alignment horizontal="center" vertical="center"/>
    </xf>
    <xf numFmtId="0" fontId="1" fillId="3" borderId="90" xfId="0" applyFont="1" applyFill="1" applyBorder="1" applyAlignment="1">
      <alignment horizontal="center" vertical="center" wrapText="1"/>
    </xf>
    <xf numFmtId="0" fontId="1" fillId="2" borderId="10" xfId="0" applyFont="1" applyFill="1" applyBorder="1" applyAlignment="1">
      <alignment horizontal="left" vertical="center" wrapText="1"/>
    </xf>
    <xf numFmtId="9" fontId="1" fillId="2" borderId="14" xfId="2" applyFont="1" applyFill="1" applyBorder="1" applyAlignment="1">
      <alignment horizontal="center" vertical="center"/>
    </xf>
    <xf numFmtId="0" fontId="1" fillId="3" borderId="20" xfId="0" applyFont="1" applyFill="1" applyBorder="1" applyAlignment="1">
      <alignment horizontal="center" vertical="top" wrapText="1"/>
    </xf>
    <xf numFmtId="0" fontId="1" fillId="2" borderId="88" xfId="0" applyFont="1" applyFill="1" applyBorder="1" applyAlignment="1">
      <alignment horizontal="left" vertical="center" wrapText="1"/>
    </xf>
    <xf numFmtId="0" fontId="19" fillId="2" borderId="87" xfId="0" applyFont="1" applyFill="1" applyBorder="1" applyAlignment="1">
      <alignment horizontal="center" vertical="center"/>
    </xf>
    <xf numFmtId="0" fontId="14" fillId="2" borderId="88" xfId="0" applyFont="1" applyFill="1" applyBorder="1" applyAlignment="1">
      <alignment horizontal="left" vertical="center" wrapText="1"/>
    </xf>
    <xf numFmtId="0" fontId="1" fillId="3" borderId="20" xfId="0" applyFont="1" applyFill="1" applyBorder="1" applyAlignment="1">
      <alignment horizontal="left" vertical="top" wrapText="1"/>
    </xf>
    <xf numFmtId="0" fontId="1" fillId="24" borderId="2" xfId="0" applyFont="1" applyFill="1" applyBorder="1" applyAlignment="1">
      <alignment horizontal="center" vertical="center"/>
    </xf>
    <xf numFmtId="2" fontId="1" fillId="24" borderId="2" xfId="0" applyNumberFormat="1" applyFont="1" applyFill="1" applyBorder="1" applyAlignment="1">
      <alignment horizontal="center" vertical="center"/>
    </xf>
    <xf numFmtId="0" fontId="14" fillId="3" borderId="83" xfId="0" applyFont="1" applyFill="1" applyBorder="1" applyAlignment="1">
      <alignment horizontal="left" vertical="center" wrapText="1"/>
    </xf>
    <xf numFmtId="9" fontId="1" fillId="2" borderId="1" xfId="0" applyNumberFormat="1" applyFont="1" applyFill="1" applyBorder="1" applyAlignment="1">
      <alignment horizontal="left" vertical="center"/>
    </xf>
    <xf numFmtId="9" fontId="1" fillId="2" borderId="1" xfId="2" applyFont="1" applyFill="1" applyBorder="1" applyAlignment="1">
      <alignment horizontal="left" vertical="center"/>
    </xf>
    <xf numFmtId="0" fontId="1" fillId="2" borderId="6" xfId="0" applyFont="1" applyFill="1" applyBorder="1" applyAlignment="1">
      <alignment horizontal="left" vertical="center" wrapText="1"/>
    </xf>
    <xf numFmtId="0" fontId="1" fillId="3" borderId="3" xfId="0" applyFont="1" applyFill="1" applyBorder="1" applyAlignment="1">
      <alignment vertical="center"/>
    </xf>
    <xf numFmtId="9" fontId="1" fillId="2" borderId="13" xfId="2" applyFont="1" applyFill="1" applyBorder="1" applyAlignment="1">
      <alignment vertical="center"/>
    </xf>
    <xf numFmtId="0" fontId="1" fillId="2" borderId="8" xfId="0" applyFont="1" applyFill="1" applyBorder="1" applyAlignment="1">
      <alignment horizontal="center" vertical="center"/>
    </xf>
    <xf numFmtId="0" fontId="1" fillId="2" borderId="41" xfId="0" applyFont="1" applyFill="1" applyBorder="1" applyAlignment="1">
      <alignment horizontal="left" vertical="center" wrapText="1"/>
    </xf>
    <xf numFmtId="0" fontId="1" fillId="3" borderId="3" xfId="0" applyFont="1" applyFill="1" applyBorder="1" applyAlignment="1">
      <alignment vertical="center" wrapText="1"/>
    </xf>
    <xf numFmtId="0" fontId="19" fillId="3" borderId="1" xfId="0" applyFont="1" applyFill="1" applyBorder="1" applyAlignment="1">
      <alignment horizontal="left" vertical="center" wrapText="1"/>
    </xf>
    <xf numFmtId="0" fontId="1" fillId="3" borderId="4" xfId="0" applyFont="1" applyFill="1" applyBorder="1" applyAlignment="1">
      <alignment horizontal="left" vertical="center"/>
    </xf>
    <xf numFmtId="9" fontId="1" fillId="24" borderId="4" xfId="0" applyNumberFormat="1" applyFont="1" applyFill="1" applyBorder="1" applyAlignment="1">
      <alignment horizontal="left" vertical="center"/>
    </xf>
    <xf numFmtId="0" fontId="1" fillId="24" borderId="4" xfId="0" applyFont="1" applyFill="1" applyBorder="1" applyAlignment="1">
      <alignment horizontal="left" vertical="center"/>
    </xf>
    <xf numFmtId="0" fontId="1" fillId="24" borderId="4" xfId="0" applyFont="1" applyFill="1" applyBorder="1" applyAlignment="1">
      <alignment horizontal="left" vertical="center" wrapText="1"/>
    </xf>
    <xf numFmtId="0" fontId="1" fillId="24" borderId="6" xfId="0" applyFont="1" applyFill="1" applyBorder="1" applyAlignment="1">
      <alignment horizontal="left" vertical="center"/>
    </xf>
    <xf numFmtId="0" fontId="1" fillId="3" borderId="56" xfId="0" applyFont="1" applyFill="1" applyBorder="1" applyAlignment="1">
      <alignment horizontal="center" vertical="center"/>
    </xf>
    <xf numFmtId="9" fontId="1" fillId="3" borderId="92" xfId="0" applyNumberFormat="1" applyFont="1" applyFill="1" applyBorder="1" applyAlignment="1">
      <alignment horizontal="left" vertical="center"/>
    </xf>
    <xf numFmtId="9" fontId="1" fillId="3" borderId="92" xfId="2" applyFont="1" applyFill="1" applyBorder="1" applyAlignment="1">
      <alignment horizontal="left" vertical="center"/>
    </xf>
    <xf numFmtId="0" fontId="1" fillId="3" borderId="93" xfId="0" applyFont="1" applyFill="1" applyBorder="1" applyAlignment="1">
      <alignment horizontal="left" vertical="center" wrapText="1"/>
    </xf>
    <xf numFmtId="0" fontId="1" fillId="3" borderId="56" xfId="0" applyFont="1" applyFill="1" applyBorder="1" applyAlignment="1">
      <alignment horizontal="left" vertical="center"/>
    </xf>
    <xf numFmtId="0" fontId="1" fillId="3" borderId="92" xfId="0" applyFont="1" applyFill="1" applyBorder="1" applyAlignment="1">
      <alignment horizontal="left" vertical="center"/>
    </xf>
    <xf numFmtId="9" fontId="1" fillId="3" borderId="92" xfId="0" applyNumberFormat="1" applyFont="1" applyFill="1" applyBorder="1" applyAlignment="1">
      <alignment horizontal="center" vertical="center"/>
    </xf>
    <xf numFmtId="0" fontId="1" fillId="3" borderId="94" xfId="0" applyFont="1" applyFill="1" applyBorder="1" applyAlignment="1">
      <alignment horizontal="center" vertical="center"/>
    </xf>
    <xf numFmtId="9" fontId="1" fillId="3" borderId="95" xfId="0" applyNumberFormat="1" applyFont="1" applyFill="1" applyBorder="1" applyAlignment="1">
      <alignment horizontal="center" vertical="center"/>
    </xf>
    <xf numFmtId="0" fontId="1" fillId="3" borderId="95" xfId="0" applyFont="1" applyFill="1" applyBorder="1" applyAlignment="1">
      <alignment horizontal="center" vertical="center"/>
    </xf>
    <xf numFmtId="0" fontId="1" fillId="3" borderId="96" xfId="0" applyFont="1" applyFill="1" applyBorder="1" applyAlignment="1">
      <alignment horizontal="left" vertical="center" wrapText="1"/>
    </xf>
    <xf numFmtId="0" fontId="1" fillId="3" borderId="97" xfId="0" applyFont="1" applyFill="1" applyBorder="1" applyAlignment="1">
      <alignment vertical="center"/>
    </xf>
    <xf numFmtId="0" fontId="1" fillId="3" borderId="98" xfId="0" applyFont="1" applyFill="1" applyBorder="1" applyAlignment="1">
      <alignment vertical="center"/>
    </xf>
    <xf numFmtId="0" fontId="1" fillId="3" borderId="99" xfId="0" applyFont="1" applyFill="1" applyBorder="1" applyAlignment="1">
      <alignment horizontal="left" vertical="center" wrapText="1"/>
    </xf>
    <xf numFmtId="0" fontId="1" fillId="3" borderId="100" xfId="0" applyFont="1" applyFill="1" applyBorder="1" applyAlignment="1">
      <alignment horizontal="left" vertical="center"/>
    </xf>
    <xf numFmtId="1" fontId="1" fillId="3" borderId="92" xfId="0" applyNumberFormat="1" applyFont="1" applyFill="1" applyBorder="1" applyAlignment="1">
      <alignment horizontal="left" vertical="center"/>
    </xf>
    <xf numFmtId="1" fontId="1" fillId="3" borderId="97" xfId="0" applyNumberFormat="1" applyFont="1" applyFill="1" applyBorder="1" applyAlignment="1">
      <alignment vertical="center"/>
    </xf>
    <xf numFmtId="0" fontId="14" fillId="3" borderId="99" xfId="0" applyFont="1" applyFill="1" applyBorder="1" applyAlignment="1">
      <alignment horizontal="left" vertical="center" wrapText="1"/>
    </xf>
    <xf numFmtId="0" fontId="1" fillId="2" borderId="92" xfId="0" applyFont="1" applyFill="1" applyBorder="1" applyAlignment="1">
      <alignment horizontal="left" vertical="center" wrapText="1"/>
    </xf>
    <xf numFmtId="0" fontId="1" fillId="2" borderId="0" xfId="0" applyFont="1" applyFill="1" applyAlignment="1">
      <alignment horizontal="center" vertical="center"/>
    </xf>
    <xf numFmtId="9" fontId="1" fillId="2" borderId="0" xfId="0" applyNumberFormat="1" applyFont="1" applyFill="1" applyAlignment="1">
      <alignment horizontal="center" vertical="center"/>
    </xf>
    <xf numFmtId="0" fontId="1" fillId="2" borderId="0" xfId="0" applyFont="1" applyFill="1" applyAlignment="1">
      <alignment horizontal="left" vertical="center" wrapText="1"/>
    </xf>
    <xf numFmtId="0" fontId="1" fillId="2" borderId="101" xfId="0" applyFont="1" applyFill="1" applyBorder="1" applyAlignment="1">
      <alignment horizontal="center" vertical="center"/>
    </xf>
    <xf numFmtId="1" fontId="1" fillId="2" borderId="102" xfId="0" applyNumberFormat="1" applyFont="1" applyFill="1" applyBorder="1" applyAlignment="1">
      <alignment horizontal="center" vertical="center"/>
    </xf>
    <xf numFmtId="0" fontId="1" fillId="2" borderId="102" xfId="0" applyFont="1" applyFill="1" applyBorder="1" applyAlignment="1">
      <alignment horizontal="center" vertical="center"/>
    </xf>
    <xf numFmtId="0" fontId="1" fillId="2" borderId="103" xfId="0" applyFont="1" applyFill="1" applyBorder="1" applyAlignment="1">
      <alignment horizontal="left" vertical="center" wrapText="1"/>
    </xf>
    <xf numFmtId="0" fontId="1" fillId="2" borderId="92" xfId="0" applyFont="1" applyFill="1" applyBorder="1" applyAlignment="1">
      <alignment horizontal="center" vertical="center" wrapText="1"/>
    </xf>
    <xf numFmtId="1" fontId="1" fillId="2" borderId="92" xfId="0" applyNumberFormat="1" applyFont="1" applyFill="1" applyBorder="1" applyAlignment="1">
      <alignment horizontal="center" vertical="center"/>
    </xf>
    <xf numFmtId="0" fontId="1" fillId="2" borderId="104" xfId="0" applyFont="1" applyFill="1" applyBorder="1" applyAlignment="1">
      <alignment horizontal="left" vertical="center" wrapText="1"/>
    </xf>
    <xf numFmtId="0" fontId="1" fillId="2" borderId="93" xfId="0" applyFont="1" applyFill="1" applyBorder="1" applyAlignment="1">
      <alignment horizontal="center" vertical="center" wrapText="1"/>
    </xf>
    <xf numFmtId="0" fontId="14" fillId="2" borderId="92" xfId="0" applyFont="1" applyFill="1" applyBorder="1"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left"/>
    </xf>
    <xf numFmtId="0" fontId="1" fillId="0" borderId="0" xfId="0" applyFont="1" applyBorder="1" applyAlignment="1">
      <alignment horizontal="center" vertical="center" wrapText="1"/>
    </xf>
    <xf numFmtId="0" fontId="20" fillId="0" borderId="3" xfId="0" applyFont="1" applyBorder="1" applyAlignment="1">
      <alignment horizontal="center" vertical="center"/>
    </xf>
    <xf numFmtId="0" fontId="11" fillId="0" borderId="15" xfId="0" applyFont="1" applyBorder="1" applyAlignment="1">
      <alignment horizontal="center" vertical="center"/>
    </xf>
    <xf numFmtId="0" fontId="11" fillId="0" borderId="25" xfId="0" applyFont="1" applyBorder="1" applyAlignment="1">
      <alignment horizontal="center" vertical="center"/>
    </xf>
    <xf numFmtId="0" fontId="11" fillId="0" borderId="16" xfId="0" applyFont="1" applyBorder="1" applyAlignment="1">
      <alignment horizontal="center" vertical="center"/>
    </xf>
    <xf numFmtId="0" fontId="5" fillId="4" borderId="2" xfId="0" applyFont="1" applyFill="1" applyBorder="1" applyAlignment="1">
      <alignment horizontal="center" vertical="center" wrapText="1"/>
    </xf>
    <xf numFmtId="0" fontId="5" fillId="4" borderId="9" xfId="0" applyFont="1" applyFill="1" applyBorder="1" applyAlignment="1">
      <alignment vertical="center"/>
    </xf>
    <xf numFmtId="0" fontId="5" fillId="4" borderId="74" xfId="0" applyFont="1" applyFill="1" applyBorder="1" applyAlignment="1">
      <alignment vertical="center"/>
    </xf>
    <xf numFmtId="0" fontId="5" fillId="4" borderId="9" xfId="0" applyFont="1" applyFill="1" applyBorder="1" applyAlignment="1">
      <alignment horizontal="center" vertical="center"/>
    </xf>
    <xf numFmtId="0" fontId="5" fillId="4" borderId="73" xfId="0" applyFont="1" applyFill="1" applyBorder="1" applyAlignment="1">
      <alignment horizontal="center" vertical="center"/>
    </xf>
    <xf numFmtId="0" fontId="5" fillId="4" borderId="74" xfId="0" applyFont="1" applyFill="1" applyBorder="1" applyAlignment="1">
      <alignment horizontal="center" vertical="center"/>
    </xf>
    <xf numFmtId="0" fontId="29" fillId="31" borderId="105" xfId="0" applyFont="1" applyFill="1" applyBorder="1" applyAlignment="1">
      <alignment horizontal="center" vertical="center" wrapText="1" readingOrder="1"/>
    </xf>
    <xf numFmtId="0" fontId="29" fillId="31" borderId="106" xfId="0" applyFont="1" applyFill="1" applyBorder="1" applyAlignment="1">
      <alignment horizontal="center" vertical="center" wrapText="1" readingOrder="1"/>
    </xf>
    <xf numFmtId="0" fontId="29" fillId="31" borderId="107" xfId="0" applyFont="1" applyFill="1" applyBorder="1" applyAlignment="1">
      <alignment horizontal="center" vertical="center" wrapText="1" readingOrder="1"/>
    </xf>
    <xf numFmtId="0" fontId="5" fillId="4" borderId="73" xfId="0" applyFont="1" applyFill="1" applyBorder="1" applyAlignment="1">
      <alignment vertical="center"/>
    </xf>
    <xf numFmtId="0" fontId="5" fillId="7" borderId="0" xfId="0" applyFont="1" applyFill="1" applyAlignment="1">
      <alignment horizontal="center" vertical="center"/>
    </xf>
    <xf numFmtId="0" fontId="5" fillId="5" borderId="1" xfId="0" applyFont="1" applyFill="1" applyBorder="1" applyAlignment="1">
      <alignment horizontal="center" vertical="center" wrapText="1"/>
    </xf>
    <xf numFmtId="0" fontId="30" fillId="32" borderId="108" xfId="0" applyFont="1" applyFill="1" applyBorder="1" applyAlignment="1">
      <alignment horizontal="center" vertical="center" wrapText="1" readingOrder="1"/>
    </xf>
    <xf numFmtId="0" fontId="30" fillId="32" borderId="109" xfId="0" applyFont="1" applyFill="1" applyBorder="1" applyAlignment="1">
      <alignment horizontal="center" vertical="center" wrapText="1" readingOrder="1"/>
    </xf>
    <xf numFmtId="0" fontId="30" fillId="32" borderId="110" xfId="0" applyFont="1" applyFill="1" applyBorder="1" applyAlignment="1">
      <alignment horizontal="center" vertical="center" wrapText="1" readingOrder="1"/>
    </xf>
    <xf numFmtId="0" fontId="5" fillId="5" borderId="10" xfId="0" applyFont="1" applyFill="1" applyBorder="1" applyAlignment="1">
      <alignment vertical="center"/>
    </xf>
    <xf numFmtId="0" fontId="5" fillId="5" borderId="11" xfId="0" applyFont="1" applyFill="1" applyBorder="1" applyAlignment="1">
      <alignment vertical="center"/>
    </xf>
    <xf numFmtId="0" fontId="5" fillId="5" borderId="8" xfId="0" applyFont="1" applyFill="1" applyBorder="1" applyAlignment="1">
      <alignment vertical="center"/>
    </xf>
    <xf numFmtId="0" fontId="5" fillId="5" borderId="111" xfId="0" applyFont="1" applyFill="1" applyBorder="1" applyAlignment="1">
      <alignment horizontal="center" vertical="center"/>
    </xf>
    <xf numFmtId="0" fontId="5" fillId="5" borderId="112" xfId="0" applyFont="1" applyFill="1" applyBorder="1" applyAlignment="1">
      <alignment horizontal="center" vertical="center"/>
    </xf>
    <xf numFmtId="0" fontId="5" fillId="5" borderId="113" xfId="0" applyFont="1" applyFill="1" applyBorder="1" applyAlignment="1">
      <alignment horizontal="center" vertical="center"/>
    </xf>
    <xf numFmtId="0" fontId="5" fillId="4" borderId="4"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30" fillId="10" borderId="3" xfId="0" applyFont="1" applyFill="1" applyBorder="1" applyAlignment="1">
      <alignment horizontal="center" vertical="center" wrapText="1" readingOrder="1"/>
    </xf>
    <xf numFmtId="0" fontId="5" fillId="4" borderId="91"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7" borderId="0" xfId="0" applyFont="1" applyFill="1" applyAlignment="1">
      <alignment horizontal="center" vertical="center" wrapText="1"/>
    </xf>
    <xf numFmtId="0" fontId="5" fillId="4" borderId="0" xfId="0" applyFont="1" applyFill="1" applyAlignment="1">
      <alignment horizontal="center" vertical="center" wrapText="1"/>
    </xf>
    <xf numFmtId="0" fontId="1" fillId="2" borderId="84" xfId="0" applyFont="1" applyFill="1" applyBorder="1" applyAlignment="1">
      <alignment vertical="center"/>
    </xf>
    <xf numFmtId="0" fontId="14" fillId="2" borderId="16" xfId="0" applyFont="1" applyFill="1" applyBorder="1" applyAlignment="1">
      <alignment horizontal="left" vertical="center" wrapText="1"/>
    </xf>
    <xf numFmtId="0" fontId="14" fillId="33" borderId="3" xfId="0" applyFont="1" applyFill="1" applyBorder="1" applyAlignment="1">
      <alignment horizontal="left" vertical="center" wrapText="1"/>
    </xf>
    <xf numFmtId="0" fontId="1" fillId="33" borderId="3" xfId="0" applyFont="1" applyFill="1" applyBorder="1" applyAlignment="1">
      <alignment horizontal="left" vertical="center" wrapText="1"/>
    </xf>
    <xf numFmtId="165" fontId="1" fillId="2" borderId="12" xfId="3" applyFont="1" applyFill="1" applyBorder="1" applyAlignment="1">
      <alignment horizontal="center" vertical="center"/>
    </xf>
    <xf numFmtId="165" fontId="1" fillId="2" borderId="3" xfId="0" applyNumberFormat="1" applyFont="1" applyFill="1" applyBorder="1" applyAlignment="1">
      <alignment vertical="center"/>
    </xf>
    <xf numFmtId="9" fontId="1" fillId="2" borderId="8" xfId="2" applyFont="1" applyFill="1" applyBorder="1" applyAlignment="1">
      <alignment horizontal="center" vertical="center"/>
    </xf>
    <xf numFmtId="9" fontId="14" fillId="2" borderId="1" xfId="2" applyFont="1" applyFill="1" applyBorder="1" applyAlignment="1">
      <alignment horizontal="left" vertical="center"/>
    </xf>
    <xf numFmtId="0" fontId="1" fillId="2" borderId="1" xfId="0" applyFont="1" applyFill="1" applyBorder="1" applyAlignment="1">
      <alignment horizontal="left" vertical="top" wrapText="1"/>
    </xf>
    <xf numFmtId="166" fontId="14" fillId="2" borderId="1" xfId="2" applyNumberFormat="1" applyFont="1" applyFill="1" applyBorder="1" applyAlignment="1">
      <alignment horizontal="center" vertical="center"/>
    </xf>
    <xf numFmtId="0" fontId="14" fillId="2" borderId="1" xfId="0" applyFont="1" applyFill="1" applyBorder="1" applyAlignment="1">
      <alignment horizontal="left" vertical="center"/>
    </xf>
    <xf numFmtId="0" fontId="14" fillId="2" borderId="1" xfId="0" applyFont="1" applyFill="1" applyBorder="1" applyAlignment="1">
      <alignment horizontal="left" vertical="top" wrapText="1"/>
    </xf>
    <xf numFmtId="0" fontId="14" fillId="2" borderId="0" xfId="0" applyFont="1" applyFill="1" applyAlignment="1">
      <alignment horizontal="left" vertical="center"/>
    </xf>
    <xf numFmtId="166" fontId="1" fillId="2" borderId="3" xfId="2" applyNumberFormat="1" applyFont="1" applyFill="1" applyBorder="1" applyAlignment="1">
      <alignment horizontal="center" vertical="center"/>
    </xf>
    <xf numFmtId="0" fontId="14" fillId="2" borderId="3" xfId="0" applyFont="1" applyFill="1" applyBorder="1" applyAlignment="1">
      <alignment horizontal="left" vertical="center"/>
    </xf>
    <xf numFmtId="0" fontId="1" fillId="2" borderId="3" xfId="0" applyFont="1" applyFill="1" applyBorder="1" applyAlignment="1">
      <alignment horizontal="left" vertical="top" wrapText="1"/>
    </xf>
    <xf numFmtId="10" fontId="1" fillId="2" borderId="3" xfId="0" applyNumberFormat="1" applyFont="1" applyFill="1" applyBorder="1" applyAlignment="1">
      <alignment horizontal="left" vertical="center"/>
    </xf>
    <xf numFmtId="0" fontId="14" fillId="2" borderId="16" xfId="0" applyFont="1" applyFill="1" applyBorder="1" applyAlignment="1">
      <alignment horizontal="left" vertical="center"/>
    </xf>
    <xf numFmtId="166" fontId="1" fillId="2" borderId="1" xfId="2" applyNumberFormat="1" applyFont="1" applyFill="1" applyBorder="1" applyAlignment="1">
      <alignment horizontal="center" vertical="center"/>
    </xf>
    <xf numFmtId="0" fontId="1" fillId="2" borderId="0" xfId="0" applyFont="1" applyFill="1" applyBorder="1" applyAlignment="1">
      <alignment vertical="center"/>
    </xf>
    <xf numFmtId="0" fontId="14" fillId="3" borderId="12" xfId="0" applyFont="1" applyFill="1" applyBorder="1" applyAlignment="1">
      <alignment horizontal="left" vertical="center" wrapText="1"/>
    </xf>
    <xf numFmtId="0" fontId="14" fillId="34" borderId="12" xfId="0" applyFont="1" applyFill="1" applyBorder="1" applyAlignment="1">
      <alignment horizontal="center" vertical="center" wrapText="1"/>
    </xf>
    <xf numFmtId="0" fontId="14" fillId="3" borderId="12" xfId="0" applyFont="1" applyFill="1" applyBorder="1" applyAlignment="1">
      <alignment horizontal="center" vertical="center"/>
    </xf>
    <xf numFmtId="0" fontId="1" fillId="35" borderId="3" xfId="0" applyFont="1" applyFill="1" applyBorder="1" applyAlignment="1">
      <alignment horizontal="left" vertical="center" wrapText="1"/>
    </xf>
    <xf numFmtId="165" fontId="1" fillId="2" borderId="13" xfId="3" applyFont="1" applyFill="1" applyBorder="1" applyAlignment="1">
      <alignment horizontal="center" vertical="center"/>
    </xf>
    <xf numFmtId="9" fontId="1" fillId="3" borderId="8" xfId="2" applyFont="1" applyFill="1" applyBorder="1" applyAlignment="1">
      <alignment horizontal="center" vertical="center"/>
    </xf>
    <xf numFmtId="9" fontId="14" fillId="3" borderId="1" xfId="2" applyFont="1" applyFill="1" applyBorder="1" applyAlignment="1">
      <alignment horizontal="left" vertical="center"/>
    </xf>
    <xf numFmtId="0" fontId="1" fillId="3" borderId="1" xfId="0" applyFont="1" applyFill="1" applyBorder="1" applyAlignment="1">
      <alignment horizontal="left" vertical="top" wrapText="1"/>
    </xf>
    <xf numFmtId="9" fontId="14" fillId="3" borderId="8" xfId="2" applyFont="1" applyFill="1" applyBorder="1" applyAlignment="1">
      <alignment horizontal="center" vertical="center"/>
    </xf>
    <xf numFmtId="0" fontId="14" fillId="3" borderId="1" xfId="0" applyFont="1" applyFill="1" applyBorder="1" applyAlignment="1">
      <alignment horizontal="left" vertical="top" wrapText="1"/>
    </xf>
    <xf numFmtId="0" fontId="14" fillId="3" borderId="10" xfId="0" applyFont="1" applyFill="1" applyBorder="1" applyAlignment="1">
      <alignment horizontal="left" vertical="top" wrapText="1"/>
    </xf>
    <xf numFmtId="9" fontId="14" fillId="3" borderId="3" xfId="2" applyFont="1" applyFill="1" applyBorder="1" applyAlignment="1">
      <alignment horizontal="left" vertical="center"/>
    </xf>
    <xf numFmtId="0" fontId="14" fillId="3" borderId="3" xfId="0" applyFont="1" applyFill="1" applyBorder="1" applyAlignment="1">
      <alignment horizontal="left" vertical="top" wrapText="1"/>
    </xf>
    <xf numFmtId="0" fontId="1" fillId="3" borderId="3" xfId="0" applyFont="1" applyFill="1" applyBorder="1" applyAlignment="1">
      <alignment horizontal="left" vertical="center"/>
    </xf>
    <xf numFmtId="0" fontId="1" fillId="3" borderId="3" xfId="0" applyFont="1" applyFill="1" applyBorder="1" applyAlignment="1">
      <alignment horizontal="left" vertical="top" wrapText="1"/>
    </xf>
    <xf numFmtId="9" fontId="1" fillId="2" borderId="3" xfId="0" applyNumberFormat="1" applyFont="1" applyFill="1" applyBorder="1" applyAlignment="1">
      <alignment horizontal="left" vertical="center"/>
    </xf>
    <xf numFmtId="0" fontId="1" fillId="3" borderId="8" xfId="0" applyFont="1" applyFill="1" applyBorder="1" applyAlignment="1">
      <alignment horizontal="left" vertical="top" wrapText="1"/>
    </xf>
    <xf numFmtId="9" fontId="1" fillId="3" borderId="1" xfId="0" applyNumberFormat="1" applyFont="1" applyFill="1" applyBorder="1" applyAlignment="1">
      <alignment horizontal="left" vertical="center"/>
    </xf>
    <xf numFmtId="9" fontId="1" fillId="7" borderId="0" xfId="0" applyNumberFormat="1" applyFont="1" applyFill="1" applyAlignment="1">
      <alignment horizontal="left" vertical="center"/>
    </xf>
    <xf numFmtId="0" fontId="1" fillId="3" borderId="114" xfId="0" applyFont="1" applyFill="1" applyBorder="1" applyAlignment="1">
      <alignment horizontal="center" vertical="center" wrapText="1"/>
    </xf>
    <xf numFmtId="0" fontId="1" fillId="2" borderId="3" xfId="0" applyFont="1" applyFill="1" applyBorder="1" applyAlignment="1">
      <alignment horizontal="left" vertical="center"/>
    </xf>
    <xf numFmtId="165" fontId="1" fillId="3" borderId="12" xfId="3" applyFont="1" applyFill="1" applyBorder="1" applyAlignment="1">
      <alignment horizontal="center" vertical="center"/>
    </xf>
    <xf numFmtId="0" fontId="14" fillId="2" borderId="10" xfId="0" applyFont="1" applyFill="1" applyBorder="1" applyAlignment="1">
      <alignment horizontal="left" vertical="center"/>
    </xf>
    <xf numFmtId="9" fontId="14" fillId="2" borderId="3" xfId="0" applyNumberFormat="1" applyFont="1" applyFill="1" applyBorder="1" applyAlignment="1">
      <alignment horizontal="center" vertical="center"/>
    </xf>
    <xf numFmtId="0" fontId="14" fillId="2" borderId="3" xfId="0" applyFont="1" applyFill="1" applyBorder="1" applyAlignment="1">
      <alignment horizontal="left" vertical="center" wrapText="1"/>
    </xf>
    <xf numFmtId="9" fontId="14" fillId="2" borderId="3" xfId="2" applyFont="1" applyFill="1" applyBorder="1" applyAlignment="1">
      <alignment horizontal="center" vertical="center" wrapText="1"/>
    </xf>
    <xf numFmtId="13" fontId="14" fillId="2" borderId="3" xfId="2" applyNumberFormat="1" applyFont="1" applyFill="1" applyBorder="1" applyAlignment="1">
      <alignment horizontal="center" vertical="center"/>
    </xf>
    <xf numFmtId="0" fontId="14" fillId="2" borderId="3" xfId="0" applyNumberFormat="1" applyFont="1" applyFill="1" applyBorder="1" applyAlignment="1">
      <alignment horizontal="center" vertical="center" wrapText="1"/>
    </xf>
    <xf numFmtId="0" fontId="1" fillId="7" borderId="0" xfId="0" applyFont="1" applyFill="1" applyAlignment="1">
      <alignment horizontal="left" vertical="center" wrapText="1"/>
    </xf>
    <xf numFmtId="0" fontId="1" fillId="3" borderId="115" xfId="0" applyFont="1" applyFill="1" applyBorder="1" applyAlignment="1">
      <alignment horizontal="center" vertical="center" wrapText="1"/>
    </xf>
    <xf numFmtId="0" fontId="14" fillId="34" borderId="16" xfId="0" applyFont="1" applyFill="1" applyBorder="1" applyAlignment="1">
      <alignment horizontal="left" vertical="center" wrapText="1"/>
    </xf>
    <xf numFmtId="0" fontId="14" fillId="34" borderId="3" xfId="0" applyFont="1" applyFill="1" applyBorder="1" applyAlignment="1">
      <alignment horizontal="left" vertical="center" wrapText="1"/>
    </xf>
    <xf numFmtId="9" fontId="14" fillId="3" borderId="3" xfId="0" applyNumberFormat="1" applyFont="1" applyFill="1" applyBorder="1" applyAlignment="1">
      <alignment horizontal="center" vertical="center"/>
    </xf>
    <xf numFmtId="165" fontId="1" fillId="3" borderId="13" xfId="3" applyFont="1" applyFill="1" applyBorder="1" applyAlignment="1">
      <alignment horizontal="center" vertical="center"/>
    </xf>
    <xf numFmtId="0" fontId="14" fillId="3" borderId="1" xfId="0" applyFont="1" applyFill="1" applyBorder="1" applyAlignment="1">
      <alignment horizontal="left" vertical="center"/>
    </xf>
    <xf numFmtId="0" fontId="14" fillId="3" borderId="10" xfId="0" applyFont="1" applyFill="1" applyBorder="1" applyAlignment="1">
      <alignment horizontal="left" vertical="center"/>
    </xf>
    <xf numFmtId="9" fontId="14" fillId="3" borderId="3" xfId="2" applyFont="1" applyFill="1" applyBorder="1" applyAlignment="1">
      <alignment horizontal="center" vertical="center" wrapText="1"/>
    </xf>
    <xf numFmtId="10" fontId="1" fillId="7" borderId="0" xfId="0" applyNumberFormat="1" applyFont="1" applyFill="1" applyAlignment="1">
      <alignment horizontal="left" vertical="center" wrapText="1"/>
    </xf>
    <xf numFmtId="0" fontId="14" fillId="2" borderId="3" xfId="0" applyFont="1" applyFill="1" applyBorder="1" applyAlignment="1">
      <alignment horizontal="left" vertical="center" wrapText="1"/>
    </xf>
    <xf numFmtId="0" fontId="14" fillId="33" borderId="3" xfId="0" applyFont="1" applyFill="1" applyBorder="1" applyAlignment="1">
      <alignment horizontal="left" vertical="center" wrapText="1"/>
    </xf>
    <xf numFmtId="0" fontId="14" fillId="2" borderId="3" xfId="0" applyFont="1" applyFill="1" applyBorder="1" applyAlignment="1">
      <alignment horizontal="center" vertical="center"/>
    </xf>
    <xf numFmtId="167" fontId="1" fillId="2" borderId="4" xfId="11" applyNumberFormat="1" applyFont="1" applyFill="1" applyBorder="1" applyAlignment="1">
      <alignment horizontal="center" vertical="center"/>
    </xf>
    <xf numFmtId="10" fontId="14" fillId="2" borderId="4" xfId="2" applyNumberFormat="1" applyFont="1" applyFill="1" applyBorder="1" applyAlignment="1">
      <alignment horizontal="center" vertical="center"/>
    </xf>
    <xf numFmtId="167" fontId="1" fillId="2" borderId="1" xfId="11" applyNumberFormat="1" applyFont="1" applyFill="1" applyBorder="1" applyAlignment="1">
      <alignment horizontal="left" vertical="center"/>
    </xf>
    <xf numFmtId="167" fontId="14" fillId="2" borderId="4" xfId="11" applyNumberFormat="1" applyFont="1" applyFill="1" applyBorder="1" applyAlignment="1">
      <alignment horizontal="center" vertical="center"/>
    </xf>
    <xf numFmtId="9" fontId="14" fillId="2" borderId="4" xfId="0" applyNumberFormat="1" applyFont="1" applyFill="1" applyBorder="1" applyAlignment="1">
      <alignment horizontal="center" vertical="center"/>
    </xf>
    <xf numFmtId="9" fontId="14" fillId="2" borderId="4" xfId="2" applyFont="1" applyFill="1" applyBorder="1" applyAlignment="1">
      <alignment horizontal="center" vertical="center"/>
    </xf>
    <xf numFmtId="0" fontId="14" fillId="2" borderId="4" xfId="0" applyFont="1" applyFill="1" applyBorder="1" applyAlignment="1">
      <alignment horizontal="justify" vertical="center" wrapText="1"/>
    </xf>
    <xf numFmtId="167" fontId="14" fillId="2" borderId="1" xfId="11" applyNumberFormat="1" applyFont="1" applyFill="1" applyBorder="1" applyAlignment="1">
      <alignment horizontal="left" vertical="center"/>
    </xf>
    <xf numFmtId="9" fontId="14" fillId="2" borderId="10" xfId="2" applyFont="1" applyFill="1" applyBorder="1" applyAlignment="1">
      <alignment horizontal="center" vertical="center" wrapText="1"/>
    </xf>
    <xf numFmtId="167" fontId="1" fillId="2" borderId="3" xfId="11" applyNumberFormat="1" applyFont="1" applyFill="1" applyBorder="1" applyAlignment="1">
      <alignment horizontal="center" vertical="center"/>
    </xf>
    <xf numFmtId="9" fontId="1" fillId="2" borderId="3" xfId="0" applyNumberFormat="1" applyFont="1" applyFill="1" applyBorder="1" applyAlignment="1">
      <alignment horizontal="center" vertical="center"/>
    </xf>
    <xf numFmtId="9" fontId="1" fillId="2" borderId="3" xfId="2" applyFont="1" applyFill="1" applyBorder="1" applyAlignment="1">
      <alignment horizontal="center" vertical="center"/>
    </xf>
    <xf numFmtId="167" fontId="1" fillId="2" borderId="3" xfId="11" applyNumberFormat="1" applyFont="1" applyFill="1" applyBorder="1" applyAlignment="1">
      <alignment horizontal="left" vertical="center"/>
    </xf>
    <xf numFmtId="9" fontId="1" fillId="2" borderId="3" xfId="2" applyFont="1" applyFill="1" applyBorder="1" applyAlignment="1">
      <alignment horizontal="center" vertical="center" wrapText="1"/>
    </xf>
    <xf numFmtId="166" fontId="1" fillId="2" borderId="3" xfId="2" applyNumberFormat="1" applyFont="1" applyFill="1" applyBorder="1" applyAlignment="1">
      <alignment horizontal="center" vertical="center"/>
    </xf>
    <xf numFmtId="9" fontId="1" fillId="2" borderId="4" xfId="2" applyNumberFormat="1" applyFont="1" applyFill="1" applyBorder="1" applyAlignment="1">
      <alignment horizontal="center" vertical="center"/>
    </xf>
    <xf numFmtId="0" fontId="1" fillId="34" borderId="3" xfId="0" applyFont="1" applyFill="1" applyBorder="1" applyAlignment="1">
      <alignment horizontal="left" vertical="center" wrapText="1"/>
    </xf>
    <xf numFmtId="165" fontId="1" fillId="2" borderId="14" xfId="3" applyFont="1" applyFill="1" applyBorder="1" applyAlignment="1">
      <alignment horizontal="center" vertical="center"/>
    </xf>
    <xf numFmtId="167" fontId="1" fillId="2" borderId="5" xfId="11" applyNumberFormat="1" applyFont="1" applyFill="1" applyBorder="1" applyAlignment="1">
      <alignment horizontal="center" vertical="center"/>
    </xf>
    <xf numFmtId="10" fontId="14" fillId="2" borderId="5" xfId="2" applyNumberFormat="1" applyFont="1" applyFill="1" applyBorder="1" applyAlignment="1">
      <alignment horizontal="center" vertical="center"/>
    </xf>
    <xf numFmtId="167" fontId="1" fillId="3" borderId="1" xfId="11" applyNumberFormat="1" applyFont="1" applyFill="1" applyBorder="1" applyAlignment="1">
      <alignment horizontal="left" vertical="center"/>
    </xf>
    <xf numFmtId="166" fontId="14" fillId="3" borderId="1" xfId="2" applyNumberFormat="1" applyFont="1" applyFill="1" applyBorder="1" applyAlignment="1">
      <alignment horizontal="center" vertical="center"/>
    </xf>
    <xf numFmtId="167" fontId="14" fillId="2" borderId="5" xfId="11" applyNumberFormat="1" applyFont="1" applyFill="1" applyBorder="1" applyAlignment="1">
      <alignment horizontal="center" vertical="center"/>
    </xf>
    <xf numFmtId="0" fontId="14" fillId="2" borderId="5" xfId="0" applyFont="1" applyFill="1" applyBorder="1" applyAlignment="1">
      <alignment horizontal="center" vertical="center"/>
    </xf>
    <xf numFmtId="9" fontId="14" fillId="2" borderId="5" xfId="2" applyFont="1" applyFill="1" applyBorder="1" applyAlignment="1">
      <alignment horizontal="center" vertical="center"/>
    </xf>
    <xf numFmtId="0" fontId="14" fillId="2" borderId="5" xfId="0" applyFont="1" applyFill="1" applyBorder="1" applyAlignment="1">
      <alignment horizontal="justify" vertical="center" wrapText="1"/>
    </xf>
    <xf numFmtId="167" fontId="14" fillId="3" borderId="1" xfId="11" applyNumberFormat="1" applyFont="1" applyFill="1" applyBorder="1" applyAlignment="1">
      <alignment horizontal="left" vertical="center"/>
    </xf>
    <xf numFmtId="9" fontId="14" fillId="3" borderId="10" xfId="2" applyFont="1" applyFill="1" applyBorder="1" applyAlignment="1">
      <alignment horizontal="center" vertical="center" wrapText="1"/>
    </xf>
    <xf numFmtId="167" fontId="1" fillId="3" borderId="3" xfId="11" applyNumberFormat="1" applyFont="1" applyFill="1" applyBorder="1" applyAlignment="1">
      <alignment horizontal="left" vertical="center"/>
    </xf>
    <xf numFmtId="9" fontId="1" fillId="3" borderId="3" xfId="2" applyFont="1" applyFill="1" applyBorder="1" applyAlignment="1">
      <alignment horizontal="center" vertical="center" wrapText="1"/>
    </xf>
    <xf numFmtId="9" fontId="1" fillId="2" borderId="5" xfId="2" applyNumberFormat="1" applyFont="1" applyFill="1" applyBorder="1" applyAlignment="1">
      <alignment horizontal="center" vertical="center"/>
    </xf>
    <xf numFmtId="167" fontId="14" fillId="3" borderId="3" xfId="11" applyNumberFormat="1" applyFont="1" applyFill="1" applyBorder="1" applyAlignment="1">
      <alignment horizontal="left" vertical="center"/>
    </xf>
    <xf numFmtId="0" fontId="31" fillId="7" borderId="0" xfId="0" applyFont="1" applyFill="1" applyBorder="1" applyAlignment="1">
      <alignment horizontal="center" vertical="center"/>
    </xf>
    <xf numFmtId="0" fontId="31" fillId="7" borderId="0" xfId="0" applyFont="1" applyFill="1" applyAlignment="1">
      <alignment horizontal="center" vertical="center"/>
    </xf>
    <xf numFmtId="0" fontId="14" fillId="7" borderId="0" xfId="0" applyFont="1" applyFill="1" applyAlignment="1">
      <alignment horizontal="left" vertical="center"/>
    </xf>
    <xf numFmtId="10" fontId="14" fillId="7" borderId="0" xfId="0" applyNumberFormat="1" applyFont="1" applyFill="1" applyAlignment="1">
      <alignment horizontal="left" vertical="center"/>
    </xf>
    <xf numFmtId="0" fontId="14" fillId="3" borderId="0" xfId="0" applyFont="1" applyFill="1" applyAlignment="1">
      <alignment horizontal="left" vertical="center"/>
    </xf>
    <xf numFmtId="167" fontId="1" fillId="2" borderId="116" xfId="11" applyNumberFormat="1" applyFont="1" applyFill="1" applyBorder="1" applyAlignment="1">
      <alignment horizontal="center" vertical="center"/>
    </xf>
    <xf numFmtId="0" fontId="1" fillId="2" borderId="116" xfId="0" applyFont="1" applyFill="1" applyBorder="1" applyAlignment="1">
      <alignment horizontal="center" vertical="center"/>
    </xf>
    <xf numFmtId="10" fontId="14" fillId="2" borderId="116" xfId="2" applyNumberFormat="1" applyFont="1" applyFill="1" applyBorder="1" applyAlignment="1">
      <alignment horizontal="center" vertical="center"/>
    </xf>
    <xf numFmtId="0" fontId="1" fillId="2" borderId="116" xfId="0" applyFont="1" applyFill="1" applyBorder="1" applyAlignment="1">
      <alignment horizontal="center" vertical="center" wrapText="1"/>
    </xf>
    <xf numFmtId="167" fontId="1" fillId="2" borderId="117" xfId="11" applyNumberFormat="1" applyFont="1" applyFill="1" applyBorder="1" applyAlignment="1">
      <alignment horizontal="left" vertical="center"/>
    </xf>
    <xf numFmtId="9" fontId="1" fillId="2" borderId="117" xfId="2" applyFont="1" applyFill="1" applyBorder="1" applyAlignment="1">
      <alignment horizontal="center" vertical="center"/>
    </xf>
    <xf numFmtId="166" fontId="14" fillId="2" borderId="117" xfId="2" applyNumberFormat="1" applyFont="1" applyFill="1" applyBorder="1" applyAlignment="1">
      <alignment horizontal="center" vertical="center"/>
    </xf>
    <xf numFmtId="9" fontId="1" fillId="2" borderId="117" xfId="2" applyFont="1" applyFill="1" applyBorder="1" applyAlignment="1">
      <alignment horizontal="center" vertical="center" wrapText="1"/>
    </xf>
    <xf numFmtId="167" fontId="14" fillId="2" borderId="116" xfId="11" applyNumberFormat="1" applyFont="1" applyFill="1" applyBorder="1" applyAlignment="1">
      <alignment horizontal="center" vertical="center"/>
    </xf>
    <xf numFmtId="0" fontId="14" fillId="2" borderId="116" xfId="0" applyFont="1" applyFill="1" applyBorder="1" applyAlignment="1">
      <alignment horizontal="center" vertical="center"/>
    </xf>
    <xf numFmtId="9" fontId="14" fillId="2" borderId="116" xfId="2" applyFont="1" applyFill="1" applyBorder="1" applyAlignment="1">
      <alignment horizontal="center" vertical="center"/>
    </xf>
    <xf numFmtId="0" fontId="14" fillId="2" borderId="2" xfId="0" applyFont="1" applyFill="1" applyBorder="1" applyAlignment="1">
      <alignment horizontal="justify" vertical="center" wrapText="1"/>
    </xf>
    <xf numFmtId="167" fontId="14" fillId="2" borderId="117" xfId="11" applyNumberFormat="1" applyFont="1" applyFill="1" applyBorder="1" applyAlignment="1">
      <alignment horizontal="left" vertical="center"/>
    </xf>
    <xf numFmtId="9" fontId="14" fillId="2" borderId="117" xfId="2" applyFont="1" applyFill="1" applyBorder="1" applyAlignment="1">
      <alignment horizontal="center" vertical="center"/>
    </xf>
    <xf numFmtId="9" fontId="14" fillId="2" borderId="118" xfId="2" applyFont="1" applyFill="1" applyBorder="1" applyAlignment="1">
      <alignment horizontal="center" vertical="center" wrapText="1"/>
    </xf>
    <xf numFmtId="9" fontId="1" fillId="2" borderId="116" xfId="2" applyFont="1" applyFill="1" applyBorder="1" applyAlignment="1">
      <alignment horizontal="center" vertical="center"/>
    </xf>
    <xf numFmtId="9" fontId="1" fillId="2" borderId="116" xfId="2" applyNumberFormat="1" applyFont="1" applyFill="1" applyBorder="1" applyAlignment="1">
      <alignment horizontal="center" vertical="center"/>
    </xf>
    <xf numFmtId="0" fontId="1" fillId="3" borderId="5" xfId="0" applyFont="1" applyFill="1" applyBorder="1" applyAlignment="1">
      <alignment vertical="center" wrapText="1"/>
    </xf>
    <xf numFmtId="0" fontId="14" fillId="2" borderId="3" xfId="0" applyFont="1" applyFill="1" applyBorder="1" applyAlignment="1">
      <alignment horizontal="center" vertical="center" wrapText="1"/>
    </xf>
    <xf numFmtId="0" fontId="14" fillId="33" borderId="3" xfId="0" applyFont="1" applyFill="1" applyBorder="1" applyAlignment="1">
      <alignment horizontal="center" vertical="center" wrapText="1"/>
    </xf>
    <xf numFmtId="43" fontId="1" fillId="2" borderId="3" xfId="11" applyFont="1" applyFill="1" applyBorder="1" applyAlignment="1">
      <alignment horizontal="center" vertical="center"/>
    </xf>
    <xf numFmtId="169" fontId="14" fillId="3" borderId="4" xfId="10" applyFont="1" applyFill="1" applyBorder="1" applyAlignment="1">
      <alignment horizontal="center" vertical="center"/>
    </xf>
    <xf numFmtId="0" fontId="14" fillId="3" borderId="4" xfId="0" applyFont="1" applyFill="1" applyBorder="1" applyAlignment="1">
      <alignment horizontal="center" vertical="center"/>
    </xf>
    <xf numFmtId="166" fontId="14" fillId="3" borderId="4" xfId="2" applyNumberFormat="1" applyFont="1" applyFill="1" applyBorder="1" applyAlignment="1">
      <alignment horizontal="center" vertical="center"/>
    </xf>
    <xf numFmtId="0" fontId="14" fillId="3" borderId="4" xfId="0" applyFont="1" applyFill="1" applyBorder="1" applyAlignment="1">
      <alignment horizontal="justify" vertical="center" wrapText="1"/>
    </xf>
    <xf numFmtId="169" fontId="14" fillId="3" borderId="1" xfId="10" applyFont="1" applyFill="1" applyBorder="1" applyAlignment="1">
      <alignment horizontal="left" vertical="center"/>
    </xf>
    <xf numFmtId="9" fontId="14" fillId="3" borderId="1" xfId="2" applyNumberFormat="1" applyFont="1" applyFill="1" applyBorder="1" applyAlignment="1">
      <alignment horizontal="center" vertical="center"/>
    </xf>
    <xf numFmtId="0" fontId="14" fillId="3" borderId="1" xfId="0" applyFont="1" applyFill="1" applyBorder="1" applyAlignment="1">
      <alignment horizontal="left" vertical="center" wrapText="1" shrinkToFit="1"/>
    </xf>
    <xf numFmtId="0" fontId="14" fillId="3" borderId="10" xfId="0" applyFont="1" applyFill="1" applyBorder="1" applyAlignment="1">
      <alignment horizontal="left" vertical="center" wrapText="1" shrinkToFit="1"/>
    </xf>
    <xf numFmtId="166" fontId="14" fillId="3" borderId="3" xfId="2" applyNumberFormat="1" applyFont="1" applyFill="1" applyBorder="1" applyAlignment="1">
      <alignment horizontal="center" vertical="center"/>
    </xf>
    <xf numFmtId="0" fontId="14" fillId="3" borderId="3" xfId="0" applyFont="1" applyFill="1" applyBorder="1" applyAlignment="1">
      <alignment horizontal="justify" vertical="center" wrapText="1"/>
    </xf>
    <xf numFmtId="169" fontId="14" fillId="3" borderId="3" xfId="10" applyFont="1" applyFill="1" applyBorder="1" applyAlignment="1">
      <alignment horizontal="left" vertical="center"/>
    </xf>
    <xf numFmtId="166" fontId="14" fillId="3" borderId="3" xfId="2" applyNumberFormat="1" applyFont="1" applyFill="1" applyBorder="1" applyAlignment="1">
      <alignment horizontal="center" vertical="center"/>
    </xf>
    <xf numFmtId="0" fontId="14" fillId="3" borderId="3" xfId="0" applyFont="1" applyFill="1" applyBorder="1" applyAlignment="1">
      <alignment horizontal="left" vertical="center" wrapText="1" shrinkToFit="1"/>
    </xf>
    <xf numFmtId="166" fontId="1" fillId="36" borderId="0" xfId="2" applyNumberFormat="1" applyFont="1" applyFill="1" applyAlignment="1">
      <alignment horizontal="left" vertical="center"/>
    </xf>
    <xf numFmtId="169" fontId="14" fillId="3" borderId="2" xfId="10" applyFont="1" applyFill="1" applyBorder="1" applyAlignment="1">
      <alignment horizontal="center" vertical="center"/>
    </xf>
    <xf numFmtId="0" fontId="14" fillId="3" borderId="2" xfId="0" applyFont="1" applyFill="1" applyBorder="1" applyAlignment="1">
      <alignment horizontal="center" vertical="center"/>
    </xf>
    <xf numFmtId="166" fontId="14" fillId="3" borderId="2" xfId="2" applyNumberFormat="1" applyFont="1" applyFill="1" applyBorder="1" applyAlignment="1">
      <alignment horizontal="center" vertical="center"/>
    </xf>
    <xf numFmtId="0" fontId="14" fillId="3" borderId="2" xfId="0" applyFont="1" applyFill="1" applyBorder="1" applyAlignment="1">
      <alignment horizontal="justify" vertical="center" wrapText="1"/>
    </xf>
    <xf numFmtId="169" fontId="1" fillId="2" borderId="1" xfId="10" applyFont="1" applyFill="1" applyBorder="1" applyAlignment="1">
      <alignment horizontal="left" vertical="center"/>
    </xf>
    <xf numFmtId="169" fontId="14" fillId="2" borderId="1" xfId="10" applyFont="1" applyFill="1" applyBorder="1" applyAlignment="1">
      <alignment horizontal="left" vertical="center"/>
    </xf>
    <xf numFmtId="0" fontId="14" fillId="2" borderId="10" xfId="0" applyFont="1" applyFill="1" applyBorder="1" applyAlignment="1">
      <alignment horizontal="left" vertical="center" wrapText="1"/>
    </xf>
    <xf numFmtId="169" fontId="1" fillId="2" borderId="3" xfId="10" applyFont="1" applyFill="1" applyBorder="1" applyAlignment="1">
      <alignment horizontal="left" vertical="center"/>
    </xf>
    <xf numFmtId="9" fontId="1" fillId="36" borderId="0" xfId="0" applyNumberFormat="1" applyFont="1" applyFill="1" applyAlignment="1">
      <alignment horizontal="left" vertical="center"/>
    </xf>
    <xf numFmtId="43" fontId="14" fillId="34" borderId="3" xfId="11" applyFont="1" applyFill="1" applyBorder="1" applyAlignment="1">
      <alignment horizontal="center" vertical="center" wrapText="1"/>
    </xf>
    <xf numFmtId="0" fontId="14" fillId="34" borderId="3" xfId="0" applyFont="1" applyFill="1" applyBorder="1" applyAlignment="1">
      <alignment horizontal="center" vertical="center" wrapText="1"/>
    </xf>
    <xf numFmtId="169" fontId="1" fillId="2" borderId="4" xfId="10" applyFont="1" applyFill="1" applyBorder="1" applyAlignment="1">
      <alignment horizontal="center" vertical="center"/>
    </xf>
    <xf numFmtId="166" fontId="14" fillId="2" borderId="4" xfId="2" applyNumberFormat="1" applyFont="1" applyFill="1" applyBorder="1" applyAlignment="1">
      <alignment horizontal="center" vertical="center"/>
    </xf>
    <xf numFmtId="169" fontId="14" fillId="2" borderId="4" xfId="10" applyFont="1" applyFill="1" applyBorder="1" applyAlignment="1">
      <alignment horizontal="center" vertical="center"/>
    </xf>
    <xf numFmtId="0" fontId="14" fillId="2" borderId="4" xfId="0" applyFont="1" applyFill="1" applyBorder="1" applyAlignment="1">
      <alignment horizontal="center" vertical="center"/>
    </xf>
    <xf numFmtId="169" fontId="1" fillId="2" borderId="3" xfId="10" applyFont="1" applyFill="1" applyBorder="1" applyAlignment="1">
      <alignment horizontal="center" vertical="center"/>
    </xf>
    <xf numFmtId="0" fontId="1" fillId="2" borderId="3" xfId="0" applyFont="1" applyFill="1" applyBorder="1" applyAlignment="1">
      <alignment horizontal="justify" vertical="center" wrapText="1"/>
    </xf>
    <xf numFmtId="166" fontId="1" fillId="2" borderId="4" xfId="2" applyNumberFormat="1" applyFont="1" applyFill="1" applyBorder="1" applyAlignment="1">
      <alignment horizontal="center" vertical="center"/>
    </xf>
    <xf numFmtId="43" fontId="1" fillId="3" borderId="3" xfId="11" applyFont="1" applyFill="1" applyBorder="1" applyAlignment="1">
      <alignment horizontal="center" vertical="center"/>
    </xf>
    <xf numFmtId="169" fontId="1" fillId="2" borderId="2" xfId="10" applyFont="1" applyFill="1" applyBorder="1" applyAlignment="1">
      <alignment horizontal="center" vertical="center"/>
    </xf>
    <xf numFmtId="166" fontId="14" fillId="2" borderId="2" xfId="2" applyNumberFormat="1" applyFont="1" applyFill="1" applyBorder="1" applyAlignment="1">
      <alignment horizontal="center" vertical="center"/>
    </xf>
    <xf numFmtId="169" fontId="14" fillId="2" borderId="2" xfId="10" applyFont="1" applyFill="1" applyBorder="1" applyAlignment="1">
      <alignment horizontal="center" vertical="center"/>
    </xf>
    <xf numFmtId="0" fontId="14" fillId="2" borderId="2" xfId="0" applyFont="1" applyFill="1" applyBorder="1" applyAlignment="1">
      <alignment horizontal="center" vertical="center"/>
    </xf>
    <xf numFmtId="166" fontId="1" fillId="2" borderId="2" xfId="2" applyNumberFormat="1" applyFont="1" applyFill="1" applyBorder="1" applyAlignment="1">
      <alignment horizontal="center" vertical="center"/>
    </xf>
    <xf numFmtId="0" fontId="14" fillId="37" borderId="3" xfId="0" applyFont="1" applyFill="1" applyBorder="1" applyAlignment="1">
      <alignment horizontal="left" vertical="center" wrapText="1"/>
    </xf>
    <xf numFmtId="43" fontId="1" fillId="3" borderId="4" xfId="11" applyFont="1" applyFill="1" applyBorder="1" applyAlignment="1">
      <alignment horizontal="center" vertical="center" wrapText="1"/>
    </xf>
    <xf numFmtId="9" fontId="14" fillId="3" borderId="4" xfId="2" applyFont="1" applyFill="1" applyBorder="1" applyAlignment="1">
      <alignment horizontal="center" vertical="center" wrapText="1"/>
    </xf>
    <xf numFmtId="43" fontId="1" fillId="3" borderId="1" xfId="11" applyFont="1" applyFill="1" applyBorder="1" applyAlignment="1">
      <alignment horizontal="left" vertical="center"/>
    </xf>
    <xf numFmtId="9" fontId="1" fillId="3" borderId="4" xfId="2" applyFont="1" applyFill="1" applyBorder="1" applyAlignment="1">
      <alignment horizontal="center" vertical="center" wrapText="1"/>
    </xf>
    <xf numFmtId="0" fontId="14" fillId="3" borderId="6" xfId="0" applyFont="1" applyFill="1" applyBorder="1" applyAlignment="1">
      <alignment vertical="center" wrapText="1"/>
    </xf>
    <xf numFmtId="167" fontId="1" fillId="3" borderId="3" xfId="11" applyNumberFormat="1" applyFont="1" applyFill="1" applyBorder="1" applyAlignment="1">
      <alignment horizontal="center" vertical="center" wrapText="1"/>
    </xf>
    <xf numFmtId="10" fontId="1" fillId="3" borderId="3" xfId="2" applyNumberFormat="1" applyFont="1" applyFill="1" applyBorder="1" applyAlignment="1">
      <alignment horizontal="center" vertical="center" wrapText="1"/>
    </xf>
    <xf numFmtId="9" fontId="1" fillId="2" borderId="3" xfId="2" applyFont="1" applyFill="1" applyBorder="1" applyAlignment="1">
      <alignment horizontal="left" vertical="center"/>
    </xf>
    <xf numFmtId="9" fontId="1" fillId="3" borderId="3" xfId="2" applyNumberFormat="1" applyFont="1" applyFill="1" applyBorder="1" applyAlignment="1">
      <alignment horizontal="center" vertical="center" wrapText="1"/>
    </xf>
    <xf numFmtId="0" fontId="14" fillId="3" borderId="3" xfId="0" applyFont="1" applyFill="1" applyBorder="1" applyAlignment="1">
      <alignment vertical="center" wrapText="1"/>
    </xf>
    <xf numFmtId="9" fontId="1" fillId="3" borderId="4" xfId="2" applyFont="1" applyFill="1" applyBorder="1" applyAlignment="1">
      <alignment vertical="center" wrapText="1"/>
    </xf>
    <xf numFmtId="9" fontId="1" fillId="3" borderId="4" xfId="2" applyFont="1" applyFill="1" applyBorder="1" applyAlignment="1">
      <alignment horizontal="left" vertical="center" wrapText="1"/>
    </xf>
    <xf numFmtId="167" fontId="1" fillId="3" borderId="4" xfId="11" applyNumberFormat="1" applyFont="1" applyFill="1" applyBorder="1" applyAlignment="1">
      <alignment vertical="center" wrapText="1"/>
    </xf>
    <xf numFmtId="167" fontId="1" fillId="3" borderId="4" xfId="11" applyNumberFormat="1" applyFont="1" applyFill="1" applyBorder="1" applyAlignment="1">
      <alignment horizontal="center" vertical="center" wrapText="1"/>
    </xf>
    <xf numFmtId="167" fontId="1" fillId="3" borderId="4" xfId="11" applyNumberFormat="1" applyFont="1" applyFill="1" applyBorder="1" applyAlignment="1">
      <alignment horizontal="left" vertical="center" wrapText="1"/>
    </xf>
    <xf numFmtId="10" fontId="1" fillId="3" borderId="4" xfId="2" applyNumberFormat="1"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5" borderId="3" xfId="0" applyFont="1" applyFill="1" applyBorder="1" applyAlignment="1">
      <alignment horizontal="left" vertical="center" wrapText="1"/>
    </xf>
    <xf numFmtId="0" fontId="1" fillId="2" borderId="91" xfId="0" applyFont="1" applyFill="1" applyBorder="1" applyAlignment="1">
      <alignment horizontal="center" vertical="center"/>
    </xf>
    <xf numFmtId="9" fontId="14" fillId="2" borderId="7" xfId="0" applyNumberFormat="1" applyFont="1" applyFill="1" applyBorder="1" applyAlignment="1">
      <alignment horizontal="center" vertical="center"/>
    </xf>
    <xf numFmtId="9" fontId="14" fillId="2" borderId="0" xfId="0" applyNumberFormat="1" applyFont="1" applyFill="1" applyAlignment="1">
      <alignment horizontal="center" vertical="center"/>
    </xf>
    <xf numFmtId="0" fontId="14" fillId="2" borderId="82" xfId="0" applyFont="1" applyFill="1" applyBorder="1" applyAlignment="1">
      <alignment horizontal="center" vertical="center"/>
    </xf>
    <xf numFmtId="9" fontId="14" fillId="2" borderId="3" xfId="0" applyNumberFormat="1" applyFont="1" applyFill="1" applyBorder="1" applyAlignment="1">
      <alignment horizontal="center" vertical="center"/>
    </xf>
    <xf numFmtId="166" fontId="14" fillId="2" borderId="3" xfId="0" applyNumberFormat="1" applyFont="1" applyFill="1" applyBorder="1" applyAlignment="1">
      <alignment horizontal="center" vertical="center"/>
    </xf>
    <xf numFmtId="9" fontId="14" fillId="2" borderId="3" xfId="2" applyFont="1" applyFill="1" applyBorder="1" applyAlignment="1">
      <alignment horizontal="left" vertical="center"/>
    </xf>
    <xf numFmtId="0" fontId="1" fillId="2" borderId="3" xfId="0" applyFont="1" applyFill="1" applyBorder="1" applyAlignment="1">
      <alignment horizontal="justify" vertical="top"/>
    </xf>
    <xf numFmtId="9" fontId="1" fillId="2" borderId="12" xfId="0" applyNumberFormat="1" applyFont="1" applyFill="1" applyBorder="1" applyAlignment="1">
      <alignment horizontal="center" vertical="center"/>
    </xf>
    <xf numFmtId="0" fontId="1" fillId="2" borderId="12" xfId="0" applyFont="1" applyFill="1" applyBorder="1" applyAlignment="1">
      <alignment horizontal="justify" vertical="center"/>
    </xf>
    <xf numFmtId="165" fontId="1" fillId="3" borderId="14" xfId="3" applyFont="1" applyFill="1" applyBorder="1" applyAlignment="1">
      <alignment horizontal="center" vertical="center"/>
    </xf>
    <xf numFmtId="0" fontId="1" fillId="2" borderId="82" xfId="0" applyFont="1" applyFill="1" applyBorder="1" applyAlignment="1">
      <alignment horizontal="center" vertical="center"/>
    </xf>
    <xf numFmtId="0" fontId="14" fillId="2" borderId="7" xfId="0" applyFont="1" applyFill="1" applyBorder="1" applyAlignment="1">
      <alignment horizontal="center" vertical="center"/>
    </xf>
    <xf numFmtId="0" fontId="14" fillId="2" borderId="0" xfId="0" applyFont="1" applyFill="1" applyAlignment="1">
      <alignment horizontal="center" vertical="center"/>
    </xf>
    <xf numFmtId="0" fontId="14" fillId="3" borderId="3" xfId="0" applyFont="1" applyFill="1" applyBorder="1" applyAlignment="1">
      <alignment horizontal="left" vertical="center"/>
    </xf>
    <xf numFmtId="166" fontId="1" fillId="3" borderId="3" xfId="0" applyNumberFormat="1" applyFont="1" applyFill="1" applyBorder="1" applyAlignment="1">
      <alignment horizontal="left" vertical="center"/>
    </xf>
    <xf numFmtId="0" fontId="1" fillId="2" borderId="3" xfId="0" applyFont="1" applyFill="1" applyBorder="1" applyAlignment="1">
      <alignment horizontal="justify" vertical="center"/>
    </xf>
    <xf numFmtId="166" fontId="1" fillId="3" borderId="3" xfId="0" applyNumberFormat="1" applyFont="1" applyFill="1" applyBorder="1" applyAlignment="1">
      <alignment horizontal="center" vertical="center"/>
    </xf>
    <xf numFmtId="0" fontId="1" fillId="2" borderId="3" xfId="0" applyFont="1" applyFill="1" applyBorder="1" applyAlignment="1">
      <alignment horizontal="justify" vertical="top" wrapText="1"/>
    </xf>
    <xf numFmtId="0" fontId="1" fillId="2" borderId="14" xfId="0" applyFont="1" applyFill="1" applyBorder="1" applyAlignment="1">
      <alignment horizontal="center" vertical="center"/>
    </xf>
    <xf numFmtId="0" fontId="1" fillId="2" borderId="14" xfId="0" applyFont="1" applyFill="1" applyBorder="1" applyAlignment="1">
      <alignment horizontal="justify" vertical="center"/>
    </xf>
    <xf numFmtId="0" fontId="1" fillId="2" borderId="74" xfId="0" applyFont="1" applyFill="1" applyBorder="1" applyAlignment="1">
      <alignment horizontal="center" vertical="center"/>
    </xf>
    <xf numFmtId="10" fontId="14" fillId="2" borderId="2" xfId="2" applyNumberFormat="1" applyFont="1" applyFill="1" applyBorder="1" applyAlignment="1">
      <alignment horizontal="center" vertical="center"/>
    </xf>
    <xf numFmtId="0" fontId="14" fillId="2" borderId="9" xfId="0" applyFont="1" applyFill="1" applyBorder="1" applyAlignment="1">
      <alignment horizontal="center" vertical="center"/>
    </xf>
    <xf numFmtId="0" fontId="14" fillId="2" borderId="73" xfId="0" applyFont="1" applyFill="1" applyBorder="1" applyAlignment="1">
      <alignment horizontal="center" vertical="center"/>
    </xf>
    <xf numFmtId="0" fontId="14" fillId="2" borderId="74" xfId="0" applyFont="1" applyFill="1" applyBorder="1" applyAlignment="1">
      <alignment horizontal="center" vertical="center"/>
    </xf>
    <xf numFmtId="0" fontId="1" fillId="2" borderId="3" xfId="0" applyFont="1" applyFill="1" applyBorder="1" applyAlignment="1">
      <alignment horizontal="justify" vertical="center" wrapText="1"/>
    </xf>
    <xf numFmtId="0" fontId="1" fillId="2" borderId="13" xfId="0" applyFont="1" applyFill="1" applyBorder="1" applyAlignment="1">
      <alignment horizontal="center" vertical="center"/>
    </xf>
    <xf numFmtId="9" fontId="1" fillId="2" borderId="13" xfId="2" applyFont="1" applyFill="1" applyBorder="1" applyAlignment="1">
      <alignment horizontal="center" vertical="center"/>
    </xf>
    <xf numFmtId="0" fontId="1" fillId="2" borderId="13" xfId="0" applyFont="1" applyFill="1" applyBorder="1" applyAlignment="1">
      <alignment horizontal="justify" vertical="center"/>
    </xf>
    <xf numFmtId="0" fontId="14" fillId="33" borderId="3" xfId="0" applyFont="1" applyFill="1" applyBorder="1" applyAlignment="1">
      <alignment vertical="center" wrapText="1"/>
    </xf>
    <xf numFmtId="0" fontId="14" fillId="2" borderId="3" xfId="0" applyFont="1" applyFill="1" applyBorder="1" applyAlignment="1">
      <alignment vertical="center"/>
    </xf>
    <xf numFmtId="0" fontId="1" fillId="3" borderId="8" xfId="0" applyFont="1" applyFill="1" applyBorder="1" applyAlignment="1">
      <alignment horizontal="left" vertical="center"/>
    </xf>
    <xf numFmtId="0" fontId="14" fillId="3" borderId="8" xfId="0" applyFont="1" applyFill="1" applyBorder="1" applyAlignment="1">
      <alignment horizontal="left" vertical="center"/>
    </xf>
    <xf numFmtId="0" fontId="1" fillId="7" borderId="0" xfId="2" applyNumberFormat="1" applyFont="1" applyFill="1" applyAlignment="1">
      <alignment horizontal="left" vertical="center"/>
    </xf>
    <xf numFmtId="0" fontId="1" fillId="37" borderId="3" xfId="0" applyFont="1" applyFill="1" applyBorder="1" applyAlignment="1">
      <alignment horizontal="left" vertical="center" wrapText="1"/>
    </xf>
    <xf numFmtId="166" fontId="14" fillId="2" borderId="3" xfId="2" applyNumberFormat="1" applyFont="1" applyFill="1" applyBorder="1" applyAlignment="1">
      <alignment horizontal="left" vertical="center"/>
    </xf>
    <xf numFmtId="9" fontId="14" fillId="2" borderId="3" xfId="0" applyNumberFormat="1" applyFont="1" applyFill="1" applyBorder="1" applyAlignment="1">
      <alignment horizontal="left" vertical="center"/>
    </xf>
    <xf numFmtId="0" fontId="14" fillId="35" borderId="3" xfId="0" applyFont="1" applyFill="1" applyBorder="1" applyAlignment="1">
      <alignment horizontal="center" vertical="center" wrapText="1"/>
    </xf>
    <xf numFmtId="0" fontId="1" fillId="3" borderId="91" xfId="0" applyNumberFormat="1" applyFont="1" applyFill="1" applyBorder="1" applyAlignment="1">
      <alignment horizontal="center" vertical="center"/>
    </xf>
    <xf numFmtId="0" fontId="14" fillId="3" borderId="4" xfId="0" applyFont="1" applyFill="1" applyBorder="1" applyAlignment="1">
      <alignment vertical="center"/>
    </xf>
    <xf numFmtId="0" fontId="14" fillId="3" borderId="91" xfId="0" applyNumberFormat="1" applyFont="1" applyFill="1" applyBorder="1" applyAlignment="1">
      <alignment horizontal="center" vertical="center"/>
    </xf>
    <xf numFmtId="10" fontId="14" fillId="3" borderId="1" xfId="2" applyNumberFormat="1" applyFont="1" applyFill="1" applyBorder="1" applyAlignment="1">
      <alignment horizontal="center" vertical="center"/>
    </xf>
    <xf numFmtId="9" fontId="14" fillId="3" borderId="1" xfId="0" applyNumberFormat="1" applyFont="1" applyFill="1" applyBorder="1" applyAlignment="1">
      <alignment horizontal="left" vertical="center"/>
    </xf>
    <xf numFmtId="0" fontId="14" fillId="3" borderId="3" xfId="0" applyNumberFormat="1" applyFont="1" applyFill="1" applyBorder="1" applyAlignment="1">
      <alignment horizontal="center" vertical="center"/>
    </xf>
    <xf numFmtId="0" fontId="14" fillId="3" borderId="3" xfId="0" applyFont="1" applyFill="1" applyBorder="1" applyAlignment="1">
      <alignment vertical="center"/>
    </xf>
    <xf numFmtId="9" fontId="1" fillId="3" borderId="3" xfId="0" applyNumberFormat="1" applyFont="1" applyFill="1" applyBorder="1" applyAlignment="1">
      <alignment horizontal="left" vertical="center"/>
    </xf>
    <xf numFmtId="9" fontId="1" fillId="3" borderId="3" xfId="0" applyNumberFormat="1" applyFont="1" applyFill="1" applyBorder="1" applyAlignment="1">
      <alignment horizontal="center" vertical="center"/>
    </xf>
    <xf numFmtId="9" fontId="1" fillId="3" borderId="3" xfId="2" applyFont="1" applyFill="1" applyBorder="1" applyAlignment="1">
      <alignment horizontal="center" vertical="center" wrapText="1"/>
    </xf>
    <xf numFmtId="9" fontId="1" fillId="3" borderId="12" xfId="2" applyFont="1" applyFill="1" applyBorder="1" applyAlignment="1">
      <alignment horizontal="center" vertical="center" wrapText="1"/>
    </xf>
    <xf numFmtId="9" fontId="1" fillId="3" borderId="4" xfId="2" applyFont="1" applyFill="1" applyBorder="1" applyAlignment="1">
      <alignment horizontal="center" vertical="center" wrapText="1"/>
    </xf>
    <xf numFmtId="9" fontId="14" fillId="3" borderId="4" xfId="0" applyNumberFormat="1" applyFont="1" applyFill="1" applyBorder="1" applyAlignment="1">
      <alignment horizontal="center" vertical="center"/>
    </xf>
    <xf numFmtId="9" fontId="14" fillId="3" borderId="4" xfId="2" applyFont="1" applyFill="1" applyBorder="1" applyAlignment="1">
      <alignment horizontal="center" vertical="center" wrapText="1"/>
    </xf>
    <xf numFmtId="0" fontId="1" fillId="3" borderId="82" xfId="0" applyNumberFormat="1" applyFont="1" applyFill="1" applyBorder="1" applyAlignment="1">
      <alignment horizontal="center" vertical="center"/>
    </xf>
    <xf numFmtId="0" fontId="14" fillId="3" borderId="5" xfId="0" applyFont="1" applyFill="1" applyBorder="1" applyAlignment="1">
      <alignment vertical="center"/>
    </xf>
    <xf numFmtId="0" fontId="14" fillId="3" borderId="82" xfId="0" applyNumberFormat="1" applyFont="1" applyFill="1" applyBorder="1" applyAlignment="1">
      <alignment horizontal="center" vertical="center"/>
    </xf>
    <xf numFmtId="169" fontId="14" fillId="3" borderId="1" xfId="10" applyFont="1" applyFill="1" applyBorder="1" applyAlignment="1">
      <alignment horizontal="center" vertical="center"/>
    </xf>
    <xf numFmtId="9" fontId="1" fillId="3" borderId="14" xfId="2" applyFont="1" applyFill="1" applyBorder="1" applyAlignment="1">
      <alignment horizontal="center" vertical="center" wrapText="1"/>
    </xf>
    <xf numFmtId="9" fontId="1" fillId="3" borderId="5" xfId="2" applyFont="1" applyFill="1" applyBorder="1" applyAlignment="1">
      <alignment horizontal="center" vertical="center"/>
    </xf>
    <xf numFmtId="9" fontId="1" fillId="3" borderId="5" xfId="2" applyFont="1" applyFill="1" applyBorder="1" applyAlignment="1">
      <alignment horizontal="center" vertical="center" wrapText="1"/>
    </xf>
    <xf numFmtId="9" fontId="14" fillId="3" borderId="5" xfId="2" applyFont="1" applyFill="1" applyBorder="1" applyAlignment="1">
      <alignment horizontal="center" vertical="center"/>
    </xf>
    <xf numFmtId="9" fontId="14" fillId="3" borderId="5" xfId="0" applyNumberFormat="1" applyFont="1" applyFill="1" applyBorder="1" applyAlignment="1">
      <alignment horizontal="center" vertical="center"/>
    </xf>
    <xf numFmtId="9" fontId="14" fillId="3" borderId="5" xfId="2" applyFont="1" applyFill="1" applyBorder="1" applyAlignment="1">
      <alignment horizontal="center" vertical="center" wrapText="1"/>
    </xf>
    <xf numFmtId="10" fontId="1" fillId="3" borderId="1" xfId="0" applyNumberFormat="1" applyFont="1" applyFill="1" applyBorder="1" applyAlignment="1">
      <alignment horizontal="center" vertical="center"/>
    </xf>
    <xf numFmtId="9" fontId="1" fillId="3" borderId="13" xfId="2" applyFont="1" applyFill="1" applyBorder="1" applyAlignment="1">
      <alignment horizontal="center" vertical="center" wrapText="1"/>
    </xf>
    <xf numFmtId="9" fontId="1" fillId="3" borderId="2" xfId="2" applyFont="1" applyFill="1" applyBorder="1" applyAlignment="1">
      <alignment horizontal="center" vertical="center" wrapText="1"/>
    </xf>
    <xf numFmtId="10" fontId="1" fillId="3" borderId="1" xfId="2" applyNumberFormat="1" applyFont="1" applyFill="1" applyBorder="1" applyAlignment="1">
      <alignment horizontal="center" vertical="center"/>
    </xf>
    <xf numFmtId="9" fontId="14" fillId="3" borderId="2" xfId="2" applyFont="1" applyFill="1" applyBorder="1" applyAlignment="1">
      <alignment horizontal="center" vertical="center" wrapText="1"/>
    </xf>
    <xf numFmtId="9" fontId="1" fillId="3" borderId="1" xfId="2" applyNumberFormat="1" applyFont="1" applyFill="1" applyBorder="1" applyAlignment="1">
      <alignment horizontal="center" vertical="center"/>
    </xf>
    <xf numFmtId="0" fontId="14" fillId="35" borderId="3" xfId="0" applyFont="1" applyFill="1" applyBorder="1" applyAlignment="1">
      <alignment horizontal="left" vertical="center" wrapText="1"/>
    </xf>
    <xf numFmtId="0" fontId="19" fillId="35" borderId="3" xfId="0" applyFont="1" applyFill="1" applyBorder="1" applyAlignment="1">
      <alignment horizontal="left" vertical="center" wrapText="1"/>
    </xf>
    <xf numFmtId="10" fontId="14" fillId="3" borderId="1" xfId="2" applyNumberFormat="1" applyFont="1" applyFill="1" applyBorder="1" applyAlignment="1">
      <alignment horizontal="left" vertical="center"/>
    </xf>
    <xf numFmtId="9" fontId="1" fillId="3" borderId="3" xfId="2" applyFont="1" applyFill="1" applyBorder="1" applyAlignment="1">
      <alignment vertical="center"/>
    </xf>
    <xf numFmtId="9" fontId="1" fillId="3" borderId="3" xfId="0" applyNumberFormat="1" applyFont="1" applyFill="1" applyBorder="1" applyAlignment="1">
      <alignment vertical="center"/>
    </xf>
    <xf numFmtId="9" fontId="1" fillId="2" borderId="3" xfId="0" applyNumberFormat="1" applyFont="1" applyFill="1" applyBorder="1" applyAlignment="1">
      <alignment horizontal="center" vertical="center"/>
    </xf>
    <xf numFmtId="9" fontId="1" fillId="3" borderId="2" xfId="2" applyFont="1" applyFill="1" applyBorder="1" applyAlignment="1">
      <alignment vertical="center"/>
    </xf>
    <xf numFmtId="9" fontId="1" fillId="3" borderId="2" xfId="0" applyNumberFormat="1" applyFont="1" applyFill="1" applyBorder="1" applyAlignment="1">
      <alignment vertical="center"/>
    </xf>
    <xf numFmtId="9" fontId="14" fillId="3" borderId="2" xfId="2" applyFont="1" applyFill="1" applyBorder="1" applyAlignment="1">
      <alignment vertical="center"/>
    </xf>
    <xf numFmtId="9" fontId="14" fillId="3" borderId="2" xfId="0" applyNumberFormat="1" applyFont="1" applyFill="1" applyBorder="1" applyAlignment="1">
      <alignment vertical="center"/>
    </xf>
    <xf numFmtId="0" fontId="14" fillId="33" borderId="24" xfId="0" applyFont="1" applyFill="1" applyBorder="1" applyAlignment="1">
      <alignment horizontal="left" vertical="center" wrapText="1"/>
    </xf>
    <xf numFmtId="0" fontId="14" fillId="33" borderId="13" xfId="0" applyFont="1" applyFill="1" applyBorder="1" applyAlignment="1">
      <alignment horizontal="left" vertical="center" wrapText="1"/>
    </xf>
    <xf numFmtId="0" fontId="14" fillId="2" borderId="13" xfId="0" applyFont="1" applyFill="1" applyBorder="1" applyAlignment="1">
      <alignment horizontal="center" vertical="center"/>
    </xf>
    <xf numFmtId="0" fontId="14" fillId="37" borderId="13" xfId="0" applyFont="1" applyFill="1" applyBorder="1" applyAlignment="1">
      <alignment horizontal="center" vertical="center" wrapText="1"/>
    </xf>
    <xf numFmtId="0" fontId="14" fillId="2" borderId="13" xfId="0" applyFont="1" applyFill="1" applyBorder="1" applyAlignment="1">
      <alignment horizontal="left" vertical="center" wrapText="1"/>
    </xf>
    <xf numFmtId="9" fontId="31" fillId="2" borderId="3" xfId="2" applyNumberFormat="1" applyFont="1" applyFill="1" applyBorder="1" applyAlignment="1">
      <alignment horizontal="center" vertical="center"/>
    </xf>
    <xf numFmtId="9" fontId="14" fillId="2" borderId="13" xfId="2" applyFont="1" applyFill="1" applyBorder="1" applyAlignment="1">
      <alignment horizontal="center" vertical="center"/>
    </xf>
    <xf numFmtId="0" fontId="37" fillId="2" borderId="3" xfId="0" applyFont="1" applyFill="1" applyBorder="1" applyAlignment="1">
      <alignment horizontal="left" vertical="center" wrapText="1"/>
    </xf>
    <xf numFmtId="169" fontId="14" fillId="2" borderId="3" xfId="10" applyFont="1" applyFill="1" applyBorder="1" applyAlignment="1">
      <alignment horizontal="center" vertical="center"/>
    </xf>
    <xf numFmtId="0" fontId="14" fillId="2" borderId="3" xfId="10" applyNumberFormat="1" applyFont="1" applyFill="1" applyBorder="1" applyAlignment="1">
      <alignment horizontal="center" vertical="center"/>
    </xf>
    <xf numFmtId="9" fontId="38" fillId="2" borderId="3" xfId="2" applyNumberFormat="1" applyFont="1" applyFill="1" applyBorder="1" applyAlignment="1">
      <alignment horizontal="center" vertical="center"/>
    </xf>
    <xf numFmtId="0" fontId="39" fillId="2" borderId="3" xfId="0" applyFont="1" applyFill="1" applyBorder="1" applyAlignment="1">
      <alignment horizontal="left" vertical="center" wrapText="1"/>
    </xf>
    <xf numFmtId="0" fontId="14" fillId="34" borderId="16" xfId="0" applyFont="1" applyFill="1" applyBorder="1" applyAlignment="1">
      <alignment horizontal="left" vertical="center" wrapText="1"/>
    </xf>
    <xf numFmtId="0" fontId="14" fillId="34" borderId="3" xfId="0" applyFont="1" applyFill="1" applyBorder="1" applyAlignment="1">
      <alignment horizontal="left" vertical="center" wrapText="1"/>
    </xf>
    <xf numFmtId="0" fontId="1" fillId="37" borderId="3" xfId="0" applyFont="1" applyFill="1" applyBorder="1" applyAlignment="1">
      <alignment horizontal="center" vertical="center" wrapText="1"/>
    </xf>
    <xf numFmtId="0" fontId="1" fillId="2" borderId="16" xfId="0" applyFont="1" applyFill="1" applyBorder="1" applyAlignment="1">
      <alignment horizontal="center" vertical="center"/>
    </xf>
    <xf numFmtId="0" fontId="1" fillId="2" borderId="15" xfId="0" applyFont="1" applyFill="1" applyBorder="1" applyAlignment="1">
      <alignment horizontal="center" vertical="center"/>
    </xf>
    <xf numFmtId="9" fontId="1" fillId="2" borderId="119" xfId="2" applyFont="1" applyFill="1" applyBorder="1" applyAlignment="1">
      <alignment horizontal="center" vertical="center"/>
    </xf>
    <xf numFmtId="0" fontId="31" fillId="2" borderId="3" xfId="0" applyFont="1" applyFill="1" applyBorder="1" applyAlignment="1">
      <alignment horizontal="center" vertical="center"/>
    </xf>
    <xf numFmtId="9" fontId="14" fillId="2" borderId="3" xfId="2" applyFont="1" applyFill="1" applyBorder="1" applyAlignment="1">
      <alignment horizontal="center" vertical="center"/>
    </xf>
    <xf numFmtId="0" fontId="37" fillId="3" borderId="3" xfId="0" applyFont="1" applyFill="1" applyBorder="1" applyAlignment="1">
      <alignment horizontal="left" vertical="center" wrapText="1"/>
    </xf>
    <xf numFmtId="169" fontId="1" fillId="3" borderId="3" xfId="10" applyFont="1" applyFill="1" applyBorder="1" applyAlignment="1">
      <alignment horizontal="center" vertical="center"/>
    </xf>
    <xf numFmtId="0" fontId="1" fillId="3" borderId="3" xfId="10" applyNumberFormat="1" applyFont="1" applyFill="1" applyBorder="1" applyAlignment="1">
      <alignment horizontal="center" vertical="center"/>
    </xf>
    <xf numFmtId="0" fontId="14" fillId="3" borderId="12" xfId="0" applyFont="1" applyFill="1" applyBorder="1" applyAlignment="1">
      <alignment horizontal="center" vertical="center"/>
    </xf>
    <xf numFmtId="0" fontId="14" fillId="3" borderId="3" xfId="10" applyNumberFormat="1" applyFont="1" applyFill="1" applyBorder="1" applyAlignment="1">
      <alignment horizontal="center" vertical="center"/>
    </xf>
    <xf numFmtId="169" fontId="14" fillId="3" borderId="3" xfId="10" applyFont="1" applyFill="1" applyBorder="1" applyAlignment="1">
      <alignment horizontal="center" vertical="center"/>
    </xf>
    <xf numFmtId="0" fontId="38" fillId="3" borderId="3" xfId="0" applyFont="1" applyFill="1" applyBorder="1" applyAlignment="1">
      <alignment horizontal="center" vertical="center"/>
    </xf>
    <xf numFmtId="9" fontId="38" fillId="3" borderId="3" xfId="2" applyFont="1" applyFill="1" applyBorder="1" applyAlignment="1">
      <alignment horizontal="center" vertical="center"/>
    </xf>
    <xf numFmtId="0" fontId="39" fillId="3" borderId="3" xfId="0" applyFont="1" applyFill="1" applyBorder="1" applyAlignment="1">
      <alignment horizontal="left" vertical="top" wrapText="1"/>
    </xf>
    <xf numFmtId="9" fontId="1" fillId="7" borderId="0" xfId="2" applyFont="1" applyFill="1" applyAlignment="1">
      <alignment horizontal="left" vertical="center"/>
    </xf>
    <xf numFmtId="0" fontId="1" fillId="35" borderId="3" xfId="0" applyFont="1" applyFill="1" applyBorder="1" applyAlignment="1">
      <alignment horizontal="center" vertical="center" wrapText="1"/>
    </xf>
    <xf numFmtId="9" fontId="1" fillId="2" borderId="120" xfId="2" applyFont="1" applyFill="1" applyBorder="1" applyAlignment="1">
      <alignment horizontal="center" vertical="center"/>
    </xf>
    <xf numFmtId="9" fontId="14" fillId="2" borderId="2" xfId="2" applyFont="1" applyFill="1" applyBorder="1" applyAlignment="1">
      <alignment horizontal="center" vertical="center"/>
    </xf>
    <xf numFmtId="169" fontId="1" fillId="2" borderId="3" xfId="10" applyFont="1" applyFill="1" applyBorder="1" applyAlignment="1">
      <alignment horizontal="center" vertical="center"/>
    </xf>
    <xf numFmtId="0" fontId="40" fillId="2" borderId="3" xfId="0" applyFont="1" applyFill="1" applyBorder="1" applyAlignment="1">
      <alignment horizontal="center" vertical="center"/>
    </xf>
    <xf numFmtId="0" fontId="41" fillId="37" borderId="16" xfId="0" applyFont="1" applyFill="1" applyBorder="1" applyAlignment="1">
      <alignment horizontal="center" vertical="center" wrapText="1"/>
    </xf>
    <xf numFmtId="0" fontId="41" fillId="37" borderId="15" xfId="0" applyFont="1" applyFill="1" applyBorder="1" applyAlignment="1">
      <alignment horizontal="center" vertical="center" wrapText="1"/>
    </xf>
    <xf numFmtId="9" fontId="14" fillId="2" borderId="4" xfId="2" applyFont="1" applyFill="1" applyBorder="1" applyAlignment="1">
      <alignment horizontal="center" vertical="center"/>
    </xf>
    <xf numFmtId="0" fontId="31" fillId="2" borderId="3" xfId="0" applyFont="1" applyFill="1" applyBorder="1" applyAlignment="1">
      <alignment horizontal="center" vertical="center"/>
    </xf>
    <xf numFmtId="0" fontId="6" fillId="3" borderId="3" xfId="0" applyFont="1" applyFill="1" applyBorder="1" applyAlignment="1">
      <alignment horizontal="center" vertical="center"/>
    </xf>
    <xf numFmtId="0" fontId="41" fillId="3" borderId="3" xfId="0" applyFont="1" applyFill="1" applyBorder="1" applyAlignment="1">
      <alignment horizontal="left" vertical="center" wrapText="1"/>
    </xf>
    <xf numFmtId="0" fontId="38" fillId="2" borderId="3" xfId="0" applyFont="1" applyFill="1" applyBorder="1" applyAlignment="1">
      <alignment horizontal="center" vertical="center"/>
    </xf>
    <xf numFmtId="9" fontId="38" fillId="2" borderId="3" xfId="2" applyFont="1" applyFill="1" applyBorder="1" applyAlignment="1">
      <alignment horizontal="center" vertical="center"/>
    </xf>
    <xf numFmtId="0" fontId="39" fillId="2" borderId="3" xfId="0" applyFont="1" applyFill="1" applyBorder="1" applyAlignment="1">
      <alignment horizontal="left" vertical="top" wrapText="1"/>
    </xf>
    <xf numFmtId="0" fontId="1" fillId="2" borderId="16" xfId="0" applyFont="1" applyFill="1" applyBorder="1" applyAlignment="1">
      <alignment horizontal="left" vertical="center"/>
    </xf>
    <xf numFmtId="0" fontId="1" fillId="2" borderId="15" xfId="0" applyFont="1" applyFill="1" applyBorder="1" applyAlignment="1">
      <alignment horizontal="left" vertical="center"/>
    </xf>
    <xf numFmtId="0" fontId="37" fillId="2" borderId="3" xfId="0" applyFont="1" applyFill="1" applyBorder="1" applyAlignment="1">
      <alignment horizontal="left" vertical="center"/>
    </xf>
    <xf numFmtId="0" fontId="38" fillId="3" borderId="3" xfId="0" applyFont="1" applyFill="1" applyBorder="1" applyAlignment="1">
      <alignment horizontal="center" vertical="center"/>
    </xf>
    <xf numFmtId="9" fontId="38" fillId="3" borderId="3" xfId="2" applyFont="1" applyFill="1" applyBorder="1" applyAlignment="1">
      <alignment horizontal="center" vertical="center"/>
    </xf>
    <xf numFmtId="0" fontId="39" fillId="3" borderId="3" xfId="0" applyFont="1" applyFill="1" applyBorder="1" applyAlignment="1">
      <alignment horizontal="left" vertical="top" wrapText="1"/>
    </xf>
    <xf numFmtId="0" fontId="14" fillId="35" borderId="3" xfId="0" applyFont="1" applyFill="1" applyBorder="1" applyAlignment="1">
      <alignment horizontal="center" vertical="center" wrapText="1"/>
    </xf>
    <xf numFmtId="0" fontId="43" fillId="35" borderId="3" xfId="0" applyFont="1" applyFill="1" applyBorder="1" applyAlignment="1">
      <alignment horizontal="center" vertical="center" wrapText="1"/>
    </xf>
    <xf numFmtId="9" fontId="31" fillId="2" borderId="3" xfId="0" applyNumberFormat="1" applyFont="1" applyFill="1" applyBorder="1" applyAlignment="1">
      <alignment horizontal="center" vertical="center"/>
    </xf>
    <xf numFmtId="0" fontId="37" fillId="3" borderId="3" xfId="0" applyFont="1" applyFill="1" applyBorder="1" applyAlignment="1">
      <alignment horizontal="left" vertical="center"/>
    </xf>
    <xf numFmtId="0" fontId="44" fillId="2" borderId="3" xfId="0" applyFont="1" applyFill="1" applyBorder="1" applyAlignment="1">
      <alignment horizontal="center" vertical="center"/>
    </xf>
    <xf numFmtId="0" fontId="14" fillId="2" borderId="3" xfId="2" applyNumberFormat="1" applyFont="1" applyFill="1" applyBorder="1" applyAlignment="1">
      <alignment horizontal="center" vertical="center"/>
    </xf>
    <xf numFmtId="0" fontId="45" fillId="2" borderId="3" xfId="0" applyFont="1" applyFill="1" applyBorder="1" applyAlignment="1">
      <alignment horizontal="center" vertical="center"/>
    </xf>
    <xf numFmtId="0" fontId="46" fillId="2" borderId="3" xfId="0" applyFont="1" applyFill="1" applyBorder="1" applyAlignment="1">
      <alignment horizontal="left" vertical="center"/>
    </xf>
    <xf numFmtId="166" fontId="38" fillId="2" borderId="3" xfId="2" applyNumberFormat="1" applyFont="1" applyFill="1" applyBorder="1" applyAlignment="1">
      <alignment horizontal="center" vertical="center"/>
    </xf>
    <xf numFmtId="9" fontId="38" fillId="2" borderId="3" xfId="0" applyNumberFormat="1" applyFont="1" applyFill="1" applyBorder="1" applyAlignment="1">
      <alignment horizontal="center" vertical="center"/>
    </xf>
    <xf numFmtId="0" fontId="1" fillId="3" borderId="12" xfId="0" applyFont="1" applyFill="1" applyBorder="1" applyAlignment="1">
      <alignment horizontal="center" vertical="center"/>
    </xf>
    <xf numFmtId="0" fontId="14" fillId="35" borderId="21" xfId="0" applyFont="1" applyFill="1" applyBorder="1" applyAlignment="1">
      <alignment horizontal="left" vertical="center" wrapText="1"/>
    </xf>
    <xf numFmtId="0" fontId="14" fillId="3" borderId="14" xfId="0" applyFont="1" applyFill="1" applyBorder="1" applyAlignment="1">
      <alignment horizontal="left" vertical="center" wrapText="1"/>
    </xf>
    <xf numFmtId="0" fontId="14" fillId="35" borderId="14" xfId="0" applyFont="1" applyFill="1" applyBorder="1" applyAlignment="1">
      <alignment horizontal="center" vertical="center" wrapText="1"/>
    </xf>
    <xf numFmtId="0" fontId="43" fillId="35" borderId="14" xfId="0" applyFont="1" applyFill="1" applyBorder="1" applyAlignment="1">
      <alignment horizontal="center" vertical="center" wrapText="1"/>
    </xf>
    <xf numFmtId="0" fontId="1" fillId="2" borderId="14" xfId="0" applyFont="1" applyFill="1" applyBorder="1" applyAlignment="1">
      <alignment horizontal="left" vertical="center"/>
    </xf>
    <xf numFmtId="0" fontId="1" fillId="2" borderId="20" xfId="0" applyFont="1" applyFill="1" applyBorder="1" applyAlignment="1">
      <alignment horizontal="left" vertical="center"/>
    </xf>
    <xf numFmtId="0" fontId="1" fillId="2" borderId="21" xfId="0" applyFont="1" applyFill="1" applyBorder="1" applyAlignment="1">
      <alignment horizontal="left" vertical="center"/>
    </xf>
    <xf numFmtId="165" fontId="1" fillId="2" borderId="3" xfId="3" applyFont="1" applyFill="1" applyBorder="1" applyAlignment="1">
      <alignment horizontal="left" vertical="center"/>
    </xf>
    <xf numFmtId="0" fontId="1" fillId="2" borderId="8" xfId="0" applyFont="1" applyFill="1" applyBorder="1" applyAlignment="1">
      <alignment horizontal="left" vertical="center"/>
    </xf>
    <xf numFmtId="0" fontId="14" fillId="2" borderId="8" xfId="0" applyFont="1" applyFill="1" applyBorder="1" applyAlignment="1">
      <alignment horizontal="left" vertical="center"/>
    </xf>
    <xf numFmtId="10" fontId="1" fillId="7" borderId="0" xfId="0" applyNumberFormat="1" applyFont="1" applyFill="1" applyAlignment="1">
      <alignment horizontal="left" vertical="center"/>
    </xf>
    <xf numFmtId="0" fontId="1" fillId="3" borderId="84" xfId="0" applyFont="1" applyFill="1" applyBorder="1" applyAlignment="1">
      <alignment horizontal="left" vertical="center" wrapText="1"/>
    </xf>
    <xf numFmtId="0" fontId="14" fillId="3" borderId="16" xfId="0" applyFont="1" applyFill="1" applyBorder="1" applyAlignment="1">
      <alignment horizontal="left" vertical="center" wrapText="1"/>
    </xf>
    <xf numFmtId="170" fontId="1" fillId="3" borderId="3" xfId="0" applyNumberFormat="1" applyFont="1" applyFill="1" applyBorder="1" applyAlignment="1">
      <alignment horizontal="left" vertical="center"/>
    </xf>
    <xf numFmtId="170" fontId="1" fillId="3" borderId="8" xfId="0" applyNumberFormat="1" applyFont="1" applyFill="1" applyBorder="1" applyAlignment="1">
      <alignment horizontal="left" vertical="center"/>
    </xf>
    <xf numFmtId="170" fontId="1" fillId="3" borderId="1" xfId="0" applyNumberFormat="1" applyFont="1" applyFill="1" applyBorder="1" applyAlignment="1">
      <alignment horizontal="left" vertical="center"/>
    </xf>
    <xf numFmtId="170" fontId="14" fillId="3" borderId="8" xfId="0" applyNumberFormat="1" applyFont="1" applyFill="1" applyBorder="1" applyAlignment="1">
      <alignment horizontal="left" vertical="center"/>
    </xf>
    <xf numFmtId="166" fontId="14" fillId="3" borderId="1" xfId="0" applyNumberFormat="1" applyFont="1" applyFill="1" applyBorder="1" applyAlignment="1">
      <alignment horizontal="left" vertical="center"/>
    </xf>
    <xf numFmtId="170" fontId="14" fillId="3" borderId="1" xfId="0" applyNumberFormat="1" applyFont="1" applyFill="1" applyBorder="1" applyAlignment="1">
      <alignment horizontal="left" vertical="center"/>
    </xf>
    <xf numFmtId="170" fontId="14" fillId="3" borderId="3" xfId="0" applyNumberFormat="1" applyFont="1" applyFill="1" applyBorder="1" applyAlignment="1">
      <alignment horizontal="left" vertical="center"/>
    </xf>
    <xf numFmtId="9" fontId="14" fillId="3" borderId="3" xfId="0" applyNumberFormat="1" applyFont="1" applyFill="1" applyBorder="1" applyAlignment="1">
      <alignment horizontal="left" vertical="center"/>
    </xf>
    <xf numFmtId="0" fontId="1" fillId="3" borderId="0" xfId="0" applyFont="1" applyFill="1" applyBorder="1" applyAlignment="1">
      <alignment horizontal="center" vertical="center"/>
    </xf>
    <xf numFmtId="0" fontId="1" fillId="3" borderId="0" xfId="0" applyFont="1" applyFill="1" applyBorder="1" applyAlignment="1">
      <alignment horizontal="left" vertical="center" wrapText="1"/>
    </xf>
    <xf numFmtId="9" fontId="14" fillId="2" borderId="0" xfId="0" applyNumberFormat="1" applyFont="1" applyFill="1" applyAlignment="1">
      <alignment horizontal="left" vertical="center"/>
    </xf>
    <xf numFmtId="169" fontId="14" fillId="2" borderId="3" xfId="10" applyFont="1" applyFill="1" applyBorder="1" applyAlignment="1">
      <alignment horizontal="left" vertical="center"/>
    </xf>
    <xf numFmtId="9" fontId="14" fillId="2" borderId="3" xfId="10" applyNumberFormat="1" applyFont="1" applyFill="1" applyBorder="1" applyAlignment="1">
      <alignment horizontal="left" vertical="center"/>
    </xf>
    <xf numFmtId="0" fontId="1" fillId="0" borderId="0" xfId="0" applyFont="1" applyAlignment="1">
      <alignment horizontal="center" vertical="center" wrapText="1"/>
    </xf>
    <xf numFmtId="0" fontId="14" fillId="0" borderId="0" xfId="0" applyFont="1" applyAlignment="1">
      <alignment horizontal="left" vertical="center"/>
    </xf>
    <xf numFmtId="9" fontId="1" fillId="0" borderId="0" xfId="0" applyNumberFormat="1" applyFont="1" applyAlignment="1">
      <alignment horizontal="left" vertical="center"/>
    </xf>
    <xf numFmtId="10" fontId="1" fillId="0" borderId="0" xfId="0" applyNumberFormat="1" applyFont="1" applyAlignment="1">
      <alignment horizontal="left" vertical="center"/>
    </xf>
    <xf numFmtId="0" fontId="47" fillId="4" borderId="9" xfId="0" applyFont="1" applyFill="1" applyBorder="1" applyAlignment="1">
      <alignment horizontal="center" vertical="center"/>
    </xf>
    <xf numFmtId="0" fontId="47" fillId="4" borderId="73" xfId="0" applyFont="1" applyFill="1" applyBorder="1" applyAlignment="1">
      <alignment horizontal="center" vertical="center"/>
    </xf>
    <xf numFmtId="0" fontId="47" fillId="4" borderId="74" xfId="0" applyFont="1" applyFill="1" applyBorder="1" applyAlignment="1">
      <alignment horizontal="center" vertical="center"/>
    </xf>
    <xf numFmtId="0" fontId="6" fillId="2" borderId="4" xfId="0" applyFont="1" applyFill="1" applyBorder="1" applyAlignment="1">
      <alignment horizontal="center" vertical="center"/>
    </xf>
    <xf numFmtId="164" fontId="6" fillId="2" borderId="4" xfId="12" applyNumberFormat="1" applyFont="1" applyFill="1" applyBorder="1" applyAlignment="1">
      <alignment horizontal="center" vertical="center"/>
    </xf>
    <xf numFmtId="0" fontId="14" fillId="3" borderId="1" xfId="0" applyFont="1" applyFill="1" applyBorder="1" applyAlignment="1">
      <alignment horizontal="justify" vertical="center" wrapText="1"/>
    </xf>
    <xf numFmtId="166" fontId="1" fillId="3" borderId="0" xfId="2" applyNumberFormat="1" applyFont="1" applyFill="1" applyAlignment="1">
      <alignment horizontal="left" vertical="center"/>
    </xf>
    <xf numFmtId="0" fontId="6" fillId="2" borderId="5" xfId="0" applyFont="1" applyFill="1" applyBorder="1" applyAlignment="1">
      <alignment horizontal="center" vertical="center"/>
    </xf>
    <xf numFmtId="164" fontId="6" fillId="2" borderId="5" xfId="12" applyNumberFormat="1" applyFont="1" applyFill="1" applyBorder="1" applyAlignment="1">
      <alignment horizontal="center" vertical="center"/>
    </xf>
    <xf numFmtId="0" fontId="14" fillId="3" borderId="5" xfId="0" applyFont="1" applyFill="1" applyBorder="1" applyAlignment="1">
      <alignment horizontal="justify" vertical="center" wrapText="1"/>
    </xf>
    <xf numFmtId="164" fontId="6" fillId="2" borderId="2" xfId="12" applyNumberFormat="1" applyFont="1" applyFill="1" applyBorder="1" applyAlignment="1">
      <alignment horizontal="center" vertical="center"/>
    </xf>
    <xf numFmtId="0" fontId="1" fillId="2" borderId="1" xfId="0" applyFont="1" applyFill="1" applyBorder="1" applyAlignment="1">
      <alignment horizontal="justify" vertical="center"/>
    </xf>
    <xf numFmtId="165" fontId="1" fillId="2" borderId="1" xfId="3" applyFont="1" applyFill="1" applyBorder="1" applyAlignment="1">
      <alignment horizontal="center" vertical="center"/>
    </xf>
    <xf numFmtId="164" fontId="6" fillId="2" borderId="1" xfId="12" applyNumberFormat="1" applyFont="1" applyFill="1" applyBorder="1" applyAlignment="1">
      <alignment horizontal="left" vertical="center"/>
    </xf>
    <xf numFmtId="172" fontId="1" fillId="2" borderId="1" xfId="13" applyFont="1" applyFill="1" applyBorder="1" applyAlignment="1">
      <alignment horizontal="left" vertical="center"/>
    </xf>
    <xf numFmtId="173" fontId="1" fillId="2" borderId="1" xfId="0" applyNumberFormat="1" applyFont="1" applyFill="1" applyBorder="1" applyAlignment="1">
      <alignment horizontal="justify" vertical="center" wrapText="1"/>
    </xf>
    <xf numFmtId="0" fontId="19" fillId="2" borderId="1" xfId="0" applyFont="1" applyFill="1" applyBorder="1" applyAlignment="1">
      <alignment horizontal="left" vertical="center" wrapText="1"/>
    </xf>
    <xf numFmtId="0" fontId="1" fillId="3" borderId="1" xfId="0" applyFont="1" applyFill="1" applyBorder="1" applyAlignment="1">
      <alignment horizontal="justify" vertical="center"/>
    </xf>
    <xf numFmtId="0" fontId="6" fillId="2" borderId="2" xfId="0" applyFont="1" applyFill="1" applyBorder="1" applyAlignment="1">
      <alignment horizontal="center" vertical="center"/>
    </xf>
    <xf numFmtId="9" fontId="1" fillId="2" borderId="1" xfId="0" applyNumberFormat="1" applyFont="1" applyFill="1" applyBorder="1" applyAlignment="1">
      <alignment horizontal="center" vertical="center" wrapText="1"/>
    </xf>
    <xf numFmtId="9" fontId="1" fillId="2" borderId="0" xfId="0" applyNumberFormat="1" applyFont="1" applyFill="1" applyAlignment="1">
      <alignment horizontal="left" vertical="center"/>
    </xf>
    <xf numFmtId="0" fontId="2" fillId="4" borderId="73" xfId="0" applyFont="1" applyFill="1" applyBorder="1" applyAlignment="1">
      <alignment horizontal="center" vertical="center"/>
    </xf>
    <xf numFmtId="166" fontId="0" fillId="0" borderId="0" xfId="2" applyNumberFormat="1" applyFont="1"/>
    <xf numFmtId="10" fontId="0" fillId="0" borderId="0" xfId="2" applyNumberFormat="1" applyFont="1"/>
    <xf numFmtId="0" fontId="1" fillId="2" borderId="10" xfId="0" applyFont="1" applyFill="1" applyBorder="1" applyAlignment="1">
      <alignment horizontal="center" vertical="center"/>
    </xf>
    <xf numFmtId="10" fontId="1" fillId="3" borderId="4" xfId="2" applyNumberFormat="1" applyFont="1" applyFill="1" applyBorder="1" applyAlignment="1">
      <alignment horizontal="center" vertical="center"/>
    </xf>
    <xf numFmtId="10" fontId="1" fillId="3" borderId="1" xfId="2" applyNumberFormat="1" applyFont="1" applyFill="1" applyBorder="1" applyAlignment="1">
      <alignment horizontal="left" vertical="center"/>
    </xf>
    <xf numFmtId="0" fontId="1" fillId="38" borderId="4" xfId="0" applyFont="1" applyFill="1" applyBorder="1" applyAlignment="1">
      <alignment horizontal="center" vertical="center"/>
    </xf>
    <xf numFmtId="0" fontId="1" fillId="38" borderId="1" xfId="0" applyFont="1" applyFill="1" applyBorder="1" applyAlignment="1">
      <alignment horizontal="center" vertical="center"/>
    </xf>
    <xf numFmtId="0" fontId="14" fillId="3" borderId="4" xfId="0" applyFont="1" applyFill="1" applyBorder="1" applyAlignment="1">
      <alignment horizontal="left" vertical="center" wrapText="1"/>
    </xf>
    <xf numFmtId="0" fontId="14" fillId="3" borderId="4" xfId="0" applyFont="1" applyFill="1" applyBorder="1" applyAlignment="1">
      <alignment horizontal="center" vertical="center"/>
    </xf>
    <xf numFmtId="10" fontId="1" fillId="3" borderId="5" xfId="2" applyNumberFormat="1" applyFont="1" applyFill="1" applyBorder="1" applyAlignment="1">
      <alignment horizontal="center" vertical="center"/>
    </xf>
    <xf numFmtId="10" fontId="1" fillId="3" borderId="1" xfId="0" applyNumberFormat="1" applyFont="1" applyFill="1" applyBorder="1" applyAlignment="1">
      <alignment horizontal="left" vertical="center"/>
    </xf>
    <xf numFmtId="10" fontId="1" fillId="2" borderId="1" xfId="0" applyNumberFormat="1" applyFont="1" applyFill="1" applyBorder="1" applyAlignment="1">
      <alignment horizontal="center" vertical="center"/>
    </xf>
    <xf numFmtId="0" fontId="1" fillId="38" borderId="5" xfId="0" applyFont="1" applyFill="1" applyBorder="1" applyAlignment="1">
      <alignment horizontal="center" vertical="center"/>
    </xf>
    <xf numFmtId="10" fontId="1" fillId="2" borderId="1" xfId="0" applyNumberFormat="1" applyFont="1" applyFill="1" applyBorder="1" applyAlignment="1">
      <alignment horizontal="left" vertical="center"/>
    </xf>
    <xf numFmtId="0" fontId="14" fillId="2" borderId="10" xfId="0" applyFont="1" applyFill="1" applyBorder="1" applyAlignment="1">
      <alignment horizontal="center" vertical="center"/>
    </xf>
    <xf numFmtId="0" fontId="14" fillId="2" borderId="8" xfId="0" applyFont="1" applyFill="1" applyBorder="1" applyAlignment="1">
      <alignment horizontal="center" vertical="center"/>
    </xf>
    <xf numFmtId="10" fontId="1" fillId="3" borderId="2" xfId="2" applyNumberFormat="1" applyFont="1" applyFill="1" applyBorder="1" applyAlignment="1">
      <alignment horizontal="center" vertical="center"/>
    </xf>
    <xf numFmtId="0" fontId="1" fillId="38" borderId="2" xfId="0" applyFont="1" applyFill="1" applyBorder="1" applyAlignment="1">
      <alignment horizontal="center" vertical="center"/>
    </xf>
    <xf numFmtId="0" fontId="1" fillId="2" borderId="6" xfId="0" applyFont="1" applyFill="1" applyBorder="1" applyAlignment="1">
      <alignment horizontal="center" vertical="center"/>
    </xf>
    <xf numFmtId="0" fontId="22" fillId="3" borderId="84" xfId="8" applyFill="1" applyBorder="1" applyAlignment="1">
      <alignment vertical="center" wrapText="1"/>
    </xf>
    <xf numFmtId="0" fontId="1" fillId="3" borderId="91" xfId="0" applyFont="1" applyFill="1" applyBorder="1" applyAlignment="1">
      <alignment horizontal="center" vertical="center"/>
    </xf>
    <xf numFmtId="0" fontId="1" fillId="3" borderId="6" xfId="0" applyFont="1" applyFill="1" applyBorder="1" applyAlignment="1">
      <alignment horizontal="center" vertical="center"/>
    </xf>
    <xf numFmtId="0" fontId="22" fillId="3" borderId="84" xfId="8" applyFill="1" applyBorder="1" applyAlignment="1">
      <alignment horizontal="center" vertical="center"/>
    </xf>
    <xf numFmtId="164" fontId="6" fillId="2" borderId="82" xfId="12" applyNumberFormat="1" applyFont="1" applyFill="1" applyBorder="1" applyAlignment="1">
      <alignment horizontal="center" vertical="center"/>
    </xf>
    <xf numFmtId="0" fontId="1" fillId="3" borderId="4" xfId="0" applyNumberFormat="1" applyFont="1" applyFill="1" applyBorder="1" applyAlignment="1">
      <alignment horizontal="center" vertical="center"/>
    </xf>
    <xf numFmtId="0" fontId="1" fillId="3" borderId="4" xfId="2" applyNumberFormat="1" applyFont="1" applyFill="1" applyBorder="1" applyAlignment="1">
      <alignment horizontal="center" vertical="center"/>
    </xf>
    <xf numFmtId="0" fontId="1" fillId="2" borderId="4" xfId="2" applyNumberFormat="1" applyFont="1" applyFill="1" applyBorder="1" applyAlignment="1">
      <alignment horizontal="center" vertical="center"/>
    </xf>
    <xf numFmtId="0" fontId="15" fillId="39" borderId="4" xfId="4" applyFill="1" applyBorder="1" applyAlignment="1">
      <alignment horizontal="center" vertical="center"/>
    </xf>
    <xf numFmtId="0" fontId="43" fillId="39" borderId="72" xfId="7" applyFont="1" applyFill="1" applyBorder="1" applyAlignment="1">
      <alignment horizontal="left" vertical="center" wrapText="1"/>
    </xf>
    <xf numFmtId="0" fontId="43" fillId="2" borderId="72" xfId="7" applyFont="1" applyFill="1" applyBorder="1" applyAlignment="1">
      <alignment horizontal="left" vertical="center" wrapText="1"/>
    </xf>
    <xf numFmtId="0" fontId="15" fillId="3" borderId="4" xfId="4" applyFill="1" applyBorder="1" applyAlignment="1">
      <alignment horizontal="center" vertical="center"/>
    </xf>
    <xf numFmtId="10" fontId="1" fillId="3" borderId="4" xfId="0" applyNumberFormat="1" applyFont="1" applyFill="1" applyBorder="1" applyAlignment="1">
      <alignment horizontal="center" vertical="center"/>
    </xf>
    <xf numFmtId="0" fontId="43" fillId="3" borderId="72" xfId="7" applyFont="1" applyFill="1" applyBorder="1" applyAlignment="1">
      <alignment horizontal="left" vertical="center" wrapText="1"/>
    </xf>
    <xf numFmtId="0" fontId="40" fillId="2" borderId="2" xfId="5" applyFont="1" applyFill="1" applyBorder="1" applyAlignment="1">
      <alignment horizontal="left" vertical="center" wrapText="1"/>
    </xf>
    <xf numFmtId="0" fontId="48" fillId="2" borderId="71" xfId="9" applyFont="1" applyFill="1" applyAlignment="1">
      <alignment horizontal="center" vertical="center"/>
    </xf>
    <xf numFmtId="0" fontId="1" fillId="3" borderId="2" xfId="0" applyNumberFormat="1" applyFont="1" applyFill="1" applyBorder="1" applyAlignment="1">
      <alignment horizontal="center" vertical="center"/>
    </xf>
    <xf numFmtId="0" fontId="1" fillId="3" borderId="2" xfId="2" applyNumberFormat="1" applyFont="1" applyFill="1" applyBorder="1" applyAlignment="1">
      <alignment horizontal="center" vertical="center"/>
    </xf>
    <xf numFmtId="0" fontId="1" fillId="2" borderId="2" xfId="2" applyNumberFormat="1" applyFont="1" applyFill="1" applyBorder="1" applyAlignment="1">
      <alignment horizontal="center" vertical="center"/>
    </xf>
    <xf numFmtId="0" fontId="15" fillId="39" borderId="2" xfId="4" applyFill="1" applyBorder="1" applyAlignment="1">
      <alignment horizontal="center" vertical="center"/>
    </xf>
    <xf numFmtId="0" fontId="15" fillId="3" borderId="2" xfId="4" applyFill="1" applyBorder="1" applyAlignment="1">
      <alignment horizontal="center" vertical="center"/>
    </xf>
    <xf numFmtId="0" fontId="1" fillId="3" borderId="1" xfId="0" applyNumberFormat="1" applyFont="1" applyFill="1" applyBorder="1" applyAlignment="1">
      <alignment horizontal="center" vertical="center"/>
    </xf>
    <xf numFmtId="166" fontId="1" fillId="0" borderId="0" xfId="2" applyNumberFormat="1" applyFont="1" applyAlignment="1">
      <alignment horizontal="left" vertical="center"/>
    </xf>
    <xf numFmtId="0" fontId="23" fillId="3" borderId="4" xfId="0" applyFont="1" applyFill="1" applyBorder="1" applyAlignment="1">
      <alignment horizontal="center" vertical="center"/>
    </xf>
    <xf numFmtId="0" fontId="23" fillId="3" borderId="5" xfId="0" applyFont="1" applyFill="1" applyBorder="1" applyAlignment="1">
      <alignment horizontal="center" vertical="center"/>
    </xf>
    <xf numFmtId="0" fontId="23" fillId="3" borderId="2" xfId="0" applyFont="1" applyFill="1" applyBorder="1" applyAlignment="1">
      <alignment horizontal="center" vertical="center"/>
    </xf>
    <xf numFmtId="0" fontId="1" fillId="0" borderId="0" xfId="0" applyFont="1" applyFill="1" applyAlignment="1">
      <alignment horizontal="left" vertical="center"/>
    </xf>
    <xf numFmtId="0" fontId="14" fillId="2" borderId="1" xfId="0" applyFont="1" applyFill="1" applyBorder="1" applyAlignment="1">
      <alignment vertical="top" wrapText="1"/>
    </xf>
    <xf numFmtId="0" fontId="2" fillId="7" borderId="0" xfId="0" applyFont="1" applyFill="1" applyAlignment="1">
      <alignment horizontal="center" vertical="center"/>
    </xf>
    <xf numFmtId="0" fontId="8" fillId="6" borderId="12" xfId="0" applyFont="1" applyFill="1" applyBorder="1" applyAlignment="1">
      <alignment horizontal="center" vertical="center"/>
    </xf>
    <xf numFmtId="0" fontId="8" fillId="6" borderId="121" xfId="0" applyFont="1" applyFill="1" applyBorder="1" applyAlignment="1">
      <alignment horizontal="center"/>
    </xf>
    <xf numFmtId="0" fontId="8" fillId="6" borderId="122" xfId="0" applyFont="1" applyFill="1" applyBorder="1" applyAlignment="1">
      <alignment horizontal="center"/>
    </xf>
    <xf numFmtId="0" fontId="8" fillId="6" borderId="123" xfId="0" applyFont="1" applyFill="1" applyBorder="1" applyAlignment="1">
      <alignment horizontal="center"/>
    </xf>
    <xf numFmtId="0" fontId="23" fillId="7" borderId="123" xfId="0" applyFont="1" applyFill="1" applyBorder="1" applyAlignment="1">
      <alignment horizontal="center"/>
    </xf>
    <xf numFmtId="0" fontId="23" fillId="7" borderId="122" xfId="0" applyFont="1" applyFill="1" applyBorder="1" applyAlignment="1">
      <alignment horizontal="center"/>
    </xf>
    <xf numFmtId="0" fontId="23" fillId="7" borderId="0" xfId="0" applyFont="1" applyFill="1"/>
    <xf numFmtId="0" fontId="8" fillId="6" borderId="13" xfId="0" applyFont="1" applyFill="1" applyBorder="1" applyAlignment="1">
      <alignment horizontal="center" vertical="center"/>
    </xf>
    <xf numFmtId="0" fontId="8" fillId="6" borderId="124" xfId="0" applyFont="1" applyFill="1" applyBorder="1" applyAlignment="1">
      <alignment horizontal="center" wrapText="1"/>
    </xf>
    <xf numFmtId="0" fontId="8" fillId="6" borderId="125" xfId="0" applyFont="1" applyFill="1" applyBorder="1" applyAlignment="1">
      <alignment horizontal="center" wrapText="1"/>
    </xf>
    <xf numFmtId="0" fontId="8" fillId="6" borderId="126" xfId="0" applyFont="1" applyFill="1" applyBorder="1" applyAlignment="1">
      <alignment horizontal="center" wrapText="1"/>
    </xf>
    <xf numFmtId="0" fontId="24" fillId="6" borderId="126" xfId="0" applyFont="1" applyFill="1" applyBorder="1" applyAlignment="1">
      <alignment horizontal="center" wrapText="1"/>
    </xf>
    <xf numFmtId="0" fontId="24" fillId="6" borderId="125" xfId="0" applyFont="1" applyFill="1" applyBorder="1" applyAlignment="1">
      <alignment horizontal="center" wrapText="1"/>
    </xf>
    <xf numFmtId="0" fontId="0" fillId="7" borderId="126" xfId="0" applyFill="1" applyBorder="1" applyAlignment="1">
      <alignment horizontal="center" wrapText="1"/>
    </xf>
    <xf numFmtId="0" fontId="0" fillId="7" borderId="125" xfId="0" applyFill="1" applyBorder="1" applyAlignment="1">
      <alignment horizontal="center" wrapText="1"/>
    </xf>
    <xf numFmtId="0" fontId="0" fillId="7" borderId="0" xfId="0" applyFill="1" applyAlignment="1">
      <alignment horizontal="center"/>
    </xf>
    <xf numFmtId="0" fontId="23" fillId="2" borderId="127" xfId="0" applyFont="1" applyFill="1" applyBorder="1" applyAlignment="1">
      <alignment horizontal="center" vertical="center"/>
    </xf>
    <xf numFmtId="0" fontId="0" fillId="2" borderId="127" xfId="0" applyFill="1" applyBorder="1"/>
    <xf numFmtId="166" fontId="0" fillId="2" borderId="128" xfId="2" applyNumberFormat="1" applyFont="1" applyFill="1" applyBorder="1"/>
    <xf numFmtId="166" fontId="0" fillId="2" borderId="129" xfId="2" applyNumberFormat="1" applyFont="1" applyFill="1" applyBorder="1"/>
    <xf numFmtId="166" fontId="0" fillId="2" borderId="130" xfId="2" applyNumberFormat="1" applyFont="1" applyFill="1" applyBorder="1"/>
    <xf numFmtId="166" fontId="0" fillId="7" borderId="130" xfId="2" applyNumberFormat="1" applyFont="1" applyFill="1" applyBorder="1"/>
    <xf numFmtId="166" fontId="0" fillId="7" borderId="129" xfId="2" applyNumberFormat="1" applyFont="1" applyFill="1" applyBorder="1"/>
    <xf numFmtId="0" fontId="0" fillId="7" borderId="0" xfId="0" applyFill="1"/>
    <xf numFmtId="0" fontId="23" fillId="2" borderId="131" xfId="0" applyFont="1" applyFill="1" applyBorder="1" applyAlignment="1">
      <alignment horizontal="center" vertical="center"/>
    </xf>
    <xf numFmtId="0" fontId="0" fillId="2" borderId="131" xfId="0" applyFill="1" applyBorder="1"/>
    <xf numFmtId="166" fontId="0" fillId="2" borderId="132" xfId="2" applyNumberFormat="1" applyFont="1" applyFill="1" applyBorder="1"/>
    <xf numFmtId="166" fontId="0" fillId="2" borderId="133" xfId="2" applyNumberFormat="1" applyFont="1" applyFill="1" applyBorder="1"/>
    <xf numFmtId="166" fontId="0" fillId="2" borderId="134" xfId="2" applyNumberFormat="1" applyFont="1" applyFill="1" applyBorder="1"/>
    <xf numFmtId="166" fontId="0" fillId="7" borderId="134" xfId="2" applyNumberFormat="1" applyFont="1" applyFill="1" applyBorder="1"/>
    <xf numFmtId="166" fontId="0" fillId="7" borderId="133" xfId="2" applyNumberFormat="1" applyFont="1" applyFill="1" applyBorder="1"/>
    <xf numFmtId="0" fontId="23" fillId="2" borderId="135" xfId="0" applyFont="1" applyFill="1" applyBorder="1" applyAlignment="1">
      <alignment horizontal="center" vertical="center"/>
    </xf>
    <xf numFmtId="0" fontId="0" fillId="7" borderId="131" xfId="0" applyFill="1" applyBorder="1"/>
    <xf numFmtId="166" fontId="0" fillId="7" borderId="132" xfId="2" applyNumberFormat="1" applyFont="1" applyFill="1" applyBorder="1"/>
    <xf numFmtId="166" fontId="0" fillId="7" borderId="132" xfId="2" applyNumberFormat="1" applyFont="1" applyFill="1" applyBorder="1" applyAlignment="1">
      <alignment horizontal="right"/>
    </xf>
    <xf numFmtId="166" fontId="0" fillId="7" borderId="133" xfId="2" applyNumberFormat="1" applyFont="1" applyFill="1" applyBorder="1" applyAlignment="1">
      <alignment horizontal="right"/>
    </xf>
    <xf numFmtId="0" fontId="23" fillId="2" borderId="14" xfId="0" applyFont="1" applyFill="1" applyBorder="1" applyAlignment="1">
      <alignment horizontal="center" vertical="center"/>
    </xf>
    <xf numFmtId="166" fontId="0" fillId="7" borderId="136" xfId="2" applyNumberFormat="1" applyFont="1" applyFill="1" applyBorder="1" applyAlignment="1">
      <alignment horizontal="right"/>
    </xf>
    <xf numFmtId="166" fontId="0" fillId="0" borderId="134" xfId="2" applyNumberFormat="1" applyFont="1" applyFill="1" applyBorder="1"/>
    <xf numFmtId="0" fontId="0" fillId="7" borderId="137" xfId="0" applyFill="1" applyBorder="1"/>
    <xf numFmtId="166" fontId="0" fillId="7" borderId="138" xfId="2" applyNumberFormat="1" applyFont="1" applyFill="1" applyBorder="1"/>
    <xf numFmtId="166" fontId="0" fillId="7" borderId="138" xfId="2" applyNumberFormat="1" applyFont="1" applyFill="1" applyBorder="1" applyAlignment="1">
      <alignment horizontal="right"/>
    </xf>
    <xf numFmtId="166" fontId="0" fillId="7" borderId="139" xfId="2" applyNumberFormat="1" applyFont="1" applyFill="1" applyBorder="1"/>
    <xf numFmtId="166" fontId="0" fillId="7" borderId="136" xfId="2" applyNumberFormat="1" applyFont="1" applyFill="1" applyBorder="1"/>
    <xf numFmtId="0" fontId="23" fillId="2" borderId="140" xfId="0" applyFont="1" applyFill="1" applyBorder="1" applyAlignment="1">
      <alignment horizontal="center" vertical="center"/>
    </xf>
    <xf numFmtId="0" fontId="23" fillId="2" borderId="15" xfId="0" applyFont="1" applyFill="1" applyBorder="1"/>
    <xf numFmtId="166" fontId="23" fillId="2" borderId="124" xfId="2" applyNumberFormat="1" applyFont="1" applyFill="1" applyBorder="1"/>
    <xf numFmtId="166" fontId="23" fillId="7" borderId="126" xfId="2" applyNumberFormat="1" applyFont="1" applyFill="1" applyBorder="1"/>
    <xf numFmtId="166" fontId="23" fillId="7" borderId="125" xfId="2" applyNumberFormat="1" applyFont="1" applyFill="1" applyBorder="1"/>
    <xf numFmtId="0" fontId="0" fillId="7" borderId="127" xfId="0" applyFill="1" applyBorder="1"/>
    <xf numFmtId="166" fontId="0" fillId="7" borderId="128" xfId="2" applyNumberFormat="1" applyFont="1" applyFill="1" applyBorder="1"/>
    <xf numFmtId="166" fontId="0" fillId="7" borderId="129" xfId="2" applyNumberFormat="1" applyFont="1" applyFill="1" applyBorder="1" applyAlignment="1">
      <alignment horizontal="right"/>
    </xf>
    <xf numFmtId="0" fontId="0" fillId="7" borderId="20" xfId="0" applyFill="1" applyBorder="1"/>
    <xf numFmtId="166" fontId="0" fillId="7" borderId="141" xfId="2" applyNumberFormat="1" applyFont="1" applyFill="1" applyBorder="1"/>
    <xf numFmtId="166" fontId="0" fillId="7" borderId="142" xfId="2" applyNumberFormat="1" applyFont="1" applyFill="1" applyBorder="1"/>
    <xf numFmtId="166" fontId="0" fillId="7" borderId="143" xfId="2" applyNumberFormat="1" applyFont="1" applyFill="1" applyBorder="1"/>
    <xf numFmtId="0" fontId="23" fillId="2" borderId="13" xfId="0" applyFont="1" applyFill="1" applyBorder="1" applyAlignment="1">
      <alignment horizontal="center" vertical="center"/>
    </xf>
    <xf numFmtId="166" fontId="23" fillId="2" borderId="126" xfId="2" applyNumberFormat="1" applyFont="1" applyFill="1" applyBorder="1"/>
    <xf numFmtId="166" fontId="23" fillId="2" borderId="125" xfId="2" applyNumberFormat="1" applyFont="1" applyFill="1" applyBorder="1"/>
    <xf numFmtId="0" fontId="9" fillId="6" borderId="15" xfId="0" applyFont="1" applyFill="1" applyBorder="1"/>
    <xf numFmtId="166" fontId="9" fillId="6" borderId="124" xfId="0" applyNumberFormat="1" applyFont="1" applyFill="1" applyBorder="1"/>
    <xf numFmtId="0" fontId="9" fillId="6" borderId="124" xfId="0" applyFont="1" applyFill="1" applyBorder="1"/>
    <xf numFmtId="9" fontId="0" fillId="7" borderId="0" xfId="2" applyFont="1" applyFill="1"/>
    <xf numFmtId="169" fontId="0" fillId="7" borderId="0" xfId="10" applyFont="1" applyFill="1"/>
    <xf numFmtId="174" fontId="0" fillId="7" borderId="0" xfId="0" applyNumberFormat="1" applyFill="1"/>
    <xf numFmtId="176" fontId="0" fillId="7" borderId="0" xfId="14" applyNumberFormat="1" applyFont="1" applyFill="1"/>
    <xf numFmtId="10" fontId="0" fillId="7" borderId="0" xfId="0" applyNumberFormat="1" applyFill="1"/>
    <xf numFmtId="177" fontId="0" fillId="7" borderId="0" xfId="0" applyNumberFormat="1" applyFill="1"/>
    <xf numFmtId="175" fontId="0" fillId="7" borderId="0" xfId="14" applyFont="1" applyFill="1"/>
    <xf numFmtId="0" fontId="11" fillId="7" borderId="3" xfId="0" applyFont="1" applyFill="1" applyBorder="1" applyAlignment="1">
      <alignment horizontal="center" vertical="center"/>
    </xf>
    <xf numFmtId="14" fontId="20" fillId="7" borderId="3" xfId="0" applyNumberFormat="1" applyFont="1" applyFill="1" applyBorder="1" applyAlignment="1">
      <alignment horizontal="center" vertical="center"/>
    </xf>
    <xf numFmtId="0" fontId="3" fillId="7" borderId="0" xfId="0" applyFont="1" applyFill="1" applyBorder="1" applyAlignment="1">
      <alignment horizontal="center" vertical="center"/>
    </xf>
    <xf numFmtId="0" fontId="11" fillId="7" borderId="12" xfId="0" applyFont="1" applyFill="1" applyBorder="1" applyAlignment="1">
      <alignment horizontal="center" vertical="center"/>
    </xf>
    <xf numFmtId="0" fontId="20" fillId="7" borderId="12" xfId="0" applyFont="1" applyFill="1" applyBorder="1" applyAlignment="1">
      <alignment horizontal="center" vertical="center"/>
    </xf>
    <xf numFmtId="9" fontId="50" fillId="12" borderId="3" xfId="2" applyFont="1" applyFill="1" applyBorder="1" applyAlignment="1">
      <alignment horizontal="center" vertical="center" wrapText="1"/>
    </xf>
    <xf numFmtId="0" fontId="14" fillId="2" borderId="0" xfId="0" applyFont="1" applyFill="1" applyBorder="1" applyAlignment="1">
      <alignment horizontal="left" vertical="center"/>
    </xf>
    <xf numFmtId="0" fontId="50" fillId="2" borderId="0" xfId="0" applyFont="1" applyFill="1" applyBorder="1" applyAlignment="1">
      <alignment horizontal="left" vertical="center"/>
    </xf>
    <xf numFmtId="0" fontId="14" fillId="2" borderId="33" xfId="0" applyFont="1" applyFill="1" applyBorder="1" applyAlignment="1">
      <alignment horizontal="left" vertical="center"/>
    </xf>
    <xf numFmtId="0" fontId="18" fillId="11" borderId="34" xfId="0" applyFont="1" applyFill="1" applyBorder="1" applyAlignment="1">
      <alignment horizontal="center" vertical="center" wrapText="1"/>
    </xf>
    <xf numFmtId="0" fontId="18" fillId="11" borderId="16" xfId="0" applyFont="1" applyFill="1" applyBorder="1" applyAlignment="1">
      <alignment horizontal="center" vertical="center" wrapText="1"/>
    </xf>
    <xf numFmtId="10" fontId="51" fillId="11" borderId="15" xfId="0" applyNumberFormat="1" applyFont="1" applyFill="1" applyBorder="1" applyAlignment="1">
      <alignment horizontal="center" vertical="center" wrapText="1"/>
    </xf>
    <xf numFmtId="0" fontId="14" fillId="7" borderId="0" xfId="0" applyFont="1" applyFill="1" applyBorder="1" applyAlignment="1">
      <alignment horizontal="left" vertical="center" wrapText="1"/>
    </xf>
    <xf numFmtId="0" fontId="14" fillId="7" borderId="0" xfId="0" applyFont="1" applyFill="1" applyBorder="1" applyAlignment="1">
      <alignment horizontal="left" vertical="center"/>
    </xf>
    <xf numFmtId="0" fontId="50" fillId="7" borderId="0" xfId="0" applyFont="1" applyFill="1" applyBorder="1" applyAlignment="1">
      <alignment horizontal="left" vertical="center"/>
    </xf>
    <xf numFmtId="0" fontId="14" fillId="7" borderId="33" xfId="0" applyFont="1" applyFill="1" applyBorder="1" applyAlignment="1">
      <alignment horizontal="left" vertical="center"/>
    </xf>
    <xf numFmtId="0" fontId="50" fillId="12" borderId="12" xfId="0" applyFont="1" applyFill="1" applyBorder="1" applyAlignment="1">
      <alignment horizontal="center" vertical="center"/>
    </xf>
    <xf numFmtId="166" fontId="50" fillId="12" borderId="12" xfId="2" applyNumberFormat="1" applyFont="1" applyFill="1" applyBorder="1" applyAlignment="1">
      <alignment horizontal="center" vertical="center"/>
    </xf>
    <xf numFmtId="0" fontId="50" fillId="12" borderId="3" xfId="0" applyFont="1" applyFill="1" applyBorder="1" applyAlignment="1">
      <alignment horizontal="center" vertical="center"/>
    </xf>
    <xf numFmtId="166" fontId="50" fillId="12" borderId="3" xfId="2" applyNumberFormat="1" applyFont="1" applyFill="1" applyBorder="1" applyAlignment="1">
      <alignment horizontal="center" vertical="center"/>
    </xf>
    <xf numFmtId="0" fontId="50" fillId="12" borderId="13" xfId="0" applyFont="1" applyFill="1" applyBorder="1" applyAlignment="1">
      <alignment horizontal="center" vertical="center"/>
    </xf>
    <xf numFmtId="166" fontId="50" fillId="12" borderId="13" xfId="2" applyNumberFormat="1" applyFont="1" applyFill="1" applyBorder="1" applyAlignment="1">
      <alignment horizontal="center" vertical="center"/>
    </xf>
    <xf numFmtId="10" fontId="50" fillId="12" borderId="3" xfId="2" applyNumberFormat="1" applyFont="1" applyFill="1" applyBorder="1" applyAlignment="1">
      <alignment horizontal="center" vertical="center"/>
    </xf>
    <xf numFmtId="9" fontId="50" fillId="12" borderId="3" xfId="0" applyNumberFormat="1" applyFont="1" applyFill="1" applyBorder="1" applyAlignment="1">
      <alignment horizontal="center" vertical="center"/>
    </xf>
    <xf numFmtId="10" fontId="50" fillId="12" borderId="3" xfId="0" applyNumberFormat="1" applyFont="1" applyFill="1" applyBorder="1" applyAlignment="1">
      <alignment horizontal="center" vertical="center"/>
    </xf>
    <xf numFmtId="0" fontId="14" fillId="3" borderId="15" xfId="0" applyFont="1" applyFill="1" applyBorder="1" applyAlignment="1">
      <alignment horizontal="center" vertical="center"/>
    </xf>
    <xf numFmtId="0" fontId="14" fillId="3" borderId="25" xfId="0" applyFont="1" applyFill="1" applyBorder="1" applyAlignment="1">
      <alignment horizontal="center" vertical="center"/>
    </xf>
    <xf numFmtId="0" fontId="14" fillId="3" borderId="38" xfId="0" applyFont="1" applyFill="1" applyBorder="1" applyAlignment="1">
      <alignment horizontal="center" vertical="center"/>
    </xf>
    <xf numFmtId="0" fontId="18" fillId="11" borderId="15" xfId="0" applyFont="1" applyFill="1" applyBorder="1" applyAlignment="1">
      <alignment horizontal="center" vertical="center" wrapText="1"/>
    </xf>
    <xf numFmtId="166" fontId="51" fillId="11" borderId="15" xfId="0" applyNumberFormat="1" applyFont="1" applyFill="1" applyBorder="1" applyAlignment="1">
      <alignment horizontal="center" vertical="center" wrapText="1"/>
    </xf>
    <xf numFmtId="0" fontId="40" fillId="3" borderId="35" xfId="0" applyFont="1" applyFill="1" applyBorder="1" applyAlignment="1">
      <alignment horizontal="center" vertical="center"/>
    </xf>
    <xf numFmtId="1" fontId="50" fillId="12" borderId="12" xfId="2" applyNumberFormat="1" applyFont="1" applyFill="1" applyBorder="1" applyAlignment="1">
      <alignment horizontal="center" vertical="center"/>
    </xf>
    <xf numFmtId="10" fontId="50" fillId="12" borderId="12" xfId="2" applyNumberFormat="1" applyFont="1" applyFill="1" applyBorder="1" applyAlignment="1">
      <alignment horizontal="center" vertical="center"/>
    </xf>
    <xf numFmtId="0" fontId="50" fillId="12" borderId="3" xfId="0" applyFont="1" applyFill="1" applyBorder="1" applyAlignment="1">
      <alignment horizontal="center" vertical="center" wrapText="1"/>
    </xf>
    <xf numFmtId="0" fontId="40" fillId="3" borderId="37" xfId="0" applyFont="1" applyFill="1" applyBorder="1" applyAlignment="1">
      <alignment horizontal="center" vertical="center"/>
    </xf>
    <xf numFmtId="1" fontId="50" fillId="12" borderId="13" xfId="2" applyNumberFormat="1" applyFont="1" applyFill="1" applyBorder="1" applyAlignment="1">
      <alignment horizontal="center" vertical="center"/>
    </xf>
    <xf numFmtId="10" fontId="50" fillId="12" borderId="13" xfId="2" applyNumberFormat="1" applyFont="1" applyFill="1" applyBorder="1" applyAlignment="1">
      <alignment horizontal="center" vertical="center"/>
    </xf>
    <xf numFmtId="9" fontId="50" fillId="12" borderId="12" xfId="0" applyNumberFormat="1" applyFont="1" applyFill="1" applyBorder="1" applyAlignment="1">
      <alignment horizontal="center" vertical="center"/>
    </xf>
    <xf numFmtId="9" fontId="50" fillId="12" borderId="3" xfId="2" applyFont="1" applyFill="1" applyBorder="1" applyAlignment="1">
      <alignment horizontal="center" vertical="center"/>
    </xf>
    <xf numFmtId="0" fontId="50" fillId="12" borderId="14" xfId="0" applyFont="1" applyFill="1" applyBorder="1" applyAlignment="1">
      <alignment horizontal="center" vertical="center"/>
    </xf>
    <xf numFmtId="10" fontId="50" fillId="12" borderId="14" xfId="2" applyNumberFormat="1" applyFont="1" applyFill="1" applyBorder="1" applyAlignment="1">
      <alignment horizontal="center" vertical="center"/>
    </xf>
    <xf numFmtId="10" fontId="50" fillId="12" borderId="3" xfId="2" applyNumberFormat="1" applyFont="1" applyFill="1" applyBorder="1" applyAlignment="1">
      <alignment horizontal="center" vertical="center" wrapText="1"/>
    </xf>
    <xf numFmtId="0" fontId="14" fillId="2" borderId="17" xfId="0" applyFont="1" applyFill="1" applyBorder="1" applyAlignment="1">
      <alignment horizontal="center" vertical="center"/>
    </xf>
    <xf numFmtId="0" fontId="14" fillId="2" borderId="18" xfId="0" applyFont="1" applyFill="1" applyBorder="1" applyAlignment="1">
      <alignment horizontal="center" vertical="center"/>
    </xf>
    <xf numFmtId="0" fontId="14" fillId="2" borderId="54"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0" xfId="0" applyFont="1" applyFill="1" applyBorder="1" applyAlignment="1">
      <alignment horizontal="center" vertical="center"/>
    </xf>
    <xf numFmtId="0" fontId="14" fillId="2" borderId="33"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23" xfId="0" applyFont="1" applyFill="1" applyBorder="1" applyAlignment="1">
      <alignment horizontal="center" vertical="center"/>
    </xf>
    <xf numFmtId="0" fontId="14" fillId="2" borderId="58" xfId="0" applyFont="1" applyFill="1" applyBorder="1" applyAlignment="1">
      <alignment horizontal="center" vertical="center"/>
    </xf>
    <xf numFmtId="0" fontId="18" fillId="7" borderId="0" xfId="0" applyFont="1" applyFill="1" applyBorder="1" applyAlignment="1">
      <alignment horizontal="center" vertical="center" wrapText="1"/>
    </xf>
    <xf numFmtId="9" fontId="51" fillId="7" borderId="0" xfId="0" applyNumberFormat="1" applyFont="1" applyFill="1" applyBorder="1" applyAlignment="1">
      <alignment horizontal="center" vertical="center" wrapText="1"/>
    </xf>
    <xf numFmtId="0" fontId="14" fillId="7" borderId="25" xfId="0" applyFont="1" applyFill="1" applyBorder="1" applyAlignment="1">
      <alignment horizontal="center" vertical="center" wrapText="1"/>
    </xf>
    <xf numFmtId="0" fontId="14" fillId="7" borderId="38" xfId="0" applyFont="1" applyFill="1" applyBorder="1" applyAlignment="1">
      <alignment horizontal="center" vertical="center" wrapText="1"/>
    </xf>
    <xf numFmtId="167" fontId="50" fillId="12" borderId="12" xfId="6" applyNumberFormat="1" applyFont="1" applyFill="1" applyBorder="1" applyAlignment="1">
      <alignment horizontal="center" vertical="center"/>
    </xf>
    <xf numFmtId="167" fontId="50" fillId="12" borderId="3" xfId="6" applyNumberFormat="1" applyFont="1" applyFill="1" applyBorder="1" applyAlignment="1">
      <alignment horizontal="center" vertical="center"/>
    </xf>
    <xf numFmtId="167" fontId="50" fillId="12" borderId="13" xfId="6" applyNumberFormat="1" applyFont="1" applyFill="1" applyBorder="1" applyAlignment="1">
      <alignment horizontal="center" vertical="center"/>
    </xf>
    <xf numFmtId="0" fontId="18" fillId="11" borderId="65" xfId="0" applyFont="1" applyFill="1" applyBorder="1" applyAlignment="1">
      <alignment horizontal="center" vertical="center" wrapText="1"/>
    </xf>
    <xf numFmtId="0" fontId="18" fillId="11" borderId="66" xfId="0" applyFont="1" applyFill="1" applyBorder="1" applyAlignment="1">
      <alignment horizontal="center" vertical="center" wrapText="1"/>
    </xf>
    <xf numFmtId="0" fontId="14" fillId="7" borderId="68" xfId="0" applyFont="1" applyFill="1" applyBorder="1" applyAlignment="1">
      <alignment horizontal="left" vertical="center" wrapText="1"/>
    </xf>
    <xf numFmtId="0" fontId="18" fillId="11" borderId="67" xfId="0" applyFont="1" applyFill="1" applyBorder="1" applyAlignment="1">
      <alignment horizontal="center" vertical="center" wrapText="1"/>
    </xf>
    <xf numFmtId="166" fontId="51" fillId="11" borderId="67" xfId="0" applyNumberFormat="1" applyFont="1" applyFill="1" applyBorder="1" applyAlignment="1">
      <alignment horizontal="center" vertical="center" wrapText="1"/>
    </xf>
    <xf numFmtId="0" fontId="14" fillId="7" borderId="69" xfId="0" applyFont="1" applyFill="1" applyBorder="1" applyAlignment="1">
      <alignment horizontal="left" vertical="center"/>
    </xf>
    <xf numFmtId="166" fontId="13" fillId="12" borderId="3" xfId="0" applyNumberFormat="1" applyFont="1" applyFill="1" applyBorder="1" applyAlignment="1">
      <alignment horizontal="center" vertical="center"/>
    </xf>
    <xf numFmtId="0" fontId="18" fillId="7" borderId="0" xfId="0" applyFont="1" applyFill="1" applyBorder="1" applyAlignment="1">
      <alignment horizontal="center" vertical="center"/>
    </xf>
  </cellXfs>
  <cellStyles count="15">
    <cellStyle name="Bueno" xfId="4" builtinId="26"/>
    <cellStyle name="Celda de comprobación" xfId="9" builtinId="23"/>
    <cellStyle name="Entrada" xfId="8" builtinId="20"/>
    <cellStyle name="Incorrecto" xfId="5" builtinId="27"/>
    <cellStyle name="Millares" xfId="6" builtinId="3"/>
    <cellStyle name="Millares [0] 2" xfId="10" xr:uid="{099BFDD8-3138-4A46-B3FC-F9DD8937DD2D}"/>
    <cellStyle name="Millares 2" xfId="11" xr:uid="{F52A9508-6274-4EED-B486-2C90F1DD7508}"/>
    <cellStyle name="Millares 3" xfId="13" xr:uid="{A1A6417A-7C5A-4318-9B32-05F38C1CB11D}"/>
    <cellStyle name="Moneda" xfId="1" builtinId="4"/>
    <cellStyle name="Moneda [0] 2" xfId="3" xr:uid="{00000000-0005-0000-0000-000003000000}"/>
    <cellStyle name="Moneda [0] 3" xfId="14" xr:uid="{0632CAA0-7DEE-41C9-B6F5-D11489DDE206}"/>
    <cellStyle name="Moneda 2" xfId="12" xr:uid="{BE467EDB-FD44-49A1-B4CA-9279E37A41D6}"/>
    <cellStyle name="Neutral" xfId="7" builtinId="28"/>
    <cellStyle name="Normal" xfId="0" builtinId="0"/>
    <cellStyle name="Porcentaje" xfId="2" builtinId="5"/>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12.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5" Type="http://schemas.openxmlformats.org/officeDocument/2006/relationships/externalLink" Target="externalLinks/externalLink16.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externalLink" Target="externalLinks/externalLink11.xml"/><Relationship Id="rId29"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24" Type="http://schemas.openxmlformats.org/officeDocument/2006/relationships/externalLink" Target="externalLinks/externalLink15.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externalLink" Target="externalLinks/externalLink14.xml"/><Relationship Id="rId28" Type="http://schemas.openxmlformats.org/officeDocument/2006/relationships/sharedStrings" Target="sharedStrings.xml"/><Relationship Id="rId10" Type="http://schemas.openxmlformats.org/officeDocument/2006/relationships/externalLink" Target="externalLinks/externalLink1.xml"/><Relationship Id="rId19" Type="http://schemas.openxmlformats.org/officeDocument/2006/relationships/externalLink" Target="externalLinks/externalLink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externalLink" Target="externalLinks/externalLink13.xml"/><Relationship Id="rId27" Type="http://schemas.openxmlformats.org/officeDocument/2006/relationships/styles" Target="styles.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213633</xdr:colOff>
      <xdr:row>3</xdr:row>
      <xdr:rowOff>0</xdr:rowOff>
    </xdr:to>
    <xdr:grpSp>
      <xdr:nvGrpSpPr>
        <xdr:cNvPr id="2" name="Grupo 1">
          <a:extLst>
            <a:ext uri="{FF2B5EF4-FFF2-40B4-BE49-F238E27FC236}">
              <a16:creationId xmlns:a16="http://schemas.microsoft.com/office/drawing/2014/main" id="{651C5BD2-906F-4E33-83A8-172C7FBB222A}"/>
            </a:ext>
          </a:extLst>
        </xdr:cNvPr>
        <xdr:cNvGrpSpPr/>
      </xdr:nvGrpSpPr>
      <xdr:grpSpPr>
        <a:xfrm>
          <a:off x="0" y="0"/>
          <a:ext cx="3490233" cy="1162050"/>
          <a:chOff x="228600" y="47625"/>
          <a:chExt cx="2680608" cy="981075"/>
        </a:xfrm>
      </xdr:grpSpPr>
      <xdr:pic>
        <xdr:nvPicPr>
          <xdr:cNvPr id="3" name="Picture 5">
            <a:extLst>
              <a:ext uri="{FF2B5EF4-FFF2-40B4-BE49-F238E27FC236}">
                <a16:creationId xmlns:a16="http://schemas.microsoft.com/office/drawing/2014/main" id="{0C1423BE-9D9C-4BA1-8512-0673A48073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4" name="5 CuadroTexto">
            <a:extLst>
              <a:ext uri="{FF2B5EF4-FFF2-40B4-BE49-F238E27FC236}">
                <a16:creationId xmlns:a16="http://schemas.microsoft.com/office/drawing/2014/main" id="{9EF26FC6-7597-4F15-B07A-B84F831F9335}"/>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oneCellAnchor>
    <xdr:from>
      <xdr:col>15</xdr:col>
      <xdr:colOff>158750</xdr:colOff>
      <xdr:row>16</xdr:row>
      <xdr:rowOff>349250</xdr:rowOff>
    </xdr:from>
    <xdr:ext cx="1472042" cy="588174"/>
    <mc:AlternateContent xmlns:mc="http://schemas.openxmlformats.org/markup-compatibility/2006">
      <mc:Choice xmlns:a14="http://schemas.microsoft.com/office/drawing/2010/main" Requires="a14">
        <xdr:sp macro="" textlink="">
          <xdr:nvSpPr>
            <xdr:cNvPr id="5" name="CuadroTexto 4">
              <a:extLst>
                <a:ext uri="{FF2B5EF4-FFF2-40B4-BE49-F238E27FC236}">
                  <a16:creationId xmlns:a16="http://schemas.microsoft.com/office/drawing/2014/main" id="{B062BD3D-CAC0-4712-9E3E-4346CC023C2B}"/>
                </a:ext>
              </a:extLst>
            </xdr:cNvPr>
            <xdr:cNvSpPr txBox="1"/>
          </xdr:nvSpPr>
          <xdr:spPr>
            <a:xfrm>
              <a:off x="26152475" y="19113500"/>
              <a:ext cx="1472042" cy="5881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ctrlPr>
                          <a:rPr lang="es-CO" sz="1400" i="1">
                            <a:latin typeface="Cambria Math" panose="02040503050406030204" pitchFamily="18" charset="0"/>
                          </a:rPr>
                        </m:ctrlPr>
                      </m:naryPr>
                      <m:sub>
                        <m:r>
                          <m:rPr>
                            <m:brk m:alnAt="23"/>
                          </m:rPr>
                          <a:rPr lang="es-ES" sz="1400" b="0" i="1">
                            <a:latin typeface="Cambria Math" panose="02040503050406030204" pitchFamily="18" charset="0"/>
                          </a:rPr>
                          <m:t>𝑖</m:t>
                        </m:r>
                        <m:r>
                          <a:rPr lang="es-ES" sz="1400" b="0" i="1">
                            <a:latin typeface="Cambria Math" panose="02040503050406030204" pitchFamily="18" charset="0"/>
                          </a:rPr>
                          <m:t>=1</m:t>
                        </m:r>
                      </m:sub>
                      <m:sup>
                        <m:r>
                          <a:rPr lang="es-ES" sz="1400" b="0" i="1">
                            <a:latin typeface="Cambria Math" panose="02040503050406030204" pitchFamily="18" charset="0"/>
                          </a:rPr>
                          <m:t>𝑛</m:t>
                        </m:r>
                      </m:sup>
                      <m:e>
                        <m:r>
                          <a:rPr lang="es-ES" sz="1400" b="0" i="1">
                            <a:latin typeface="Cambria Math" panose="02040503050406030204" pitchFamily="18" charset="0"/>
                          </a:rPr>
                          <m:t>=</m:t>
                        </m:r>
                      </m:e>
                    </m:nary>
                    <m:r>
                      <a:rPr lang="es-ES" sz="1400" b="0" i="1">
                        <a:latin typeface="Cambria Math" panose="02040503050406030204" pitchFamily="18" charset="0"/>
                      </a:rPr>
                      <m:t>𝑤𝑖</m:t>
                    </m:r>
                    <m:r>
                      <a:rPr lang="es-ES" sz="1400" b="0" i="1">
                        <a:latin typeface="Cambria Math" panose="02040503050406030204" pitchFamily="18" charset="0"/>
                      </a:rPr>
                      <m:t>∗</m:t>
                    </m:r>
                    <m:r>
                      <a:rPr lang="es-ES" sz="1400" b="0" i="1">
                        <a:latin typeface="Cambria Math" panose="02040503050406030204" pitchFamily="18" charset="0"/>
                      </a:rPr>
                      <m:t>𝑋𝑖</m:t>
                    </m:r>
                  </m:oMath>
                </m:oMathPara>
              </a14:m>
              <a:endParaRPr lang="es-CO" sz="1400"/>
            </a:p>
          </xdr:txBody>
        </xdr:sp>
      </mc:Choice>
      <mc:Fallback>
        <xdr:sp macro="" textlink="">
          <xdr:nvSpPr>
            <xdr:cNvPr id="5" name="CuadroTexto 4">
              <a:extLst>
                <a:ext uri="{FF2B5EF4-FFF2-40B4-BE49-F238E27FC236}">
                  <a16:creationId xmlns:a16="http://schemas.microsoft.com/office/drawing/2014/main" id="{B062BD3D-CAC0-4712-9E3E-4346CC023C2B}"/>
                </a:ext>
              </a:extLst>
            </xdr:cNvPr>
            <xdr:cNvSpPr txBox="1"/>
          </xdr:nvSpPr>
          <xdr:spPr>
            <a:xfrm>
              <a:off x="26152475" y="19113500"/>
              <a:ext cx="1472042" cy="5881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CO" sz="1400" i="0">
                  <a:latin typeface="Cambria Math" panose="02040503050406030204" pitchFamily="18" charset="0"/>
                </a:rPr>
                <a:t>∑</a:t>
              </a:r>
              <a:r>
                <a:rPr lang="es-ES" sz="1400" b="0" i="0">
                  <a:latin typeface="Cambria Math" panose="02040503050406030204" pitchFamily="18" charset="0"/>
                </a:rPr>
                <a:t>_</a:t>
              </a:r>
              <a:r>
                <a:rPr lang="es-CO" sz="1400" b="0" i="0">
                  <a:latin typeface="Cambria Math" panose="02040503050406030204" pitchFamily="18" charset="0"/>
                </a:rPr>
                <a:t>(</a:t>
              </a:r>
              <a:r>
                <a:rPr lang="es-ES" sz="1400" b="0" i="0">
                  <a:latin typeface="Cambria Math" panose="02040503050406030204" pitchFamily="18" charset="0"/>
                </a:rPr>
                <a:t>𝑖=1</a:t>
              </a:r>
              <a:r>
                <a:rPr lang="es-CO" sz="1400" b="0" i="0">
                  <a:latin typeface="Cambria Math" panose="02040503050406030204" pitchFamily="18" charset="0"/>
                </a:rPr>
                <a:t>)</a:t>
              </a:r>
              <a:r>
                <a:rPr lang="es-ES" sz="1400" b="0" i="0">
                  <a:latin typeface="Cambria Math" panose="02040503050406030204" pitchFamily="18" charset="0"/>
                </a:rPr>
                <a:t>^𝑛▒= 𝑤𝑖∗𝑋𝑖</a:t>
              </a:r>
              <a:endParaRPr lang="es-CO" sz="1400"/>
            </a:p>
          </xdr:txBody>
        </xdr:sp>
      </mc:Fallback>
    </mc:AlternateContent>
    <xdr:clientData/>
  </xdr:oneCellAnchor>
  <xdr:oneCellAnchor>
    <xdr:from>
      <xdr:col>15</xdr:col>
      <xdr:colOff>173567</xdr:colOff>
      <xdr:row>17</xdr:row>
      <xdr:rowOff>46566</xdr:rowOff>
    </xdr:from>
    <xdr:ext cx="1472042" cy="588174"/>
    <mc:AlternateContent xmlns:mc="http://schemas.openxmlformats.org/markup-compatibility/2006">
      <mc:Choice xmlns:a14="http://schemas.microsoft.com/office/drawing/2010/main" Requires="a14">
        <xdr:sp macro="" textlink="">
          <xdr:nvSpPr>
            <xdr:cNvPr id="6" name="CuadroTexto 5">
              <a:extLst>
                <a:ext uri="{FF2B5EF4-FFF2-40B4-BE49-F238E27FC236}">
                  <a16:creationId xmlns:a16="http://schemas.microsoft.com/office/drawing/2014/main" id="{23C99AD2-215F-49C4-A92D-FD89FB13C9D3}"/>
                </a:ext>
              </a:extLst>
            </xdr:cNvPr>
            <xdr:cNvSpPr txBox="1"/>
          </xdr:nvSpPr>
          <xdr:spPr>
            <a:xfrm>
              <a:off x="26167292" y="21401616"/>
              <a:ext cx="1472042" cy="5881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ctrlPr>
                          <a:rPr lang="es-CO" sz="1400" i="1">
                            <a:latin typeface="Cambria Math" panose="02040503050406030204" pitchFamily="18" charset="0"/>
                          </a:rPr>
                        </m:ctrlPr>
                      </m:naryPr>
                      <m:sub>
                        <m:r>
                          <m:rPr>
                            <m:brk m:alnAt="23"/>
                          </m:rPr>
                          <a:rPr lang="es-ES" sz="1400" b="0" i="1">
                            <a:latin typeface="Cambria Math" panose="02040503050406030204" pitchFamily="18" charset="0"/>
                          </a:rPr>
                          <m:t>𝑖</m:t>
                        </m:r>
                        <m:r>
                          <a:rPr lang="es-ES" sz="1400" b="0" i="1">
                            <a:latin typeface="Cambria Math" panose="02040503050406030204" pitchFamily="18" charset="0"/>
                          </a:rPr>
                          <m:t>=1</m:t>
                        </m:r>
                      </m:sub>
                      <m:sup>
                        <m:r>
                          <a:rPr lang="es-ES" sz="1400" b="0" i="1">
                            <a:latin typeface="Cambria Math" panose="02040503050406030204" pitchFamily="18" charset="0"/>
                          </a:rPr>
                          <m:t>𝑛</m:t>
                        </m:r>
                      </m:sup>
                      <m:e>
                        <m:r>
                          <a:rPr lang="es-ES" sz="1400" b="0" i="1">
                            <a:latin typeface="Cambria Math" panose="02040503050406030204" pitchFamily="18" charset="0"/>
                          </a:rPr>
                          <m:t>=</m:t>
                        </m:r>
                      </m:e>
                    </m:nary>
                    <m:r>
                      <a:rPr lang="es-ES" sz="1400" b="0" i="1">
                        <a:latin typeface="Cambria Math" panose="02040503050406030204" pitchFamily="18" charset="0"/>
                      </a:rPr>
                      <m:t>𝑤𝑖</m:t>
                    </m:r>
                    <m:r>
                      <a:rPr lang="es-ES" sz="1400" b="0" i="1">
                        <a:latin typeface="Cambria Math" panose="02040503050406030204" pitchFamily="18" charset="0"/>
                      </a:rPr>
                      <m:t>∗</m:t>
                    </m:r>
                    <m:r>
                      <a:rPr lang="es-ES" sz="1400" b="0" i="1">
                        <a:latin typeface="Cambria Math" panose="02040503050406030204" pitchFamily="18" charset="0"/>
                      </a:rPr>
                      <m:t>𝑋𝑖</m:t>
                    </m:r>
                  </m:oMath>
                </m:oMathPara>
              </a14:m>
              <a:endParaRPr lang="es-CO" sz="1400"/>
            </a:p>
          </xdr:txBody>
        </xdr:sp>
      </mc:Choice>
      <mc:Fallback>
        <xdr:sp macro="" textlink="">
          <xdr:nvSpPr>
            <xdr:cNvPr id="6" name="CuadroTexto 5">
              <a:extLst>
                <a:ext uri="{FF2B5EF4-FFF2-40B4-BE49-F238E27FC236}">
                  <a16:creationId xmlns:a16="http://schemas.microsoft.com/office/drawing/2014/main" id="{23C99AD2-215F-49C4-A92D-FD89FB13C9D3}"/>
                </a:ext>
              </a:extLst>
            </xdr:cNvPr>
            <xdr:cNvSpPr txBox="1"/>
          </xdr:nvSpPr>
          <xdr:spPr>
            <a:xfrm>
              <a:off x="26167292" y="21401616"/>
              <a:ext cx="1472042" cy="5881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CO" sz="1400" i="0">
                  <a:latin typeface="Cambria Math" panose="02040503050406030204" pitchFamily="18" charset="0"/>
                </a:rPr>
                <a:t>∑</a:t>
              </a:r>
              <a:r>
                <a:rPr lang="es-ES" sz="1400" b="0" i="0">
                  <a:latin typeface="Cambria Math" panose="02040503050406030204" pitchFamily="18" charset="0"/>
                </a:rPr>
                <a:t>_</a:t>
              </a:r>
              <a:r>
                <a:rPr lang="es-CO" sz="1400" b="0" i="0">
                  <a:latin typeface="Cambria Math" panose="02040503050406030204" pitchFamily="18" charset="0"/>
                </a:rPr>
                <a:t>(</a:t>
              </a:r>
              <a:r>
                <a:rPr lang="es-ES" sz="1400" b="0" i="0">
                  <a:latin typeface="Cambria Math" panose="02040503050406030204" pitchFamily="18" charset="0"/>
                </a:rPr>
                <a:t>𝑖=1</a:t>
              </a:r>
              <a:r>
                <a:rPr lang="es-CO" sz="1400" b="0" i="0">
                  <a:latin typeface="Cambria Math" panose="02040503050406030204" pitchFamily="18" charset="0"/>
                </a:rPr>
                <a:t>)</a:t>
              </a:r>
              <a:r>
                <a:rPr lang="es-ES" sz="1400" b="0" i="0">
                  <a:latin typeface="Cambria Math" panose="02040503050406030204" pitchFamily="18" charset="0"/>
                </a:rPr>
                <a:t>^𝑛▒= 𝑤𝑖∗𝑋𝑖</a:t>
              </a:r>
              <a:endParaRPr lang="es-CO" sz="1400"/>
            </a:p>
          </xdr:txBody>
        </xdr:sp>
      </mc:Fallback>
    </mc:AlternateContent>
    <xdr:clientData/>
  </xdr:oneCellAnchor>
  <xdr:oneCellAnchor>
    <xdr:from>
      <xdr:col>20</xdr:col>
      <xdr:colOff>273050</xdr:colOff>
      <xdr:row>6</xdr:row>
      <xdr:rowOff>82547</xdr:rowOff>
    </xdr:from>
    <xdr:ext cx="1134531" cy="462114"/>
    <mc:AlternateContent xmlns:mc="http://schemas.openxmlformats.org/markup-compatibility/2006">
      <mc:Choice xmlns:a14="http://schemas.microsoft.com/office/drawing/2010/main" Requires="a14">
        <xdr:sp macro="" textlink="">
          <xdr:nvSpPr>
            <xdr:cNvPr id="7" name="CuadroTexto 6">
              <a:extLst>
                <a:ext uri="{FF2B5EF4-FFF2-40B4-BE49-F238E27FC236}">
                  <a16:creationId xmlns:a16="http://schemas.microsoft.com/office/drawing/2014/main" id="{20580916-9EC4-42CC-AABD-F8FC18D04E42}"/>
                </a:ext>
              </a:extLst>
            </xdr:cNvPr>
            <xdr:cNvSpPr txBox="1"/>
          </xdr:nvSpPr>
          <xdr:spPr>
            <a:xfrm>
              <a:off x="36791900" y="1473197"/>
              <a:ext cx="1134531" cy="462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ctrlPr>
                          <a:rPr lang="es-CO" sz="1100" i="1">
                            <a:latin typeface="Cambria Math" panose="02040503050406030204" pitchFamily="18" charset="0"/>
                          </a:rPr>
                        </m:ctrlPr>
                      </m:naryPr>
                      <m:sub>
                        <m:r>
                          <m:rPr>
                            <m:brk m:alnAt="23"/>
                          </m:rPr>
                          <a:rPr lang="es-ES" sz="1100" b="0" i="1">
                            <a:latin typeface="Cambria Math" panose="02040503050406030204" pitchFamily="18" charset="0"/>
                          </a:rPr>
                          <m:t>𝑖</m:t>
                        </m:r>
                        <m:r>
                          <a:rPr lang="es-ES" sz="1100" b="0" i="1">
                            <a:latin typeface="Cambria Math" panose="02040503050406030204" pitchFamily="18" charset="0"/>
                          </a:rPr>
                          <m:t>=1</m:t>
                        </m:r>
                      </m:sub>
                      <m:sup>
                        <m:r>
                          <a:rPr lang="es-ES" sz="1100" b="0" i="1">
                            <a:latin typeface="Cambria Math" panose="02040503050406030204" pitchFamily="18" charset="0"/>
                          </a:rPr>
                          <m:t>𝑛</m:t>
                        </m:r>
                      </m:sup>
                      <m:e>
                        <m:r>
                          <a:rPr lang="es-ES" sz="1100" b="0" i="1">
                            <a:latin typeface="Cambria Math" panose="02040503050406030204" pitchFamily="18" charset="0"/>
                          </a:rPr>
                          <m:t>=</m:t>
                        </m:r>
                      </m:e>
                    </m:nary>
                    <m:r>
                      <a:rPr lang="es-ES" sz="1100" b="0" i="1">
                        <a:latin typeface="Cambria Math" panose="02040503050406030204" pitchFamily="18" charset="0"/>
                      </a:rPr>
                      <m:t>𝑤𝑖</m:t>
                    </m:r>
                    <m:r>
                      <a:rPr lang="es-ES" sz="1100" b="0" i="1">
                        <a:latin typeface="Cambria Math" panose="02040503050406030204" pitchFamily="18" charset="0"/>
                      </a:rPr>
                      <m:t>∗</m:t>
                    </m:r>
                    <m:r>
                      <a:rPr lang="es-ES" sz="1100" b="0" i="1">
                        <a:latin typeface="Cambria Math" panose="02040503050406030204" pitchFamily="18" charset="0"/>
                      </a:rPr>
                      <m:t>𝑋𝑖</m:t>
                    </m:r>
                  </m:oMath>
                </m:oMathPara>
              </a14:m>
              <a:endParaRPr lang="es-CO" sz="1100"/>
            </a:p>
          </xdr:txBody>
        </xdr:sp>
      </mc:Choice>
      <mc:Fallback>
        <xdr:sp macro="" textlink="">
          <xdr:nvSpPr>
            <xdr:cNvPr id="7" name="CuadroTexto 6">
              <a:extLst>
                <a:ext uri="{FF2B5EF4-FFF2-40B4-BE49-F238E27FC236}">
                  <a16:creationId xmlns:a16="http://schemas.microsoft.com/office/drawing/2014/main" id="{20580916-9EC4-42CC-AABD-F8FC18D04E42}"/>
                </a:ext>
              </a:extLst>
            </xdr:cNvPr>
            <xdr:cNvSpPr txBox="1"/>
          </xdr:nvSpPr>
          <xdr:spPr>
            <a:xfrm>
              <a:off x="36791900" y="1473197"/>
              <a:ext cx="1134531" cy="462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CO" sz="1100" i="0">
                  <a:latin typeface="Cambria Math" panose="02040503050406030204" pitchFamily="18" charset="0"/>
                </a:rPr>
                <a:t>∑</a:t>
              </a:r>
              <a:r>
                <a:rPr lang="es-ES" sz="1100" b="0" i="0">
                  <a:latin typeface="Cambria Math" panose="02040503050406030204" pitchFamily="18" charset="0"/>
                </a:rPr>
                <a:t>_</a:t>
              </a:r>
              <a:r>
                <a:rPr lang="es-CO" sz="1100" b="0" i="0">
                  <a:latin typeface="Cambria Math" panose="02040503050406030204" pitchFamily="18" charset="0"/>
                </a:rPr>
                <a:t>(</a:t>
              </a:r>
              <a:r>
                <a:rPr lang="es-ES" sz="1100" b="0" i="0">
                  <a:latin typeface="Cambria Math" panose="02040503050406030204" pitchFamily="18" charset="0"/>
                </a:rPr>
                <a:t>𝑖=1</a:t>
              </a:r>
              <a:r>
                <a:rPr lang="es-CO" sz="1100" b="0" i="0">
                  <a:latin typeface="Cambria Math" panose="02040503050406030204" pitchFamily="18" charset="0"/>
                </a:rPr>
                <a:t>)</a:t>
              </a:r>
              <a:r>
                <a:rPr lang="es-ES" sz="1100" b="0" i="0">
                  <a:latin typeface="Cambria Math" panose="02040503050406030204" pitchFamily="18" charset="0"/>
                </a:rPr>
                <a:t>^𝑛▒= 𝑤𝑖∗𝑋𝑖</a:t>
              </a:r>
              <a:endParaRPr lang="es-CO" sz="1100"/>
            </a:p>
          </xdr:txBody>
        </xdr:sp>
      </mc:Fallback>
    </mc:AlternateContent>
    <xdr:clientData/>
  </xdr:oneCellAnchor>
  <xdr:oneCellAnchor>
    <xdr:from>
      <xdr:col>20</xdr:col>
      <xdr:colOff>338669</xdr:colOff>
      <xdr:row>7</xdr:row>
      <xdr:rowOff>0</xdr:rowOff>
    </xdr:from>
    <xdr:ext cx="1134531" cy="462114"/>
    <mc:AlternateContent xmlns:mc="http://schemas.openxmlformats.org/markup-compatibility/2006">
      <mc:Choice xmlns:a14="http://schemas.microsoft.com/office/drawing/2010/main" Requires="a14">
        <xdr:sp macro="" textlink="">
          <xdr:nvSpPr>
            <xdr:cNvPr id="8" name="CuadroTexto 7">
              <a:extLst>
                <a:ext uri="{FF2B5EF4-FFF2-40B4-BE49-F238E27FC236}">
                  <a16:creationId xmlns:a16="http://schemas.microsoft.com/office/drawing/2014/main" id="{540DB86F-04F4-4C49-AAD1-7B5E11203ED9}"/>
                </a:ext>
              </a:extLst>
            </xdr:cNvPr>
            <xdr:cNvSpPr txBox="1"/>
          </xdr:nvSpPr>
          <xdr:spPr>
            <a:xfrm>
              <a:off x="36857519" y="2457450"/>
              <a:ext cx="1134531" cy="462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ctrlPr>
                          <a:rPr lang="es-CO" sz="1100" i="1">
                            <a:latin typeface="Cambria Math" panose="02040503050406030204" pitchFamily="18" charset="0"/>
                          </a:rPr>
                        </m:ctrlPr>
                      </m:naryPr>
                      <m:sub>
                        <m:r>
                          <m:rPr>
                            <m:brk m:alnAt="23"/>
                          </m:rPr>
                          <a:rPr lang="es-ES" sz="1100" b="0" i="1">
                            <a:latin typeface="Cambria Math" panose="02040503050406030204" pitchFamily="18" charset="0"/>
                          </a:rPr>
                          <m:t>𝑖</m:t>
                        </m:r>
                        <m:r>
                          <a:rPr lang="es-ES" sz="1100" b="0" i="1">
                            <a:latin typeface="Cambria Math" panose="02040503050406030204" pitchFamily="18" charset="0"/>
                          </a:rPr>
                          <m:t>=1</m:t>
                        </m:r>
                      </m:sub>
                      <m:sup>
                        <m:r>
                          <a:rPr lang="es-ES" sz="1100" b="0" i="1">
                            <a:latin typeface="Cambria Math" panose="02040503050406030204" pitchFamily="18" charset="0"/>
                          </a:rPr>
                          <m:t>𝑛</m:t>
                        </m:r>
                      </m:sup>
                      <m:e>
                        <m:r>
                          <a:rPr lang="es-ES" sz="1100" b="0" i="1">
                            <a:latin typeface="Cambria Math" panose="02040503050406030204" pitchFamily="18" charset="0"/>
                          </a:rPr>
                          <m:t>=</m:t>
                        </m:r>
                      </m:e>
                    </m:nary>
                    <m:r>
                      <a:rPr lang="es-ES" sz="1100" b="0" i="1">
                        <a:latin typeface="Cambria Math" panose="02040503050406030204" pitchFamily="18" charset="0"/>
                      </a:rPr>
                      <m:t>𝑤𝑖</m:t>
                    </m:r>
                    <m:r>
                      <a:rPr lang="es-ES" sz="1100" b="0" i="1">
                        <a:latin typeface="Cambria Math" panose="02040503050406030204" pitchFamily="18" charset="0"/>
                      </a:rPr>
                      <m:t>∗</m:t>
                    </m:r>
                    <m:r>
                      <a:rPr lang="es-ES" sz="1100" b="0" i="1">
                        <a:latin typeface="Cambria Math" panose="02040503050406030204" pitchFamily="18" charset="0"/>
                      </a:rPr>
                      <m:t>𝑋𝑖</m:t>
                    </m:r>
                  </m:oMath>
                </m:oMathPara>
              </a14:m>
              <a:endParaRPr lang="es-CO" sz="1100"/>
            </a:p>
          </xdr:txBody>
        </xdr:sp>
      </mc:Choice>
      <mc:Fallback>
        <xdr:sp macro="" textlink="">
          <xdr:nvSpPr>
            <xdr:cNvPr id="8" name="CuadroTexto 7">
              <a:extLst>
                <a:ext uri="{FF2B5EF4-FFF2-40B4-BE49-F238E27FC236}">
                  <a16:creationId xmlns:a16="http://schemas.microsoft.com/office/drawing/2014/main" id="{540DB86F-04F4-4C49-AAD1-7B5E11203ED9}"/>
                </a:ext>
              </a:extLst>
            </xdr:cNvPr>
            <xdr:cNvSpPr txBox="1"/>
          </xdr:nvSpPr>
          <xdr:spPr>
            <a:xfrm>
              <a:off x="36857519" y="2457450"/>
              <a:ext cx="1134531" cy="462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CO" sz="1100" i="0">
                  <a:latin typeface="Cambria Math" panose="02040503050406030204" pitchFamily="18" charset="0"/>
                </a:rPr>
                <a:t>∑</a:t>
              </a:r>
              <a:r>
                <a:rPr lang="es-ES" sz="1100" b="0" i="0">
                  <a:latin typeface="Cambria Math" panose="02040503050406030204" pitchFamily="18" charset="0"/>
                </a:rPr>
                <a:t>_</a:t>
              </a:r>
              <a:r>
                <a:rPr lang="es-CO" sz="1100" b="0" i="0">
                  <a:latin typeface="Cambria Math" panose="02040503050406030204" pitchFamily="18" charset="0"/>
                </a:rPr>
                <a:t>(</a:t>
              </a:r>
              <a:r>
                <a:rPr lang="es-ES" sz="1100" b="0" i="0">
                  <a:latin typeface="Cambria Math" panose="02040503050406030204" pitchFamily="18" charset="0"/>
                </a:rPr>
                <a:t>𝑖=1</a:t>
              </a:r>
              <a:r>
                <a:rPr lang="es-CO" sz="1100" b="0" i="0">
                  <a:latin typeface="Cambria Math" panose="02040503050406030204" pitchFamily="18" charset="0"/>
                </a:rPr>
                <a:t>)</a:t>
              </a:r>
              <a:r>
                <a:rPr lang="es-ES" sz="1100" b="0" i="0">
                  <a:latin typeface="Cambria Math" panose="02040503050406030204" pitchFamily="18" charset="0"/>
                </a:rPr>
                <a:t>^𝑛▒= 𝑤𝑖∗𝑋𝑖</a:t>
              </a:r>
              <a:endParaRPr lang="es-CO" sz="1100"/>
            </a:p>
          </xdr:txBody>
        </xdr:sp>
      </mc:Fallback>
    </mc:AlternateContent>
    <xdr:clientData/>
  </xdr:oneCellAnchor>
  <xdr:oneCellAnchor>
    <xdr:from>
      <xdr:col>20</xdr:col>
      <xdr:colOff>328082</xdr:colOff>
      <xdr:row>8</xdr:row>
      <xdr:rowOff>148167</xdr:rowOff>
    </xdr:from>
    <xdr:ext cx="1134531" cy="462114"/>
    <mc:AlternateContent xmlns:mc="http://schemas.openxmlformats.org/markup-compatibility/2006">
      <mc:Choice xmlns:a14="http://schemas.microsoft.com/office/drawing/2010/main" Requires="a14">
        <xdr:sp macro="" textlink="">
          <xdr:nvSpPr>
            <xdr:cNvPr id="9" name="CuadroTexto 8">
              <a:extLst>
                <a:ext uri="{FF2B5EF4-FFF2-40B4-BE49-F238E27FC236}">
                  <a16:creationId xmlns:a16="http://schemas.microsoft.com/office/drawing/2014/main" id="{90CDC3A4-2703-43C3-9014-4A3F06B58CF5}"/>
                </a:ext>
              </a:extLst>
            </xdr:cNvPr>
            <xdr:cNvSpPr txBox="1"/>
          </xdr:nvSpPr>
          <xdr:spPr>
            <a:xfrm>
              <a:off x="36846932" y="3367617"/>
              <a:ext cx="1134531" cy="462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ctrlPr>
                          <a:rPr lang="es-CO" sz="1100" i="1">
                            <a:latin typeface="Cambria Math" panose="02040503050406030204" pitchFamily="18" charset="0"/>
                          </a:rPr>
                        </m:ctrlPr>
                      </m:naryPr>
                      <m:sub>
                        <m:r>
                          <m:rPr>
                            <m:brk m:alnAt="23"/>
                          </m:rPr>
                          <a:rPr lang="es-ES" sz="1100" b="0" i="1">
                            <a:latin typeface="Cambria Math" panose="02040503050406030204" pitchFamily="18" charset="0"/>
                          </a:rPr>
                          <m:t>𝑖</m:t>
                        </m:r>
                        <m:r>
                          <a:rPr lang="es-ES" sz="1100" b="0" i="1">
                            <a:latin typeface="Cambria Math" panose="02040503050406030204" pitchFamily="18" charset="0"/>
                          </a:rPr>
                          <m:t>=1</m:t>
                        </m:r>
                      </m:sub>
                      <m:sup>
                        <m:r>
                          <a:rPr lang="es-ES" sz="1100" b="0" i="1">
                            <a:latin typeface="Cambria Math" panose="02040503050406030204" pitchFamily="18" charset="0"/>
                          </a:rPr>
                          <m:t>𝑛</m:t>
                        </m:r>
                      </m:sup>
                      <m:e>
                        <m:r>
                          <a:rPr lang="es-ES" sz="1100" b="0" i="1">
                            <a:latin typeface="Cambria Math" panose="02040503050406030204" pitchFamily="18" charset="0"/>
                          </a:rPr>
                          <m:t>=</m:t>
                        </m:r>
                      </m:e>
                    </m:nary>
                    <m:r>
                      <a:rPr lang="es-ES" sz="1100" b="0" i="1">
                        <a:latin typeface="Cambria Math" panose="02040503050406030204" pitchFamily="18" charset="0"/>
                      </a:rPr>
                      <m:t>𝑤𝑖</m:t>
                    </m:r>
                    <m:r>
                      <a:rPr lang="es-ES" sz="1100" b="0" i="1">
                        <a:latin typeface="Cambria Math" panose="02040503050406030204" pitchFamily="18" charset="0"/>
                      </a:rPr>
                      <m:t>∗</m:t>
                    </m:r>
                    <m:r>
                      <a:rPr lang="es-ES" sz="1100" b="0" i="1">
                        <a:latin typeface="Cambria Math" panose="02040503050406030204" pitchFamily="18" charset="0"/>
                      </a:rPr>
                      <m:t>𝑋𝑖</m:t>
                    </m:r>
                  </m:oMath>
                </m:oMathPara>
              </a14:m>
              <a:endParaRPr lang="es-CO" sz="1100"/>
            </a:p>
          </xdr:txBody>
        </xdr:sp>
      </mc:Choice>
      <mc:Fallback>
        <xdr:sp macro="" textlink="">
          <xdr:nvSpPr>
            <xdr:cNvPr id="9" name="CuadroTexto 8">
              <a:extLst>
                <a:ext uri="{FF2B5EF4-FFF2-40B4-BE49-F238E27FC236}">
                  <a16:creationId xmlns:a16="http://schemas.microsoft.com/office/drawing/2014/main" id="{90CDC3A4-2703-43C3-9014-4A3F06B58CF5}"/>
                </a:ext>
              </a:extLst>
            </xdr:cNvPr>
            <xdr:cNvSpPr txBox="1"/>
          </xdr:nvSpPr>
          <xdr:spPr>
            <a:xfrm>
              <a:off x="36846932" y="3367617"/>
              <a:ext cx="1134531" cy="462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CO" sz="1100" i="0">
                  <a:latin typeface="Cambria Math" panose="02040503050406030204" pitchFamily="18" charset="0"/>
                </a:rPr>
                <a:t>∑</a:t>
              </a:r>
              <a:r>
                <a:rPr lang="es-ES" sz="1100" b="0" i="0">
                  <a:latin typeface="Cambria Math" panose="02040503050406030204" pitchFamily="18" charset="0"/>
                </a:rPr>
                <a:t>_</a:t>
              </a:r>
              <a:r>
                <a:rPr lang="es-CO" sz="1100" b="0" i="0">
                  <a:latin typeface="Cambria Math" panose="02040503050406030204" pitchFamily="18" charset="0"/>
                </a:rPr>
                <a:t>(</a:t>
              </a:r>
              <a:r>
                <a:rPr lang="es-ES" sz="1100" b="0" i="0">
                  <a:latin typeface="Cambria Math" panose="02040503050406030204" pitchFamily="18" charset="0"/>
                </a:rPr>
                <a:t>𝑖=1</a:t>
              </a:r>
              <a:r>
                <a:rPr lang="es-CO" sz="1100" b="0" i="0">
                  <a:latin typeface="Cambria Math" panose="02040503050406030204" pitchFamily="18" charset="0"/>
                </a:rPr>
                <a:t>)</a:t>
              </a:r>
              <a:r>
                <a:rPr lang="es-ES" sz="1100" b="0" i="0">
                  <a:latin typeface="Cambria Math" panose="02040503050406030204" pitchFamily="18" charset="0"/>
                </a:rPr>
                <a:t>^𝑛▒= 𝑤𝑖∗𝑋𝑖</a:t>
              </a:r>
              <a:endParaRPr lang="es-CO" sz="1100"/>
            </a:p>
          </xdr:txBody>
        </xdr:sp>
      </mc:Fallback>
    </mc:AlternateContent>
    <xdr:clientData/>
  </xdr:oneCellAnchor>
  <xdr:oneCellAnchor>
    <xdr:from>
      <xdr:col>20</xdr:col>
      <xdr:colOff>296332</xdr:colOff>
      <xdr:row>9</xdr:row>
      <xdr:rowOff>0</xdr:rowOff>
    </xdr:from>
    <xdr:ext cx="1134531" cy="462114"/>
    <mc:AlternateContent xmlns:mc="http://schemas.openxmlformats.org/markup-compatibility/2006">
      <mc:Choice xmlns:a14="http://schemas.microsoft.com/office/drawing/2010/main" Requires="a14">
        <xdr:sp macro="" textlink="">
          <xdr:nvSpPr>
            <xdr:cNvPr id="10" name="CuadroTexto 9">
              <a:extLst>
                <a:ext uri="{FF2B5EF4-FFF2-40B4-BE49-F238E27FC236}">
                  <a16:creationId xmlns:a16="http://schemas.microsoft.com/office/drawing/2014/main" id="{A9DD78BB-0222-4388-AA06-C995DE780EC8}"/>
                </a:ext>
              </a:extLst>
            </xdr:cNvPr>
            <xdr:cNvSpPr txBox="1"/>
          </xdr:nvSpPr>
          <xdr:spPr>
            <a:xfrm>
              <a:off x="36815182" y="3981450"/>
              <a:ext cx="1134531" cy="462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ctrlPr>
                          <a:rPr lang="es-CO" sz="1100" i="1">
                            <a:latin typeface="Cambria Math" panose="02040503050406030204" pitchFamily="18" charset="0"/>
                          </a:rPr>
                        </m:ctrlPr>
                      </m:naryPr>
                      <m:sub>
                        <m:r>
                          <m:rPr>
                            <m:brk m:alnAt="23"/>
                          </m:rPr>
                          <a:rPr lang="es-ES" sz="1100" b="0" i="1">
                            <a:latin typeface="Cambria Math" panose="02040503050406030204" pitchFamily="18" charset="0"/>
                          </a:rPr>
                          <m:t>𝑖</m:t>
                        </m:r>
                        <m:r>
                          <a:rPr lang="es-ES" sz="1100" b="0" i="1">
                            <a:latin typeface="Cambria Math" panose="02040503050406030204" pitchFamily="18" charset="0"/>
                          </a:rPr>
                          <m:t>=1</m:t>
                        </m:r>
                      </m:sub>
                      <m:sup>
                        <m:r>
                          <a:rPr lang="es-ES" sz="1100" b="0" i="1">
                            <a:latin typeface="Cambria Math" panose="02040503050406030204" pitchFamily="18" charset="0"/>
                          </a:rPr>
                          <m:t>𝑛</m:t>
                        </m:r>
                      </m:sup>
                      <m:e>
                        <m:r>
                          <a:rPr lang="es-ES" sz="1100" b="0" i="1">
                            <a:latin typeface="Cambria Math" panose="02040503050406030204" pitchFamily="18" charset="0"/>
                          </a:rPr>
                          <m:t>=</m:t>
                        </m:r>
                      </m:e>
                    </m:nary>
                    <m:r>
                      <a:rPr lang="es-ES" sz="1100" b="0" i="1">
                        <a:latin typeface="Cambria Math" panose="02040503050406030204" pitchFamily="18" charset="0"/>
                      </a:rPr>
                      <m:t>𝑤𝑖</m:t>
                    </m:r>
                    <m:r>
                      <a:rPr lang="es-ES" sz="1100" b="0" i="1">
                        <a:latin typeface="Cambria Math" panose="02040503050406030204" pitchFamily="18" charset="0"/>
                      </a:rPr>
                      <m:t>∗</m:t>
                    </m:r>
                    <m:r>
                      <a:rPr lang="es-ES" sz="1100" b="0" i="1">
                        <a:latin typeface="Cambria Math" panose="02040503050406030204" pitchFamily="18" charset="0"/>
                      </a:rPr>
                      <m:t>𝑋𝑖</m:t>
                    </m:r>
                  </m:oMath>
                </m:oMathPara>
              </a14:m>
              <a:endParaRPr lang="es-CO" sz="1100"/>
            </a:p>
          </xdr:txBody>
        </xdr:sp>
      </mc:Choice>
      <mc:Fallback>
        <xdr:sp macro="" textlink="">
          <xdr:nvSpPr>
            <xdr:cNvPr id="10" name="CuadroTexto 9">
              <a:extLst>
                <a:ext uri="{FF2B5EF4-FFF2-40B4-BE49-F238E27FC236}">
                  <a16:creationId xmlns:a16="http://schemas.microsoft.com/office/drawing/2014/main" id="{A9DD78BB-0222-4388-AA06-C995DE780EC8}"/>
                </a:ext>
              </a:extLst>
            </xdr:cNvPr>
            <xdr:cNvSpPr txBox="1"/>
          </xdr:nvSpPr>
          <xdr:spPr>
            <a:xfrm>
              <a:off x="36815182" y="3981450"/>
              <a:ext cx="1134531" cy="462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CO" sz="1100" i="0">
                  <a:latin typeface="Cambria Math" panose="02040503050406030204" pitchFamily="18" charset="0"/>
                </a:rPr>
                <a:t>∑</a:t>
              </a:r>
              <a:r>
                <a:rPr lang="es-ES" sz="1100" b="0" i="0">
                  <a:latin typeface="Cambria Math" panose="02040503050406030204" pitchFamily="18" charset="0"/>
                </a:rPr>
                <a:t>_</a:t>
              </a:r>
              <a:r>
                <a:rPr lang="es-CO" sz="1100" b="0" i="0">
                  <a:latin typeface="Cambria Math" panose="02040503050406030204" pitchFamily="18" charset="0"/>
                </a:rPr>
                <a:t>(</a:t>
              </a:r>
              <a:r>
                <a:rPr lang="es-ES" sz="1100" b="0" i="0">
                  <a:latin typeface="Cambria Math" panose="02040503050406030204" pitchFamily="18" charset="0"/>
                </a:rPr>
                <a:t>𝑖=1</a:t>
              </a:r>
              <a:r>
                <a:rPr lang="es-CO" sz="1100" b="0" i="0">
                  <a:latin typeface="Cambria Math" panose="02040503050406030204" pitchFamily="18" charset="0"/>
                </a:rPr>
                <a:t>)</a:t>
              </a:r>
              <a:r>
                <a:rPr lang="es-ES" sz="1100" b="0" i="0">
                  <a:latin typeface="Cambria Math" panose="02040503050406030204" pitchFamily="18" charset="0"/>
                </a:rPr>
                <a:t>^𝑛▒= 𝑤𝑖∗𝑋𝑖</a:t>
              </a:r>
              <a:endParaRPr lang="es-CO" sz="1100"/>
            </a:p>
          </xdr:txBody>
        </xdr:sp>
      </mc:Fallback>
    </mc:AlternateContent>
    <xdr:clientData/>
  </xdr:oneCellAnchor>
  <xdr:oneCellAnchor>
    <xdr:from>
      <xdr:col>20</xdr:col>
      <xdr:colOff>253998</xdr:colOff>
      <xdr:row>10</xdr:row>
      <xdr:rowOff>349245</xdr:rowOff>
    </xdr:from>
    <xdr:ext cx="1134531" cy="462114"/>
    <mc:AlternateContent xmlns:mc="http://schemas.openxmlformats.org/markup-compatibility/2006">
      <mc:Choice xmlns:a14="http://schemas.microsoft.com/office/drawing/2010/main" Requires="a14">
        <xdr:sp macro="" textlink="">
          <xdr:nvSpPr>
            <xdr:cNvPr id="11" name="CuadroTexto 10">
              <a:extLst>
                <a:ext uri="{FF2B5EF4-FFF2-40B4-BE49-F238E27FC236}">
                  <a16:creationId xmlns:a16="http://schemas.microsoft.com/office/drawing/2014/main" id="{67507123-11F5-4F92-B9E4-6962432B3C5D}"/>
                </a:ext>
              </a:extLst>
            </xdr:cNvPr>
            <xdr:cNvSpPr txBox="1"/>
          </xdr:nvSpPr>
          <xdr:spPr>
            <a:xfrm>
              <a:off x="36772848" y="6007095"/>
              <a:ext cx="1134531" cy="462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ctrlPr>
                          <a:rPr lang="es-CO" sz="1100" i="1">
                            <a:latin typeface="Cambria Math" panose="02040503050406030204" pitchFamily="18" charset="0"/>
                          </a:rPr>
                        </m:ctrlPr>
                      </m:naryPr>
                      <m:sub>
                        <m:r>
                          <m:rPr>
                            <m:brk m:alnAt="23"/>
                          </m:rPr>
                          <a:rPr lang="es-ES" sz="1100" b="0" i="1">
                            <a:latin typeface="Cambria Math" panose="02040503050406030204" pitchFamily="18" charset="0"/>
                          </a:rPr>
                          <m:t>𝑖</m:t>
                        </m:r>
                        <m:r>
                          <a:rPr lang="es-ES" sz="1100" b="0" i="1">
                            <a:latin typeface="Cambria Math" panose="02040503050406030204" pitchFamily="18" charset="0"/>
                          </a:rPr>
                          <m:t>=1</m:t>
                        </m:r>
                      </m:sub>
                      <m:sup>
                        <m:r>
                          <a:rPr lang="es-ES" sz="1100" b="0" i="1">
                            <a:latin typeface="Cambria Math" panose="02040503050406030204" pitchFamily="18" charset="0"/>
                          </a:rPr>
                          <m:t>𝑛</m:t>
                        </m:r>
                      </m:sup>
                      <m:e>
                        <m:r>
                          <a:rPr lang="es-ES" sz="1100" b="0" i="1">
                            <a:latin typeface="Cambria Math" panose="02040503050406030204" pitchFamily="18" charset="0"/>
                          </a:rPr>
                          <m:t>=</m:t>
                        </m:r>
                      </m:e>
                    </m:nary>
                    <m:r>
                      <a:rPr lang="es-ES" sz="1100" b="0" i="1">
                        <a:latin typeface="Cambria Math" panose="02040503050406030204" pitchFamily="18" charset="0"/>
                      </a:rPr>
                      <m:t>𝑤𝑖</m:t>
                    </m:r>
                    <m:r>
                      <a:rPr lang="es-ES" sz="1100" b="0" i="1">
                        <a:latin typeface="Cambria Math" panose="02040503050406030204" pitchFamily="18" charset="0"/>
                      </a:rPr>
                      <m:t>∗</m:t>
                    </m:r>
                    <m:r>
                      <a:rPr lang="es-ES" sz="1100" b="0" i="1">
                        <a:latin typeface="Cambria Math" panose="02040503050406030204" pitchFamily="18" charset="0"/>
                      </a:rPr>
                      <m:t>𝑋𝑖</m:t>
                    </m:r>
                  </m:oMath>
                </m:oMathPara>
              </a14:m>
              <a:endParaRPr lang="es-CO" sz="1100"/>
            </a:p>
          </xdr:txBody>
        </xdr:sp>
      </mc:Choice>
      <mc:Fallback>
        <xdr:sp macro="" textlink="">
          <xdr:nvSpPr>
            <xdr:cNvPr id="11" name="CuadroTexto 10">
              <a:extLst>
                <a:ext uri="{FF2B5EF4-FFF2-40B4-BE49-F238E27FC236}">
                  <a16:creationId xmlns:a16="http://schemas.microsoft.com/office/drawing/2014/main" id="{67507123-11F5-4F92-B9E4-6962432B3C5D}"/>
                </a:ext>
              </a:extLst>
            </xdr:cNvPr>
            <xdr:cNvSpPr txBox="1"/>
          </xdr:nvSpPr>
          <xdr:spPr>
            <a:xfrm>
              <a:off x="36772848" y="6007095"/>
              <a:ext cx="1134531" cy="462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CO" sz="1100" i="0">
                  <a:latin typeface="Cambria Math" panose="02040503050406030204" pitchFamily="18" charset="0"/>
                </a:rPr>
                <a:t>∑</a:t>
              </a:r>
              <a:r>
                <a:rPr lang="es-ES" sz="1100" b="0" i="0">
                  <a:latin typeface="Cambria Math" panose="02040503050406030204" pitchFamily="18" charset="0"/>
                </a:rPr>
                <a:t>_</a:t>
              </a:r>
              <a:r>
                <a:rPr lang="es-CO" sz="1100" b="0" i="0">
                  <a:latin typeface="Cambria Math" panose="02040503050406030204" pitchFamily="18" charset="0"/>
                </a:rPr>
                <a:t>(</a:t>
              </a:r>
              <a:r>
                <a:rPr lang="es-ES" sz="1100" b="0" i="0">
                  <a:latin typeface="Cambria Math" panose="02040503050406030204" pitchFamily="18" charset="0"/>
                </a:rPr>
                <a:t>𝑖=1</a:t>
              </a:r>
              <a:r>
                <a:rPr lang="es-CO" sz="1100" b="0" i="0">
                  <a:latin typeface="Cambria Math" panose="02040503050406030204" pitchFamily="18" charset="0"/>
                </a:rPr>
                <a:t>)</a:t>
              </a:r>
              <a:r>
                <a:rPr lang="es-ES" sz="1100" b="0" i="0">
                  <a:latin typeface="Cambria Math" panose="02040503050406030204" pitchFamily="18" charset="0"/>
                </a:rPr>
                <a:t>^𝑛▒= 𝑤𝑖∗𝑋𝑖</a:t>
              </a:r>
              <a:endParaRPr lang="es-CO" sz="1100"/>
            </a:p>
          </xdr:txBody>
        </xdr:sp>
      </mc:Fallback>
    </mc:AlternateContent>
    <xdr:clientData/>
  </xdr:oneCellAnchor>
  <xdr:oneCellAnchor>
    <xdr:from>
      <xdr:col>20</xdr:col>
      <xdr:colOff>380996</xdr:colOff>
      <xdr:row>11</xdr:row>
      <xdr:rowOff>1545169</xdr:rowOff>
    </xdr:from>
    <xdr:ext cx="1134531" cy="462114"/>
    <mc:AlternateContent xmlns:mc="http://schemas.openxmlformats.org/markup-compatibility/2006">
      <mc:Choice xmlns:a14="http://schemas.microsoft.com/office/drawing/2010/main" Requires="a14">
        <xdr:sp macro="" textlink="">
          <xdr:nvSpPr>
            <xdr:cNvPr id="12" name="CuadroTexto 11">
              <a:extLst>
                <a:ext uri="{FF2B5EF4-FFF2-40B4-BE49-F238E27FC236}">
                  <a16:creationId xmlns:a16="http://schemas.microsoft.com/office/drawing/2014/main" id="{BFB19F80-CB18-45C6-820B-1B1B1ACE45E0}"/>
                </a:ext>
              </a:extLst>
            </xdr:cNvPr>
            <xdr:cNvSpPr txBox="1"/>
          </xdr:nvSpPr>
          <xdr:spPr>
            <a:xfrm>
              <a:off x="36899846" y="9946219"/>
              <a:ext cx="1134531" cy="462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ctrlPr>
                          <a:rPr lang="es-CO" sz="1100" i="1">
                            <a:latin typeface="Cambria Math" panose="02040503050406030204" pitchFamily="18" charset="0"/>
                          </a:rPr>
                        </m:ctrlPr>
                      </m:naryPr>
                      <m:sub>
                        <m:r>
                          <m:rPr>
                            <m:brk m:alnAt="23"/>
                          </m:rPr>
                          <a:rPr lang="es-ES" sz="1100" b="0" i="1">
                            <a:latin typeface="Cambria Math" panose="02040503050406030204" pitchFamily="18" charset="0"/>
                          </a:rPr>
                          <m:t>𝑖</m:t>
                        </m:r>
                        <m:r>
                          <a:rPr lang="es-ES" sz="1100" b="0" i="1">
                            <a:latin typeface="Cambria Math" panose="02040503050406030204" pitchFamily="18" charset="0"/>
                          </a:rPr>
                          <m:t>=1</m:t>
                        </m:r>
                      </m:sub>
                      <m:sup>
                        <m:r>
                          <a:rPr lang="es-ES" sz="1100" b="0" i="1">
                            <a:latin typeface="Cambria Math" panose="02040503050406030204" pitchFamily="18" charset="0"/>
                          </a:rPr>
                          <m:t>𝑛</m:t>
                        </m:r>
                      </m:sup>
                      <m:e>
                        <m:r>
                          <a:rPr lang="es-ES" sz="1100" b="0" i="1">
                            <a:latin typeface="Cambria Math" panose="02040503050406030204" pitchFamily="18" charset="0"/>
                          </a:rPr>
                          <m:t>=</m:t>
                        </m:r>
                      </m:e>
                    </m:nary>
                    <m:r>
                      <a:rPr lang="es-ES" sz="1100" b="0" i="1">
                        <a:latin typeface="Cambria Math" panose="02040503050406030204" pitchFamily="18" charset="0"/>
                      </a:rPr>
                      <m:t>𝑤𝑖</m:t>
                    </m:r>
                    <m:r>
                      <a:rPr lang="es-ES" sz="1100" b="0" i="1">
                        <a:latin typeface="Cambria Math" panose="02040503050406030204" pitchFamily="18" charset="0"/>
                      </a:rPr>
                      <m:t>∗</m:t>
                    </m:r>
                    <m:r>
                      <a:rPr lang="es-ES" sz="1100" b="0" i="1">
                        <a:latin typeface="Cambria Math" panose="02040503050406030204" pitchFamily="18" charset="0"/>
                      </a:rPr>
                      <m:t>𝑋𝑖</m:t>
                    </m:r>
                  </m:oMath>
                </m:oMathPara>
              </a14:m>
              <a:endParaRPr lang="es-CO" sz="1100"/>
            </a:p>
          </xdr:txBody>
        </xdr:sp>
      </mc:Choice>
      <mc:Fallback>
        <xdr:sp macro="" textlink="">
          <xdr:nvSpPr>
            <xdr:cNvPr id="12" name="CuadroTexto 11">
              <a:extLst>
                <a:ext uri="{FF2B5EF4-FFF2-40B4-BE49-F238E27FC236}">
                  <a16:creationId xmlns:a16="http://schemas.microsoft.com/office/drawing/2014/main" id="{BFB19F80-CB18-45C6-820B-1B1B1ACE45E0}"/>
                </a:ext>
              </a:extLst>
            </xdr:cNvPr>
            <xdr:cNvSpPr txBox="1"/>
          </xdr:nvSpPr>
          <xdr:spPr>
            <a:xfrm>
              <a:off x="36899846" y="9946219"/>
              <a:ext cx="1134531" cy="462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CO" sz="1100" i="0">
                  <a:latin typeface="Cambria Math" panose="02040503050406030204" pitchFamily="18" charset="0"/>
                </a:rPr>
                <a:t>∑</a:t>
              </a:r>
              <a:r>
                <a:rPr lang="es-ES" sz="1100" b="0" i="0">
                  <a:latin typeface="Cambria Math" panose="02040503050406030204" pitchFamily="18" charset="0"/>
                </a:rPr>
                <a:t>_</a:t>
              </a:r>
              <a:r>
                <a:rPr lang="es-CO" sz="1100" b="0" i="0">
                  <a:latin typeface="Cambria Math" panose="02040503050406030204" pitchFamily="18" charset="0"/>
                </a:rPr>
                <a:t>(</a:t>
              </a:r>
              <a:r>
                <a:rPr lang="es-ES" sz="1100" b="0" i="0">
                  <a:latin typeface="Cambria Math" panose="02040503050406030204" pitchFamily="18" charset="0"/>
                </a:rPr>
                <a:t>𝑖=1</a:t>
              </a:r>
              <a:r>
                <a:rPr lang="es-CO" sz="1100" b="0" i="0">
                  <a:latin typeface="Cambria Math" panose="02040503050406030204" pitchFamily="18" charset="0"/>
                </a:rPr>
                <a:t>)</a:t>
              </a:r>
              <a:r>
                <a:rPr lang="es-ES" sz="1100" b="0" i="0">
                  <a:latin typeface="Cambria Math" panose="02040503050406030204" pitchFamily="18" charset="0"/>
                </a:rPr>
                <a:t>^𝑛▒= 𝑤𝑖∗𝑋𝑖</a:t>
              </a:r>
              <a:endParaRPr lang="es-CO" sz="1100"/>
            </a:p>
          </xdr:txBody>
        </xdr:sp>
      </mc:Fallback>
    </mc:AlternateContent>
    <xdr:clientData/>
  </xdr:oneCellAnchor>
  <xdr:oneCellAnchor>
    <xdr:from>
      <xdr:col>20</xdr:col>
      <xdr:colOff>349246</xdr:colOff>
      <xdr:row>12</xdr:row>
      <xdr:rowOff>253997</xdr:rowOff>
    </xdr:from>
    <xdr:ext cx="1134531" cy="462114"/>
    <mc:AlternateContent xmlns:mc="http://schemas.openxmlformats.org/markup-compatibility/2006">
      <mc:Choice xmlns:a14="http://schemas.microsoft.com/office/drawing/2010/main" Requires="a14">
        <xdr:sp macro="" textlink="">
          <xdr:nvSpPr>
            <xdr:cNvPr id="13" name="CuadroTexto 12">
              <a:extLst>
                <a:ext uri="{FF2B5EF4-FFF2-40B4-BE49-F238E27FC236}">
                  <a16:creationId xmlns:a16="http://schemas.microsoft.com/office/drawing/2014/main" id="{0BFBB904-5C38-490E-8CAF-515F461B1339}"/>
                </a:ext>
              </a:extLst>
            </xdr:cNvPr>
            <xdr:cNvSpPr txBox="1"/>
          </xdr:nvSpPr>
          <xdr:spPr>
            <a:xfrm>
              <a:off x="36868096" y="13836647"/>
              <a:ext cx="1134531" cy="462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ctrlPr>
                          <a:rPr lang="es-CO" sz="1100" i="1">
                            <a:latin typeface="Cambria Math" panose="02040503050406030204" pitchFamily="18" charset="0"/>
                          </a:rPr>
                        </m:ctrlPr>
                      </m:naryPr>
                      <m:sub>
                        <m:r>
                          <m:rPr>
                            <m:brk m:alnAt="23"/>
                          </m:rPr>
                          <a:rPr lang="es-ES" sz="1100" b="0" i="1">
                            <a:latin typeface="Cambria Math" panose="02040503050406030204" pitchFamily="18" charset="0"/>
                          </a:rPr>
                          <m:t>𝑖</m:t>
                        </m:r>
                        <m:r>
                          <a:rPr lang="es-ES" sz="1100" b="0" i="1">
                            <a:latin typeface="Cambria Math" panose="02040503050406030204" pitchFamily="18" charset="0"/>
                          </a:rPr>
                          <m:t>=1</m:t>
                        </m:r>
                      </m:sub>
                      <m:sup>
                        <m:r>
                          <a:rPr lang="es-ES" sz="1100" b="0" i="1">
                            <a:latin typeface="Cambria Math" panose="02040503050406030204" pitchFamily="18" charset="0"/>
                          </a:rPr>
                          <m:t>𝑛</m:t>
                        </m:r>
                      </m:sup>
                      <m:e>
                        <m:r>
                          <a:rPr lang="es-ES" sz="1100" b="0" i="1">
                            <a:latin typeface="Cambria Math" panose="02040503050406030204" pitchFamily="18" charset="0"/>
                          </a:rPr>
                          <m:t>=</m:t>
                        </m:r>
                      </m:e>
                    </m:nary>
                    <m:r>
                      <a:rPr lang="es-ES" sz="1100" b="0" i="1">
                        <a:latin typeface="Cambria Math" panose="02040503050406030204" pitchFamily="18" charset="0"/>
                      </a:rPr>
                      <m:t>𝑤𝑖</m:t>
                    </m:r>
                    <m:r>
                      <a:rPr lang="es-ES" sz="1100" b="0" i="1">
                        <a:latin typeface="Cambria Math" panose="02040503050406030204" pitchFamily="18" charset="0"/>
                      </a:rPr>
                      <m:t>∗</m:t>
                    </m:r>
                    <m:r>
                      <a:rPr lang="es-ES" sz="1100" b="0" i="1">
                        <a:latin typeface="Cambria Math" panose="02040503050406030204" pitchFamily="18" charset="0"/>
                      </a:rPr>
                      <m:t>𝑋𝑖</m:t>
                    </m:r>
                  </m:oMath>
                </m:oMathPara>
              </a14:m>
              <a:endParaRPr lang="es-CO" sz="1100"/>
            </a:p>
          </xdr:txBody>
        </xdr:sp>
      </mc:Choice>
      <mc:Fallback>
        <xdr:sp macro="" textlink="">
          <xdr:nvSpPr>
            <xdr:cNvPr id="13" name="CuadroTexto 12">
              <a:extLst>
                <a:ext uri="{FF2B5EF4-FFF2-40B4-BE49-F238E27FC236}">
                  <a16:creationId xmlns:a16="http://schemas.microsoft.com/office/drawing/2014/main" id="{0BFBB904-5C38-490E-8CAF-515F461B1339}"/>
                </a:ext>
              </a:extLst>
            </xdr:cNvPr>
            <xdr:cNvSpPr txBox="1"/>
          </xdr:nvSpPr>
          <xdr:spPr>
            <a:xfrm>
              <a:off x="36868096" y="13836647"/>
              <a:ext cx="1134531" cy="462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CO" sz="1100" i="0">
                  <a:latin typeface="Cambria Math" panose="02040503050406030204" pitchFamily="18" charset="0"/>
                </a:rPr>
                <a:t>∑</a:t>
              </a:r>
              <a:r>
                <a:rPr lang="es-ES" sz="1100" b="0" i="0">
                  <a:latin typeface="Cambria Math" panose="02040503050406030204" pitchFamily="18" charset="0"/>
                </a:rPr>
                <a:t>_</a:t>
              </a:r>
              <a:r>
                <a:rPr lang="es-CO" sz="1100" b="0" i="0">
                  <a:latin typeface="Cambria Math" panose="02040503050406030204" pitchFamily="18" charset="0"/>
                </a:rPr>
                <a:t>(</a:t>
              </a:r>
              <a:r>
                <a:rPr lang="es-ES" sz="1100" b="0" i="0">
                  <a:latin typeface="Cambria Math" panose="02040503050406030204" pitchFamily="18" charset="0"/>
                </a:rPr>
                <a:t>𝑖=1</a:t>
              </a:r>
              <a:r>
                <a:rPr lang="es-CO" sz="1100" b="0" i="0">
                  <a:latin typeface="Cambria Math" panose="02040503050406030204" pitchFamily="18" charset="0"/>
                </a:rPr>
                <a:t>)</a:t>
              </a:r>
              <a:r>
                <a:rPr lang="es-ES" sz="1100" b="0" i="0">
                  <a:latin typeface="Cambria Math" panose="02040503050406030204" pitchFamily="18" charset="0"/>
                </a:rPr>
                <a:t>^𝑛▒= 𝑤𝑖∗𝑋𝑖</a:t>
              </a:r>
              <a:endParaRPr lang="es-CO" sz="1100"/>
            </a:p>
          </xdr:txBody>
        </xdr:sp>
      </mc:Fallback>
    </mc:AlternateContent>
    <xdr:clientData/>
  </xdr:oneCellAnchor>
  <xdr:oneCellAnchor>
    <xdr:from>
      <xdr:col>20</xdr:col>
      <xdr:colOff>349248</xdr:colOff>
      <xdr:row>13</xdr:row>
      <xdr:rowOff>148167</xdr:rowOff>
    </xdr:from>
    <xdr:ext cx="1134531" cy="462114"/>
    <mc:AlternateContent xmlns:mc="http://schemas.openxmlformats.org/markup-compatibility/2006">
      <mc:Choice xmlns:a14="http://schemas.microsoft.com/office/drawing/2010/main" Requires="a14">
        <xdr:sp macro="" textlink="">
          <xdr:nvSpPr>
            <xdr:cNvPr id="14" name="CuadroTexto 13">
              <a:extLst>
                <a:ext uri="{FF2B5EF4-FFF2-40B4-BE49-F238E27FC236}">
                  <a16:creationId xmlns:a16="http://schemas.microsoft.com/office/drawing/2014/main" id="{EAE6F9CE-450C-4A0C-B4F7-9A8507CD17D4}"/>
                </a:ext>
              </a:extLst>
            </xdr:cNvPr>
            <xdr:cNvSpPr txBox="1"/>
          </xdr:nvSpPr>
          <xdr:spPr>
            <a:xfrm>
              <a:off x="36868098" y="15559617"/>
              <a:ext cx="1134531" cy="462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ctrlPr>
                          <a:rPr lang="es-CO" sz="1100" i="1">
                            <a:latin typeface="Cambria Math" panose="02040503050406030204" pitchFamily="18" charset="0"/>
                          </a:rPr>
                        </m:ctrlPr>
                      </m:naryPr>
                      <m:sub>
                        <m:r>
                          <m:rPr>
                            <m:brk m:alnAt="23"/>
                          </m:rPr>
                          <a:rPr lang="es-ES" sz="1100" b="0" i="1">
                            <a:latin typeface="Cambria Math" panose="02040503050406030204" pitchFamily="18" charset="0"/>
                          </a:rPr>
                          <m:t>𝑖</m:t>
                        </m:r>
                        <m:r>
                          <a:rPr lang="es-ES" sz="1100" b="0" i="1">
                            <a:latin typeface="Cambria Math" panose="02040503050406030204" pitchFamily="18" charset="0"/>
                          </a:rPr>
                          <m:t>=1</m:t>
                        </m:r>
                      </m:sub>
                      <m:sup>
                        <m:r>
                          <a:rPr lang="es-ES" sz="1100" b="0" i="1">
                            <a:latin typeface="Cambria Math" panose="02040503050406030204" pitchFamily="18" charset="0"/>
                          </a:rPr>
                          <m:t>𝑛</m:t>
                        </m:r>
                      </m:sup>
                      <m:e>
                        <m:r>
                          <a:rPr lang="es-ES" sz="1100" b="0" i="1">
                            <a:latin typeface="Cambria Math" panose="02040503050406030204" pitchFamily="18" charset="0"/>
                          </a:rPr>
                          <m:t>=</m:t>
                        </m:r>
                      </m:e>
                    </m:nary>
                    <m:r>
                      <a:rPr lang="es-ES" sz="1100" b="0" i="1">
                        <a:latin typeface="Cambria Math" panose="02040503050406030204" pitchFamily="18" charset="0"/>
                      </a:rPr>
                      <m:t>𝑤𝑖</m:t>
                    </m:r>
                    <m:r>
                      <a:rPr lang="es-ES" sz="1100" b="0" i="1">
                        <a:latin typeface="Cambria Math" panose="02040503050406030204" pitchFamily="18" charset="0"/>
                      </a:rPr>
                      <m:t>∗</m:t>
                    </m:r>
                    <m:r>
                      <a:rPr lang="es-ES" sz="1100" b="0" i="1">
                        <a:latin typeface="Cambria Math" panose="02040503050406030204" pitchFamily="18" charset="0"/>
                      </a:rPr>
                      <m:t>𝑋𝑖</m:t>
                    </m:r>
                  </m:oMath>
                </m:oMathPara>
              </a14:m>
              <a:endParaRPr lang="es-CO" sz="1100"/>
            </a:p>
          </xdr:txBody>
        </xdr:sp>
      </mc:Choice>
      <mc:Fallback>
        <xdr:sp macro="" textlink="">
          <xdr:nvSpPr>
            <xdr:cNvPr id="14" name="CuadroTexto 13">
              <a:extLst>
                <a:ext uri="{FF2B5EF4-FFF2-40B4-BE49-F238E27FC236}">
                  <a16:creationId xmlns:a16="http://schemas.microsoft.com/office/drawing/2014/main" id="{EAE6F9CE-450C-4A0C-B4F7-9A8507CD17D4}"/>
                </a:ext>
              </a:extLst>
            </xdr:cNvPr>
            <xdr:cNvSpPr txBox="1"/>
          </xdr:nvSpPr>
          <xdr:spPr>
            <a:xfrm>
              <a:off x="36868098" y="15559617"/>
              <a:ext cx="1134531" cy="462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CO" sz="1100" i="0">
                  <a:latin typeface="Cambria Math" panose="02040503050406030204" pitchFamily="18" charset="0"/>
                </a:rPr>
                <a:t>∑</a:t>
              </a:r>
              <a:r>
                <a:rPr lang="es-ES" sz="1100" b="0" i="0">
                  <a:latin typeface="Cambria Math" panose="02040503050406030204" pitchFamily="18" charset="0"/>
                </a:rPr>
                <a:t>_</a:t>
              </a:r>
              <a:r>
                <a:rPr lang="es-CO" sz="1100" b="0" i="0">
                  <a:latin typeface="Cambria Math" panose="02040503050406030204" pitchFamily="18" charset="0"/>
                </a:rPr>
                <a:t>(</a:t>
              </a:r>
              <a:r>
                <a:rPr lang="es-ES" sz="1100" b="0" i="0">
                  <a:latin typeface="Cambria Math" panose="02040503050406030204" pitchFamily="18" charset="0"/>
                </a:rPr>
                <a:t>𝑖=1</a:t>
              </a:r>
              <a:r>
                <a:rPr lang="es-CO" sz="1100" b="0" i="0">
                  <a:latin typeface="Cambria Math" panose="02040503050406030204" pitchFamily="18" charset="0"/>
                </a:rPr>
                <a:t>)</a:t>
              </a:r>
              <a:r>
                <a:rPr lang="es-ES" sz="1100" b="0" i="0">
                  <a:latin typeface="Cambria Math" panose="02040503050406030204" pitchFamily="18" charset="0"/>
                </a:rPr>
                <a:t>^𝑛▒= 𝑤𝑖∗𝑋𝑖</a:t>
              </a:r>
              <a:endParaRPr lang="es-CO" sz="1100"/>
            </a:p>
          </xdr:txBody>
        </xdr:sp>
      </mc:Fallback>
    </mc:AlternateContent>
    <xdr:clientData/>
  </xdr:oneCellAnchor>
  <xdr:oneCellAnchor>
    <xdr:from>
      <xdr:col>20</xdr:col>
      <xdr:colOff>317501</xdr:colOff>
      <xdr:row>14</xdr:row>
      <xdr:rowOff>201077</xdr:rowOff>
    </xdr:from>
    <xdr:ext cx="1134531" cy="462114"/>
    <mc:AlternateContent xmlns:mc="http://schemas.openxmlformats.org/markup-compatibility/2006">
      <mc:Choice xmlns:a14="http://schemas.microsoft.com/office/drawing/2010/main" Requires="a14">
        <xdr:sp macro="" textlink="">
          <xdr:nvSpPr>
            <xdr:cNvPr id="15" name="CuadroTexto 14">
              <a:extLst>
                <a:ext uri="{FF2B5EF4-FFF2-40B4-BE49-F238E27FC236}">
                  <a16:creationId xmlns:a16="http://schemas.microsoft.com/office/drawing/2014/main" id="{E4E79C4B-3067-4CAB-8CB7-37B4AA67C2FA}"/>
                </a:ext>
              </a:extLst>
            </xdr:cNvPr>
            <xdr:cNvSpPr txBox="1"/>
          </xdr:nvSpPr>
          <xdr:spPr>
            <a:xfrm>
              <a:off x="36836351" y="17441327"/>
              <a:ext cx="1134531" cy="462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nary>
                      <m:naryPr>
                        <m:chr m:val="∑"/>
                        <m:ctrlPr>
                          <a:rPr lang="es-CO" sz="1100" i="1">
                            <a:latin typeface="Cambria Math" panose="02040503050406030204" pitchFamily="18" charset="0"/>
                          </a:rPr>
                        </m:ctrlPr>
                      </m:naryPr>
                      <m:sub>
                        <m:r>
                          <m:rPr>
                            <m:brk m:alnAt="23"/>
                          </m:rPr>
                          <a:rPr lang="es-ES" sz="1100" b="0" i="1">
                            <a:latin typeface="Cambria Math" panose="02040503050406030204" pitchFamily="18" charset="0"/>
                          </a:rPr>
                          <m:t>𝑖</m:t>
                        </m:r>
                        <m:r>
                          <a:rPr lang="es-ES" sz="1100" b="0" i="1">
                            <a:latin typeface="Cambria Math" panose="02040503050406030204" pitchFamily="18" charset="0"/>
                          </a:rPr>
                          <m:t>=1</m:t>
                        </m:r>
                      </m:sub>
                      <m:sup>
                        <m:r>
                          <a:rPr lang="es-ES" sz="1100" b="0" i="1">
                            <a:latin typeface="Cambria Math" panose="02040503050406030204" pitchFamily="18" charset="0"/>
                          </a:rPr>
                          <m:t>𝑛</m:t>
                        </m:r>
                      </m:sup>
                      <m:e>
                        <m:r>
                          <a:rPr lang="es-ES" sz="1100" b="0" i="1">
                            <a:latin typeface="Cambria Math" panose="02040503050406030204" pitchFamily="18" charset="0"/>
                          </a:rPr>
                          <m:t>=</m:t>
                        </m:r>
                      </m:e>
                    </m:nary>
                    <m:r>
                      <a:rPr lang="es-ES" sz="1100" b="0" i="1">
                        <a:latin typeface="Cambria Math" panose="02040503050406030204" pitchFamily="18" charset="0"/>
                      </a:rPr>
                      <m:t>𝑤𝑖</m:t>
                    </m:r>
                    <m:r>
                      <a:rPr lang="es-ES" sz="1100" b="0" i="1">
                        <a:latin typeface="Cambria Math" panose="02040503050406030204" pitchFamily="18" charset="0"/>
                      </a:rPr>
                      <m:t>∗</m:t>
                    </m:r>
                    <m:r>
                      <a:rPr lang="es-ES" sz="1100" b="0" i="1">
                        <a:latin typeface="Cambria Math" panose="02040503050406030204" pitchFamily="18" charset="0"/>
                      </a:rPr>
                      <m:t>𝑋𝑖</m:t>
                    </m:r>
                  </m:oMath>
                </m:oMathPara>
              </a14:m>
              <a:endParaRPr lang="es-CO" sz="1100"/>
            </a:p>
          </xdr:txBody>
        </xdr:sp>
      </mc:Choice>
      <mc:Fallback>
        <xdr:sp macro="" textlink="">
          <xdr:nvSpPr>
            <xdr:cNvPr id="15" name="CuadroTexto 14">
              <a:extLst>
                <a:ext uri="{FF2B5EF4-FFF2-40B4-BE49-F238E27FC236}">
                  <a16:creationId xmlns:a16="http://schemas.microsoft.com/office/drawing/2014/main" id="{E4E79C4B-3067-4CAB-8CB7-37B4AA67C2FA}"/>
                </a:ext>
              </a:extLst>
            </xdr:cNvPr>
            <xdr:cNvSpPr txBox="1"/>
          </xdr:nvSpPr>
          <xdr:spPr>
            <a:xfrm>
              <a:off x="36836351" y="17441327"/>
              <a:ext cx="1134531" cy="4621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CO" sz="1100" i="0">
                  <a:latin typeface="Cambria Math" panose="02040503050406030204" pitchFamily="18" charset="0"/>
                </a:rPr>
                <a:t>∑</a:t>
              </a:r>
              <a:r>
                <a:rPr lang="es-ES" sz="1100" b="0" i="0">
                  <a:latin typeface="Cambria Math" panose="02040503050406030204" pitchFamily="18" charset="0"/>
                </a:rPr>
                <a:t>_</a:t>
              </a:r>
              <a:r>
                <a:rPr lang="es-CO" sz="1100" b="0" i="0">
                  <a:latin typeface="Cambria Math" panose="02040503050406030204" pitchFamily="18" charset="0"/>
                </a:rPr>
                <a:t>(</a:t>
              </a:r>
              <a:r>
                <a:rPr lang="es-ES" sz="1100" b="0" i="0">
                  <a:latin typeface="Cambria Math" panose="02040503050406030204" pitchFamily="18" charset="0"/>
                </a:rPr>
                <a:t>𝑖=1</a:t>
              </a:r>
              <a:r>
                <a:rPr lang="es-CO" sz="1100" b="0" i="0">
                  <a:latin typeface="Cambria Math" panose="02040503050406030204" pitchFamily="18" charset="0"/>
                </a:rPr>
                <a:t>)</a:t>
              </a:r>
              <a:r>
                <a:rPr lang="es-ES" sz="1100" b="0" i="0">
                  <a:latin typeface="Cambria Math" panose="02040503050406030204" pitchFamily="18" charset="0"/>
                </a:rPr>
                <a:t>^𝑛▒= 𝑤𝑖∗𝑋𝑖</a:t>
              </a:r>
              <a:endParaRPr lang="es-CO" sz="1100"/>
            </a:p>
          </xdr:txBody>
        </xdr:sp>
      </mc:Fallback>
    </mc:AlternateContent>
    <xdr:clientData/>
  </xdr:oneCellAnchor>
</xdr:wsDr>
</file>

<file path=xl/drawings/drawing2.xml><?xml version="1.0" encoding="utf-8"?>
<xdr:wsDr xmlns:xdr="http://schemas.openxmlformats.org/drawingml/2006/spreadsheetDrawing" xmlns:a="http://schemas.openxmlformats.org/drawingml/2006/main">
  <xdr:twoCellAnchor>
    <xdr:from>
      <xdr:col>0</xdr:col>
      <xdr:colOff>9525</xdr:colOff>
      <xdr:row>0</xdr:row>
      <xdr:rowOff>76200</xdr:rowOff>
    </xdr:from>
    <xdr:to>
      <xdr:col>2</xdr:col>
      <xdr:colOff>223158</xdr:colOff>
      <xdr:row>3</xdr:row>
      <xdr:rowOff>0</xdr:rowOff>
    </xdr:to>
    <xdr:grpSp>
      <xdr:nvGrpSpPr>
        <xdr:cNvPr id="2" name="Grupo 1">
          <a:extLst>
            <a:ext uri="{FF2B5EF4-FFF2-40B4-BE49-F238E27FC236}">
              <a16:creationId xmlns:a16="http://schemas.microsoft.com/office/drawing/2014/main" id="{64D2E5E4-633B-4377-952E-90288B757B8C}"/>
            </a:ext>
          </a:extLst>
        </xdr:cNvPr>
        <xdr:cNvGrpSpPr/>
      </xdr:nvGrpSpPr>
      <xdr:grpSpPr>
        <a:xfrm>
          <a:off x="9525" y="76200"/>
          <a:ext cx="3499758" cy="1085850"/>
          <a:chOff x="228600" y="47625"/>
          <a:chExt cx="2680608" cy="981075"/>
        </a:xfrm>
      </xdr:grpSpPr>
      <xdr:pic>
        <xdr:nvPicPr>
          <xdr:cNvPr id="3" name="Picture 5">
            <a:extLst>
              <a:ext uri="{FF2B5EF4-FFF2-40B4-BE49-F238E27FC236}">
                <a16:creationId xmlns:a16="http://schemas.microsoft.com/office/drawing/2014/main" id="{46DB664E-AE4E-4D8F-B75C-E9553DCD88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4" name="5 CuadroTexto">
            <a:extLst>
              <a:ext uri="{FF2B5EF4-FFF2-40B4-BE49-F238E27FC236}">
                <a16:creationId xmlns:a16="http://schemas.microsoft.com/office/drawing/2014/main" id="{BC41CC92-4216-4E1E-9A8C-F16EF820D67A}"/>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76200</xdr:rowOff>
    </xdr:from>
    <xdr:to>
      <xdr:col>0</xdr:col>
      <xdr:colOff>0</xdr:colOff>
      <xdr:row>2</xdr:row>
      <xdr:rowOff>342900</xdr:rowOff>
    </xdr:to>
    <xdr:grpSp>
      <xdr:nvGrpSpPr>
        <xdr:cNvPr id="2" name="Grupo 1">
          <a:extLst>
            <a:ext uri="{FF2B5EF4-FFF2-40B4-BE49-F238E27FC236}">
              <a16:creationId xmlns:a16="http://schemas.microsoft.com/office/drawing/2014/main" id="{1DA85214-0762-46EF-B0C6-A0D15ECD863B}"/>
            </a:ext>
          </a:extLst>
        </xdr:cNvPr>
        <xdr:cNvGrpSpPr/>
      </xdr:nvGrpSpPr>
      <xdr:grpSpPr>
        <a:xfrm>
          <a:off x="0" y="76200"/>
          <a:ext cx="0" cy="986613"/>
          <a:chOff x="228600" y="47625"/>
          <a:chExt cx="2680608" cy="981075"/>
        </a:xfrm>
      </xdr:grpSpPr>
      <xdr:pic>
        <xdr:nvPicPr>
          <xdr:cNvPr id="3" name="Picture 5">
            <a:extLst>
              <a:ext uri="{FF2B5EF4-FFF2-40B4-BE49-F238E27FC236}">
                <a16:creationId xmlns:a16="http://schemas.microsoft.com/office/drawing/2014/main" id="{BCC89A8C-3A76-4701-8121-E6257A4C4B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4" name="5 CuadroTexto">
            <a:extLst>
              <a:ext uri="{FF2B5EF4-FFF2-40B4-BE49-F238E27FC236}">
                <a16:creationId xmlns:a16="http://schemas.microsoft.com/office/drawing/2014/main" id="{05511A41-84B3-4B5B-A230-14924EA64680}"/>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twoCellAnchor>
    <xdr:from>
      <xdr:col>0</xdr:col>
      <xdr:colOff>9525</xdr:colOff>
      <xdr:row>0</xdr:row>
      <xdr:rowOff>76200</xdr:rowOff>
    </xdr:from>
    <xdr:to>
      <xdr:col>2</xdr:col>
      <xdr:colOff>223158</xdr:colOff>
      <xdr:row>3</xdr:row>
      <xdr:rowOff>0</xdr:rowOff>
    </xdr:to>
    <xdr:grpSp>
      <xdr:nvGrpSpPr>
        <xdr:cNvPr id="5" name="Grupo 4">
          <a:extLst>
            <a:ext uri="{FF2B5EF4-FFF2-40B4-BE49-F238E27FC236}">
              <a16:creationId xmlns:a16="http://schemas.microsoft.com/office/drawing/2014/main" id="{892E4124-55CE-4447-8573-9245C179CE92}"/>
            </a:ext>
          </a:extLst>
        </xdr:cNvPr>
        <xdr:cNvGrpSpPr/>
      </xdr:nvGrpSpPr>
      <xdr:grpSpPr>
        <a:xfrm>
          <a:off x="9525" y="76200"/>
          <a:ext cx="3835348" cy="1086736"/>
          <a:chOff x="228600" y="47625"/>
          <a:chExt cx="2680608" cy="981075"/>
        </a:xfrm>
      </xdr:grpSpPr>
      <xdr:pic>
        <xdr:nvPicPr>
          <xdr:cNvPr id="6" name="Picture 5">
            <a:extLst>
              <a:ext uri="{FF2B5EF4-FFF2-40B4-BE49-F238E27FC236}">
                <a16:creationId xmlns:a16="http://schemas.microsoft.com/office/drawing/2014/main" id="{C9D55068-9E42-49CB-9C55-A20285A09F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7" name="5 CuadroTexto">
            <a:extLst>
              <a:ext uri="{FF2B5EF4-FFF2-40B4-BE49-F238E27FC236}">
                <a16:creationId xmlns:a16="http://schemas.microsoft.com/office/drawing/2014/main" id="{709EBCCD-E88A-496C-8B86-C8EF29E57AB8}"/>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xdr:colOff>
      <xdr:row>0</xdr:row>
      <xdr:rowOff>76200</xdr:rowOff>
    </xdr:from>
    <xdr:to>
      <xdr:col>2</xdr:col>
      <xdr:colOff>223158</xdr:colOff>
      <xdr:row>3</xdr:row>
      <xdr:rowOff>0</xdr:rowOff>
    </xdr:to>
    <xdr:grpSp>
      <xdr:nvGrpSpPr>
        <xdr:cNvPr id="2" name="Grupo 1">
          <a:extLst>
            <a:ext uri="{FF2B5EF4-FFF2-40B4-BE49-F238E27FC236}">
              <a16:creationId xmlns:a16="http://schemas.microsoft.com/office/drawing/2014/main" id="{A33DE0F6-6B5A-4C54-845A-4BCCD7F31994}"/>
            </a:ext>
          </a:extLst>
        </xdr:cNvPr>
        <xdr:cNvGrpSpPr/>
      </xdr:nvGrpSpPr>
      <xdr:grpSpPr>
        <a:xfrm>
          <a:off x="9525" y="76200"/>
          <a:ext cx="3518808" cy="1085850"/>
          <a:chOff x="228600" y="47625"/>
          <a:chExt cx="2680608" cy="981075"/>
        </a:xfrm>
      </xdr:grpSpPr>
      <xdr:pic>
        <xdr:nvPicPr>
          <xdr:cNvPr id="3" name="Picture 5">
            <a:extLst>
              <a:ext uri="{FF2B5EF4-FFF2-40B4-BE49-F238E27FC236}">
                <a16:creationId xmlns:a16="http://schemas.microsoft.com/office/drawing/2014/main" id="{4B4D96BF-0E1E-4CB3-881D-1D09F9590A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4" name="5 CuadroTexto">
            <a:extLst>
              <a:ext uri="{FF2B5EF4-FFF2-40B4-BE49-F238E27FC236}">
                <a16:creationId xmlns:a16="http://schemas.microsoft.com/office/drawing/2014/main" id="{1CF43ABD-9F02-4404-A598-357A11415C6E}"/>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xdr:colOff>
      <xdr:row>0</xdr:row>
      <xdr:rowOff>76200</xdr:rowOff>
    </xdr:from>
    <xdr:to>
      <xdr:col>2</xdr:col>
      <xdr:colOff>223158</xdr:colOff>
      <xdr:row>4</xdr:row>
      <xdr:rowOff>0</xdr:rowOff>
    </xdr:to>
    <xdr:grpSp>
      <xdr:nvGrpSpPr>
        <xdr:cNvPr id="2" name="Grupo 1">
          <a:extLst>
            <a:ext uri="{FF2B5EF4-FFF2-40B4-BE49-F238E27FC236}">
              <a16:creationId xmlns:a16="http://schemas.microsoft.com/office/drawing/2014/main" id="{1B30B524-D0A9-41C2-9C67-EB2A26BC15AF}"/>
            </a:ext>
          </a:extLst>
        </xdr:cNvPr>
        <xdr:cNvGrpSpPr/>
      </xdr:nvGrpSpPr>
      <xdr:grpSpPr>
        <a:xfrm>
          <a:off x="9525" y="76200"/>
          <a:ext cx="3732280" cy="1324535"/>
          <a:chOff x="228600" y="47625"/>
          <a:chExt cx="2680608" cy="981075"/>
        </a:xfrm>
      </xdr:grpSpPr>
      <xdr:pic>
        <xdr:nvPicPr>
          <xdr:cNvPr id="3" name="Picture 5">
            <a:extLst>
              <a:ext uri="{FF2B5EF4-FFF2-40B4-BE49-F238E27FC236}">
                <a16:creationId xmlns:a16="http://schemas.microsoft.com/office/drawing/2014/main" id="{09B1C648-AFB6-4702-9354-FBFBFE1519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4" name="5 CuadroTexto">
            <a:extLst>
              <a:ext uri="{FF2B5EF4-FFF2-40B4-BE49-F238E27FC236}">
                <a16:creationId xmlns:a16="http://schemas.microsoft.com/office/drawing/2014/main" id="{013B86F8-11EB-4126-8C68-4661F98A5726}"/>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twoCellAnchor>
    <xdr:from>
      <xdr:col>0</xdr:col>
      <xdr:colOff>9525</xdr:colOff>
      <xdr:row>0</xdr:row>
      <xdr:rowOff>76200</xdr:rowOff>
    </xdr:from>
    <xdr:to>
      <xdr:col>2</xdr:col>
      <xdr:colOff>223158</xdr:colOff>
      <xdr:row>4</xdr:row>
      <xdr:rowOff>0</xdr:rowOff>
    </xdr:to>
    <xdr:grpSp>
      <xdr:nvGrpSpPr>
        <xdr:cNvPr id="5" name="Grupo 4">
          <a:extLst>
            <a:ext uri="{FF2B5EF4-FFF2-40B4-BE49-F238E27FC236}">
              <a16:creationId xmlns:a16="http://schemas.microsoft.com/office/drawing/2014/main" id="{5CA3C8F6-CC0A-4997-B9EF-57DD17B8A9E0}"/>
            </a:ext>
          </a:extLst>
        </xdr:cNvPr>
        <xdr:cNvGrpSpPr/>
      </xdr:nvGrpSpPr>
      <xdr:grpSpPr>
        <a:xfrm>
          <a:off x="9525" y="76200"/>
          <a:ext cx="3732280" cy="1324535"/>
          <a:chOff x="228600" y="47625"/>
          <a:chExt cx="2680608" cy="981075"/>
        </a:xfrm>
      </xdr:grpSpPr>
      <xdr:pic>
        <xdr:nvPicPr>
          <xdr:cNvPr id="6" name="Picture 5">
            <a:extLst>
              <a:ext uri="{FF2B5EF4-FFF2-40B4-BE49-F238E27FC236}">
                <a16:creationId xmlns:a16="http://schemas.microsoft.com/office/drawing/2014/main" id="{EDA12396-231A-4991-B12D-822274E8DB5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7" name="5 CuadroTexto">
            <a:extLst>
              <a:ext uri="{FF2B5EF4-FFF2-40B4-BE49-F238E27FC236}">
                <a16:creationId xmlns:a16="http://schemas.microsoft.com/office/drawing/2014/main" id="{AF23CE45-9EDE-47FE-952D-33771D3440C3}"/>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xdr:colOff>
      <xdr:row>0</xdr:row>
      <xdr:rowOff>76200</xdr:rowOff>
    </xdr:from>
    <xdr:to>
      <xdr:col>2</xdr:col>
      <xdr:colOff>223158</xdr:colOff>
      <xdr:row>3</xdr:row>
      <xdr:rowOff>0</xdr:rowOff>
    </xdr:to>
    <xdr:grpSp>
      <xdr:nvGrpSpPr>
        <xdr:cNvPr id="2" name="Grupo 1">
          <a:extLst>
            <a:ext uri="{FF2B5EF4-FFF2-40B4-BE49-F238E27FC236}">
              <a16:creationId xmlns:a16="http://schemas.microsoft.com/office/drawing/2014/main" id="{FD2921AC-6F6D-46F9-AA09-CDB5F6240563}"/>
            </a:ext>
          </a:extLst>
        </xdr:cNvPr>
        <xdr:cNvGrpSpPr/>
      </xdr:nvGrpSpPr>
      <xdr:grpSpPr>
        <a:xfrm>
          <a:off x="9525" y="76200"/>
          <a:ext cx="3499758" cy="1085850"/>
          <a:chOff x="228600" y="47625"/>
          <a:chExt cx="2680608" cy="981075"/>
        </a:xfrm>
      </xdr:grpSpPr>
      <xdr:pic>
        <xdr:nvPicPr>
          <xdr:cNvPr id="3" name="Picture 5">
            <a:extLst>
              <a:ext uri="{FF2B5EF4-FFF2-40B4-BE49-F238E27FC236}">
                <a16:creationId xmlns:a16="http://schemas.microsoft.com/office/drawing/2014/main" id="{038A8B24-F469-4E54-A915-EA025C3350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4" name="5 CuadroTexto">
            <a:extLst>
              <a:ext uri="{FF2B5EF4-FFF2-40B4-BE49-F238E27FC236}">
                <a16:creationId xmlns:a16="http://schemas.microsoft.com/office/drawing/2014/main" id="{BA0C3DD7-B9D8-4E72-9F85-24677CE536BE}"/>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twoCellAnchor>
    <xdr:from>
      <xdr:col>0</xdr:col>
      <xdr:colOff>9525</xdr:colOff>
      <xdr:row>0</xdr:row>
      <xdr:rowOff>76200</xdr:rowOff>
    </xdr:from>
    <xdr:to>
      <xdr:col>2</xdr:col>
      <xdr:colOff>223158</xdr:colOff>
      <xdr:row>3</xdr:row>
      <xdr:rowOff>0</xdr:rowOff>
    </xdr:to>
    <xdr:grpSp>
      <xdr:nvGrpSpPr>
        <xdr:cNvPr id="5" name="Grupo 4">
          <a:extLst>
            <a:ext uri="{FF2B5EF4-FFF2-40B4-BE49-F238E27FC236}">
              <a16:creationId xmlns:a16="http://schemas.microsoft.com/office/drawing/2014/main" id="{C5AE07A6-E4B2-4769-8C4F-C114B014648A}"/>
            </a:ext>
          </a:extLst>
        </xdr:cNvPr>
        <xdr:cNvGrpSpPr/>
      </xdr:nvGrpSpPr>
      <xdr:grpSpPr>
        <a:xfrm>
          <a:off x="9525" y="76200"/>
          <a:ext cx="3499758" cy="1085850"/>
          <a:chOff x="228600" y="47625"/>
          <a:chExt cx="2680608" cy="981075"/>
        </a:xfrm>
      </xdr:grpSpPr>
      <xdr:pic>
        <xdr:nvPicPr>
          <xdr:cNvPr id="6" name="Picture 5">
            <a:extLst>
              <a:ext uri="{FF2B5EF4-FFF2-40B4-BE49-F238E27FC236}">
                <a16:creationId xmlns:a16="http://schemas.microsoft.com/office/drawing/2014/main" id="{8BD5ACEF-DE15-4245-8DCB-25F783A37A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7" name="5 CuadroTexto">
            <a:extLst>
              <a:ext uri="{FF2B5EF4-FFF2-40B4-BE49-F238E27FC236}">
                <a16:creationId xmlns:a16="http://schemas.microsoft.com/office/drawing/2014/main" id="{E7DC2D99-F53A-4B46-9182-16666150305A}"/>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9525</xdr:colOff>
      <xdr:row>0</xdr:row>
      <xdr:rowOff>76200</xdr:rowOff>
    </xdr:from>
    <xdr:to>
      <xdr:col>2</xdr:col>
      <xdr:colOff>223158</xdr:colOff>
      <xdr:row>3</xdr:row>
      <xdr:rowOff>0</xdr:rowOff>
    </xdr:to>
    <xdr:grpSp>
      <xdr:nvGrpSpPr>
        <xdr:cNvPr id="2" name="Grupo 1">
          <a:extLst>
            <a:ext uri="{FF2B5EF4-FFF2-40B4-BE49-F238E27FC236}">
              <a16:creationId xmlns:a16="http://schemas.microsoft.com/office/drawing/2014/main" id="{75758E8F-8185-450B-9CFF-4366B3A6F2B6}"/>
            </a:ext>
          </a:extLst>
        </xdr:cNvPr>
        <xdr:cNvGrpSpPr/>
      </xdr:nvGrpSpPr>
      <xdr:grpSpPr>
        <a:xfrm>
          <a:off x="9525" y="76200"/>
          <a:ext cx="3595008" cy="1085850"/>
          <a:chOff x="228600" y="47625"/>
          <a:chExt cx="2680608" cy="981075"/>
        </a:xfrm>
      </xdr:grpSpPr>
      <xdr:pic>
        <xdr:nvPicPr>
          <xdr:cNvPr id="3" name="Picture 5">
            <a:extLst>
              <a:ext uri="{FF2B5EF4-FFF2-40B4-BE49-F238E27FC236}">
                <a16:creationId xmlns:a16="http://schemas.microsoft.com/office/drawing/2014/main" id="{C1479E98-E0FF-4580-83FB-F032D3A31C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4" name="5 CuadroTexto">
            <a:extLst>
              <a:ext uri="{FF2B5EF4-FFF2-40B4-BE49-F238E27FC236}">
                <a16:creationId xmlns:a16="http://schemas.microsoft.com/office/drawing/2014/main" id="{EC1DD26A-E8F5-4EDC-8FAD-45123B00C759}"/>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twoCellAnchor>
    <xdr:from>
      <xdr:col>0</xdr:col>
      <xdr:colOff>9525</xdr:colOff>
      <xdr:row>0</xdr:row>
      <xdr:rowOff>76200</xdr:rowOff>
    </xdr:from>
    <xdr:to>
      <xdr:col>2</xdr:col>
      <xdr:colOff>223158</xdr:colOff>
      <xdr:row>3</xdr:row>
      <xdr:rowOff>0</xdr:rowOff>
    </xdr:to>
    <xdr:grpSp>
      <xdr:nvGrpSpPr>
        <xdr:cNvPr id="5" name="Grupo 4">
          <a:extLst>
            <a:ext uri="{FF2B5EF4-FFF2-40B4-BE49-F238E27FC236}">
              <a16:creationId xmlns:a16="http://schemas.microsoft.com/office/drawing/2014/main" id="{74A0C158-B70A-4065-8B13-E5D3A3EA93F6}"/>
            </a:ext>
          </a:extLst>
        </xdr:cNvPr>
        <xdr:cNvGrpSpPr/>
      </xdr:nvGrpSpPr>
      <xdr:grpSpPr>
        <a:xfrm>
          <a:off x="9525" y="76200"/>
          <a:ext cx="3595008" cy="1085850"/>
          <a:chOff x="228600" y="47625"/>
          <a:chExt cx="2680608" cy="981075"/>
        </a:xfrm>
      </xdr:grpSpPr>
      <xdr:pic>
        <xdr:nvPicPr>
          <xdr:cNvPr id="6" name="Picture 5">
            <a:extLst>
              <a:ext uri="{FF2B5EF4-FFF2-40B4-BE49-F238E27FC236}">
                <a16:creationId xmlns:a16="http://schemas.microsoft.com/office/drawing/2014/main" id="{3A341A09-8265-44D3-9AD8-6A3C27668A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3924" y="47625"/>
            <a:ext cx="1401683" cy="725207"/>
          </a:xfrm>
          <a:prstGeom prst="rect">
            <a:avLst/>
          </a:prstGeom>
          <a:solidFill>
            <a:srgbClr val="FFFFFF"/>
          </a:solidFill>
          <a:ln w="9525">
            <a:solidFill>
              <a:srgbClr val="FFFFFF"/>
            </a:solidFill>
            <a:miter lim="800000"/>
            <a:headEnd/>
            <a:tailEnd/>
          </a:ln>
        </xdr:spPr>
      </xdr:pic>
      <xdr:sp macro="" textlink="">
        <xdr:nvSpPr>
          <xdr:cNvPr id="7" name="5 CuadroTexto">
            <a:extLst>
              <a:ext uri="{FF2B5EF4-FFF2-40B4-BE49-F238E27FC236}">
                <a16:creationId xmlns:a16="http://schemas.microsoft.com/office/drawing/2014/main" id="{37CB0E58-91E7-4C29-83B6-D27D14C58D0D}"/>
              </a:ext>
            </a:extLst>
          </xdr:cNvPr>
          <xdr:cNvSpPr txBox="1">
            <a:spLocks noChangeArrowheads="1"/>
          </xdr:cNvSpPr>
        </xdr:nvSpPr>
        <xdr:spPr bwMode="auto">
          <a:xfrm>
            <a:off x="228600" y="836839"/>
            <a:ext cx="2680608" cy="1918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ctr" rtl="0">
              <a:defRPr sz="1000"/>
            </a:pPr>
            <a:r>
              <a:rPr lang="es-CO" sz="800" b="0" i="0" u="none" strike="noStrike" baseline="0">
                <a:solidFill>
                  <a:srgbClr val="000000"/>
                </a:solidFill>
                <a:latin typeface="Arial Narrow"/>
              </a:rPr>
              <a:t>Ministerio de Ambiente y Desarrollo Sostenible</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Drive\ANLA\PT%20Control%20Seguimientos%2029-Dic-17.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ANBOGVIEWFSS04\Perfiles\larcila\Docs\Plan%20de%20Accion%20Institucional\PAI%202017\Seguimiento%202017\ABRIL\SES\Copia%20de%20Control%20T&#233;rminos%20Abril_2017%20REV2_EVALUACI&#211;N_DefJaz.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larcila/AppData/Local/Microsoft/Windows/INetCache/Content.Outlook/XHN05ZOW/PT%20Control%20T&#233;rminos%20ENERO%202017%2019012017.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alexm\AppData\Local\Microsoft\Windows\INetCache\Content.Outlook\JW6ZW3Q5\Presupuesto%20detallado%20Plan%20de%20Acci&#243;n%202019%20SAF%20v2%2011122018.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Seguimiento%20PAI%202019%20(ENERO).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chris\Desktop\Plan%20de%20Acci&#243;n%20Institucional%202019-SES%20Revisado%20FEB.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ETORRES\AppData\Local\Microsoft\Windows\INetCache\Content.Outlook\J6BFAGYQ\Plan%20de%20Acci&#243;n%20Institucional%202019-SES%20Revisado.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Z:\Plan%20de%20Acci&#243;n\2019\Seguimiento\Avance%20PAI%202019%20Consolidad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NBOGVIEWFSS04\Perfiles\larcila\Docs\Plan%20de%20Accion%20Institucional\PAI%202018\Seguimiento%202018\Cierre%202017\Control%20de%20SEGUIMIENTO%202017_defintivo_RevLore_22en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larcila/AppData/Local/Microsoft/Windows/INetCache/Content.Outlook/XHN05ZOW/PT%20Control%20Seguimientos%202016%20ENERO%202017%20AG.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0%20SUBDIRECCION%20DE%20EYS/2017/CONTROL%20DE%20TERMINOS/0%20DICIEMBRE%2031%202016/Control%20de%20Terminos%20SIGOV%202016%20V5%20con%20corte%20al%2010-11-2016.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inambiente4\SGC-SILA\Indicadores\Informes%20Evaluaci&#242;n\IND.%20PERMISOS\Indicadores%202008\Octubre%2008-02(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NBOGVIEWFSS04\Perfiles\larcila\Docs\Plan%20de%20Accion%20Institucional\PAI%202017\Seguimiento%202017\Balance%202016\PT%20Control%20T&#233;rminos%20DICIEMBRE%202016%20FINAL%2011012017.xlsm"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Sectorial"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0%20SUBDIRECCION%20DE%20EYS/2016/CONTROL%20TERMINOS%20SIGOV/ENERGIA-MINERIA/2016-09-30/SIGOV%202016%20V5%2030Sep2016%20_Martha%20rev%20SES%20051020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NBOGVIEWFSS04\Perfiles\larcila\Docs\Plan%20de%20Accion%20Institucional\PAI%202017\Seguimiento%202017\MAYO\SES%20-%20ANEXOS\Copia%20de%20Control%20T&#233;rminos%20mayo%202017%20Evaluaci&#243;n_EVALUACI&#211;N_defintiivo_V10jun.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Control de Calidad"/>
      <sheetName val="Indicador estrategico"/>
      <sheetName val="Graficos Tiempo Promedio"/>
      <sheetName val="Solicitudes por estado"/>
      <sheetName val="Hoja1"/>
      <sheetName val="ESTADO DE TRAMITE"/>
      <sheetName val="Esta. Informe Seguimiento"/>
      <sheetName val="Hoja7"/>
      <sheetName val="Registro Control Tiempos"/>
      <sheetName val="29 Dic"/>
      <sheetName val="27-29 Dic"/>
      <sheetName val="Infome Plan de Accion SES 2017"/>
      <sheetName val="Productividad por sector"/>
      <sheetName val="Info Agroquímicos"/>
      <sheetName val="Resumen Estadisticas"/>
      <sheetName val="Resumen estadístico"/>
      <sheetName val="Info Minería"/>
      <sheetName val="Info Hidrocarburos"/>
      <sheetName val="Info Infraestructura"/>
      <sheetName val="Info Energía"/>
      <sheetName val="Anexo 1 de Pago"/>
      <sheetName val="Estado de Proyectos"/>
      <sheetName val="Hoja4"/>
      <sheetName val="Grafico LA Nueva"/>
      <sheetName val="Grafico LA Modificacion"/>
      <sheetName val="Decreto aplicable"/>
      <sheetName val="Proyectos PINES"/>
      <sheetName val="Bd Resoluciones"/>
      <sheetName val="Tiempos Años anteriores"/>
      <sheetName val="Informes de gestión"/>
      <sheetName val="Semaforos"/>
      <sheetName val="Hoja2"/>
      <sheetName val="PT Control Seguimientos 29-Dic-"/>
      <sheetName val="VIG. ANT - X GESTIO"/>
      <sheetName val="Vig. Ant"/>
      <sheetName val="VIG. 2017 - X GESTI"/>
      <sheetName val="2017"/>
      <sheetName val="SIN GESTIÓN BD"/>
      <sheetName val="REV. REZAGOS"/>
    </sheetNames>
    <sheetDataSet>
      <sheetData sheetId="0">
        <row r="2">
          <cell r="G2" t="str">
            <v>Enero</v>
          </cell>
          <cell r="H2" t="str">
            <v>Octubre</v>
          </cell>
        </row>
        <row r="5">
          <cell r="G5">
            <v>0.13417999999999999</v>
          </cell>
        </row>
        <row r="11">
          <cell r="R11" t="str">
            <v>Audiencia pública</v>
          </cell>
          <cell r="AB11" t="str">
            <v>Levantamiento de Veda</v>
          </cell>
        </row>
        <row r="12">
          <cell r="R12" t="str">
            <v>Solicitud del usuario</v>
          </cell>
          <cell r="AB12" t="str">
            <v>Sustracción de reservas</v>
          </cell>
        </row>
        <row r="13">
          <cell r="R13" t="str">
            <v>Consulta previa</v>
          </cell>
          <cell r="AB13" t="str">
            <v>Parques</v>
          </cell>
        </row>
        <row r="14">
          <cell r="R14" t="str">
            <v>Visita Aplazada (Seguimiento)</v>
          </cell>
        </row>
      </sheetData>
      <sheetData sheetId="1"/>
      <sheetData sheetId="2">
        <row r="2">
          <cell r="I2" t="str">
            <v>*</v>
          </cell>
        </row>
        <row r="5">
          <cell r="AV5">
            <v>0.85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Control de Calidad"/>
      <sheetName val="Indicador estrategico"/>
      <sheetName val="Graficos Tiempo Promedio"/>
      <sheetName val="Solicitudes por estado"/>
      <sheetName val="Estado Empalme"/>
      <sheetName val="Hoja4"/>
      <sheetName val="Hoja3"/>
      <sheetName val="Hoja2"/>
      <sheetName val="Registro Control Tiempos"/>
      <sheetName val="Resumen Estadisticas"/>
      <sheetName val="Resumen estadístico"/>
      <sheetName val="Estado de Proyectos"/>
      <sheetName val="Grafico LA Nueva"/>
      <sheetName val="Grafico LA Modificacion"/>
      <sheetName val="Grafico LA Nueva 2820"/>
      <sheetName val="Tiempos Año Anteriror"/>
      <sheetName val="Grafico LA Modificacion 2820"/>
      <sheetName val="Decreto aplicable"/>
      <sheetName val="Proyectos PINES"/>
      <sheetName val="Bd Resoluciones"/>
      <sheetName val="Tiempos Años anteriores"/>
      <sheetName val="Informes de gestión"/>
      <sheetName val="Semaforos"/>
    </sheetNames>
    <sheetDataSet>
      <sheetData sheetId="0">
        <row r="11">
          <cell r="V11" t="str">
            <v>Archiva</v>
          </cell>
        </row>
        <row r="12">
          <cell r="V12" t="str">
            <v>Desiste</v>
          </cell>
        </row>
        <row r="13">
          <cell r="V13" t="str">
            <v>Niega</v>
          </cell>
        </row>
        <row r="14">
          <cell r="V14" t="str">
            <v>Otorga</v>
          </cell>
        </row>
        <row r="15">
          <cell r="V15" t="str">
            <v>Revoca</v>
          </cell>
        </row>
        <row r="16">
          <cell r="V16" t="str">
            <v>Define DAA</v>
          </cell>
        </row>
        <row r="17">
          <cell r="V17" t="str">
            <v>Requiere DAA</v>
          </cell>
        </row>
        <row r="18">
          <cell r="V18" t="str">
            <v>No requiere DAA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ado de Proyectos"/>
      <sheetName val="Control de Calidad"/>
      <sheetName val="Indicador estrategico"/>
      <sheetName val="Graficos Tiempo Promedio"/>
      <sheetName val="Solicitudes por estado"/>
      <sheetName val="Estado Empalme"/>
      <sheetName val="Estadisticas AI 2016"/>
      <sheetName val="Hoja1"/>
      <sheetName val="Parametros"/>
      <sheetName val="Semaforos"/>
      <sheetName val="Hoja4"/>
      <sheetName val="Hoja5"/>
      <sheetName val="ESTADO SOLICITUDES"/>
      <sheetName val="Registro Control Tiempos"/>
      <sheetName val="Resumen Estadisticas"/>
      <sheetName val="Resumen estadístico"/>
      <sheetName val="Grafico LA Nueva"/>
      <sheetName val="Grafico LA Modificacion"/>
      <sheetName val="Grafico LA Nueva 2820"/>
      <sheetName val="Tiempos Año Anteriror"/>
      <sheetName val="Grafico LA Modificacion 2820"/>
      <sheetName val="Decreto aplicable"/>
      <sheetName val="Proyectos PINES"/>
      <sheetName val="Bd Resoluciones"/>
      <sheetName val="Tiempos Años anteriores"/>
      <sheetName val="Informes de gestió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11">
          <cell r="L11" t="str">
            <v>Nuevo</v>
          </cell>
        </row>
        <row r="12">
          <cell r="L12" t="str">
            <v>Modificación</v>
          </cell>
        </row>
        <row r="13">
          <cell r="L13" t="str">
            <v>Mod. Fuente Materiales</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s"/>
      <sheetName val="Presupuesto detallado"/>
      <sheetName val="Catálogo de indicadores"/>
      <sheetName val="Catálogo concepto de gastos"/>
    </sheetNames>
    <sheetDataSet>
      <sheetData sheetId="0" refreshError="1"/>
      <sheetData sheetId="1" refreshError="1"/>
      <sheetData sheetId="2" refreshError="1"/>
      <sheetData sheetId="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ANLA 2019"/>
      <sheetName val="Plan de Acción SES"/>
      <sheetName val="Plan de Acción OAP"/>
      <sheetName val="Plan de Acción SIPTA"/>
      <sheetName val="Plan de Acción Comunicaciones"/>
      <sheetName val="OAJ"/>
      <sheetName val="OCI"/>
      <sheetName val="SAF"/>
    </sheetNames>
    <sheetDataSet>
      <sheetData sheetId="0"/>
      <sheetData sheetId="1">
        <row r="8">
          <cell r="AD8">
            <v>0</v>
          </cell>
        </row>
        <row r="15">
          <cell r="AD15">
            <v>3.3436274671746292E-2</v>
          </cell>
          <cell r="AH15">
            <v>1.0411965038872539E-2</v>
          </cell>
        </row>
        <row r="23">
          <cell r="AD23">
            <v>3.0701754385964911E-2</v>
          </cell>
          <cell r="AH23">
            <v>5.3571428571428581E-3</v>
          </cell>
        </row>
        <row r="31">
          <cell r="AD31">
            <v>2.9239766081871343E-2</v>
          </cell>
          <cell r="AH31">
            <v>2.0035803795202291E-2</v>
          </cell>
        </row>
        <row r="39">
          <cell r="AD39">
            <v>1.4619883040935672E-2</v>
          </cell>
          <cell r="AH39">
            <v>1.5507518796992482E-2</v>
          </cell>
        </row>
        <row r="47">
          <cell r="AD47">
            <v>0</v>
          </cell>
          <cell r="AH47">
            <v>4.1666666666666664E-2</v>
          </cell>
        </row>
        <row r="55">
          <cell r="AD55">
            <v>2.9239766081871343E-2</v>
          </cell>
          <cell r="AH55">
            <v>1.60484544695071E-2</v>
          </cell>
        </row>
        <row r="62">
          <cell r="AD62">
            <v>1.443859649122807E-2</v>
          </cell>
        </row>
        <row r="64">
          <cell r="AD64">
            <v>0</v>
          </cell>
        </row>
        <row r="67">
          <cell r="AD67">
            <v>0</v>
          </cell>
          <cell r="AH67">
            <v>0</v>
          </cell>
        </row>
      </sheetData>
      <sheetData sheetId="2"/>
      <sheetData sheetId="3"/>
      <sheetData sheetId="4"/>
      <sheetData sheetId="5"/>
      <sheetData sheetId="6"/>
      <sheetData sheetId="7"/>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SES"/>
      <sheetName val="Homologado tiempo transcurrido"/>
      <sheetName val="Gráfica Evaluación %"/>
      <sheetName val="Gráfica Evaluación #"/>
      <sheetName val="Gráfica Seguimientos"/>
      <sheetName val="Gráfica Rezagos"/>
      <sheetName val="Gráfica RASP"/>
      <sheetName val="Gráfica VE,1%,Conting"/>
    </sheetNames>
    <sheetDataSet>
      <sheetData sheetId="0"/>
      <sheetData sheetId="1">
        <row r="8">
          <cell r="AD8">
            <v>4.1666666666666664E-2</v>
          </cell>
        </row>
        <row r="15">
          <cell r="AD15">
            <v>8.2688495993975916E-2</v>
          </cell>
          <cell r="AH15">
            <v>6.9597988399550975E-2</v>
          </cell>
        </row>
        <row r="23">
          <cell r="AD23">
            <v>3.2391470698021653E-2</v>
          </cell>
        </row>
        <row r="31">
          <cell r="AD31">
            <v>6.0541563483033266E-2</v>
          </cell>
          <cell r="AH31">
            <v>5.9581328410761296E-2</v>
          </cell>
        </row>
        <row r="39">
          <cell r="AD39">
            <v>4.9833333333333334E-2</v>
          </cell>
          <cell r="AH39">
            <v>3.9365646258503403E-2</v>
          </cell>
        </row>
        <row r="47">
          <cell r="AD47">
            <v>0</v>
          </cell>
        </row>
        <row r="55">
          <cell r="AD55">
            <v>5.1538834420423625E-2</v>
          </cell>
          <cell r="AH55">
            <v>5.6489918859109908E-2</v>
          </cell>
        </row>
        <row r="62">
          <cell r="AD62">
            <v>2.9823573301068763E-2</v>
          </cell>
        </row>
        <row r="64">
          <cell r="AD64">
            <v>0.16600000000000001</v>
          </cell>
        </row>
        <row r="67">
          <cell r="AD67">
            <v>0</v>
          </cell>
        </row>
      </sheetData>
      <sheetData sheetId="2"/>
      <sheetData sheetId="3"/>
      <sheetData sheetId="4"/>
      <sheetData sheetId="5"/>
      <sheetData sheetId="6"/>
      <sheetData sheetId="7"/>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SES"/>
      <sheetName val="Homologado tiempo transcurrido"/>
      <sheetName val="Gráfica Evaluación %"/>
      <sheetName val="Gráfica Evaluación #"/>
      <sheetName val="Gráfica Seguimientos"/>
      <sheetName val="Gráfica Rezagos"/>
      <sheetName val="Gráfica RASP"/>
      <sheetName val="Gráfica VE,1%,Conting"/>
    </sheetNames>
    <sheetDataSet>
      <sheetData sheetId="0"/>
      <sheetData sheetId="1">
        <row r="8">
          <cell r="AD8">
            <v>4.1666666666666664E-2</v>
          </cell>
        </row>
        <row r="23">
          <cell r="AH23">
            <v>3.297754425153146E-2</v>
          </cell>
        </row>
        <row r="47">
          <cell r="AH47">
            <v>6.8027210884353734E-2</v>
          </cell>
        </row>
        <row r="67">
          <cell r="AH67">
            <v>0</v>
          </cell>
        </row>
      </sheetData>
      <sheetData sheetId="2"/>
      <sheetData sheetId="3"/>
      <sheetData sheetId="4"/>
      <sheetData sheetId="5"/>
      <sheetData sheetId="6"/>
      <sheetData sheetId="7"/>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ANLA 2019"/>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ro Control Tiempos"/>
      <sheetName val="Hidrocarburos"/>
      <sheetName val="Infraestructura"/>
      <sheetName val="Minería"/>
      <sheetName val="Energía"/>
      <sheetName val="Agroquímicos"/>
    </sheetNames>
    <sheetDataSet>
      <sheetData sheetId="0">
        <row r="7">
          <cell r="C7">
            <v>42978</v>
          </cell>
        </row>
        <row r="9">
          <cell r="C9">
            <v>42978</v>
          </cell>
        </row>
      </sheetData>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Control de Calidad"/>
      <sheetName val="Indicador estrategico"/>
      <sheetName val="Graficos Tiempo Promedio"/>
      <sheetName val="Solicitudes por estado"/>
      <sheetName val="Hoja1"/>
      <sheetName val="ESTADO DE TRAMITE"/>
      <sheetName val="Registro Control Tiempos"/>
      <sheetName val="Resumen Estadisticas"/>
      <sheetName val="Resumen estadístico"/>
      <sheetName val="Anexo 1 de Pago"/>
      <sheetName val="Estado de Proyectos"/>
      <sheetName val="Grafico LA Nueva"/>
      <sheetName val="Grafico LA Modificacion"/>
      <sheetName val="Decreto aplicable"/>
      <sheetName val="Proyectos PINES"/>
      <sheetName val="Bd Resoluciones"/>
      <sheetName val="Tiempos Años anteriores"/>
      <sheetName val="Informes de gestión"/>
      <sheetName val="Semaforos"/>
    </sheetNames>
    <sheetDataSet>
      <sheetData sheetId="0">
        <row r="11">
          <cell r="F11" t="str">
            <v>LA</v>
          </cell>
        </row>
        <row r="12">
          <cell r="F12" t="str">
            <v>PMA</v>
          </cell>
        </row>
        <row r="13">
          <cell r="F13" t="str">
            <v>MMA</v>
          </cell>
        </row>
        <row r="14">
          <cell r="F14" t="str">
            <v>NDA</v>
          </cell>
        </row>
        <row r="15">
          <cell r="F15" t="str">
            <v>DAA</v>
          </cell>
        </row>
        <row r="16">
          <cell r="F16" t="str">
            <v>PMRA</v>
          </cell>
        </row>
        <row r="17">
          <cell r="F17" t="str">
            <v>DTA</v>
          </cell>
        </row>
        <row r="18">
          <cell r="F18" t="str">
            <v>POSC</v>
          </cell>
        </row>
        <row r="19">
          <cell r="F19" t="str">
            <v>P.E.</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ros"/>
      <sheetName val="S"/>
      <sheetName val="H"/>
      <sheetName val="I"/>
      <sheetName val="E"/>
      <sheetName val="M"/>
      <sheetName val="A"/>
      <sheetName val="Anexo1"/>
      <sheetName val="R-2015"/>
      <sheetName val="1"/>
      <sheetName val="2"/>
      <sheetName val="Parametros"/>
      <sheetName val="BPH"/>
      <sheetName val="BPI"/>
      <sheetName val="BIE"/>
      <sheetName val="BPM"/>
      <sheetName val="Hoja1"/>
      <sheetName val="Contratistas"/>
      <sheetName val="Control de Terminos SIGOV 2016 "/>
      <sheetName val="Control%20de%20Terminos%20SIGOV"/>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ow r="12">
          <cell r="BI12" t="str">
            <v>Si</v>
          </cell>
        </row>
        <row r="15">
          <cell r="BI15" t="str">
            <v>Dec. 1310 de 2005</v>
          </cell>
        </row>
        <row r="16">
          <cell r="BI16" t="str">
            <v>Res. 1442 de 2008</v>
          </cell>
        </row>
        <row r="17">
          <cell r="BI17" t="str">
            <v>Dec. 2820 de 2010</v>
          </cell>
        </row>
        <row r="18">
          <cell r="BI18" t="str">
            <v>Dec. 2041 de 2014</v>
          </cell>
        </row>
        <row r="19">
          <cell r="BI19" t="str">
            <v>Dec. 1076 de 2015</v>
          </cell>
        </row>
      </sheetData>
      <sheetData sheetId="12" refreshError="1"/>
      <sheetData sheetId="13" refreshError="1"/>
      <sheetData sheetId="14" refreshError="1"/>
      <sheetData sheetId="15" refreshError="1"/>
      <sheetData sheetId="16" refreshError="1"/>
      <sheetData sheetId="17"/>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2008"/>
      <sheetName val="MOV. TRANFRONTERIZO"/>
      <sheetName val="INVESTIGACION"/>
      <sheetName val="CITES"/>
      <sheetName val="SUSTRACCION DE RESERVA"/>
      <sheetName val="PERMISO FUERA LICENCIAS AMBIENT"/>
      <sheetName val="pendientes CITES"/>
      <sheetName val="Octubre"/>
      <sheetName val="% Evaluaciones Resueltas"/>
      <sheetName val="Tiempo de evaluación PROPUESTO"/>
      <sheetName val="Eficiencia_terminos"/>
      <sheetName val="Eficiencia_terminos (2)"/>
      <sheetName val="Tiempo de evaluación"/>
      <sheetName val="Hoja1"/>
      <sheetName val="Pendientes"/>
      <sheetName val="datoa paula"/>
      <sheetName val="% Evaluaciones Resueltas (2)"/>
      <sheetName val="Octubre 08-02(1)"/>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4">
          <cell r="C24" t="str">
            <v>Dentro de Término</v>
          </cell>
        </row>
      </sheetData>
      <sheetData sheetId="13"/>
      <sheetData sheetId="14">
        <row r="49">
          <cell r="B49">
            <v>1</v>
          </cell>
          <cell r="C49">
            <v>0</v>
          </cell>
          <cell r="D49">
            <v>12</v>
          </cell>
          <cell r="E49">
            <v>48</v>
          </cell>
        </row>
      </sheetData>
      <sheetData sheetId="15"/>
      <sheetData sheetId="16"/>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ado de Proyectos"/>
      <sheetName val="Control de Calidad"/>
      <sheetName val="Indicador estrategico"/>
      <sheetName val="Graficos Tiempo Promedio"/>
      <sheetName val="Solicitudes por estado"/>
      <sheetName val="Estado Empalme"/>
      <sheetName val="Estadisticas AI 2016"/>
      <sheetName val="Hoja1"/>
      <sheetName val="Parametros"/>
      <sheetName val="Semaforos"/>
      <sheetName val="Hoja4"/>
      <sheetName val="Hoja5"/>
      <sheetName val="ESTADO SOLICITUDES"/>
      <sheetName val="Registro Control Tiempos"/>
      <sheetName val="Resumen Estadisticas"/>
      <sheetName val="Resumen estadístico"/>
      <sheetName val="Grafico LA Nueva"/>
      <sheetName val="Grafico LA Modificacion"/>
      <sheetName val="Grafico LA Nueva 2820"/>
      <sheetName val="Tiempos Año Anteriror"/>
      <sheetName val="Grafico LA Modificacion 2820"/>
      <sheetName val="Decreto aplicable"/>
      <sheetName val="Proyectos PINES"/>
      <sheetName val="Bd Resoluciones"/>
      <sheetName val="Tiempos Años anteriores"/>
      <sheetName val="Informes de gestión"/>
    </sheetNames>
    <sheetDataSet>
      <sheetData sheetId="0"/>
      <sheetData sheetId="1"/>
      <sheetData sheetId="2"/>
      <sheetData sheetId="3"/>
      <sheetData sheetId="4"/>
      <sheetData sheetId="5"/>
      <sheetData sheetId="6"/>
      <sheetData sheetId="7"/>
      <sheetData sheetId="8">
        <row r="11">
          <cell r="N11" t="str">
            <v>AGROQUÍMICOS</v>
          </cell>
        </row>
        <row r="12">
          <cell r="N12" t="str">
            <v>ENERGÍA</v>
          </cell>
        </row>
        <row r="13">
          <cell r="N13" t="str">
            <v>ESPECIALES</v>
          </cell>
        </row>
        <row r="14">
          <cell r="N14" t="str">
            <v>HIDROCARBUROS</v>
          </cell>
        </row>
        <row r="15">
          <cell r="N15" t="str">
            <v>INFRAESTRUCTURA</v>
          </cell>
        </row>
        <row r="16">
          <cell r="N16" t="str">
            <v>MINERÍA</v>
          </cell>
        </row>
        <row r="17">
          <cell r="N17" t="str">
            <v>POSCONSUMO</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ctorial"/>
      <sheetName val="Parametros"/>
    </sheetNames>
    <sheetDataSet>
      <sheetData sheetId="0" refreshError="1"/>
      <sheetData sheetId="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ros"/>
      <sheetName val="S"/>
      <sheetName val="H"/>
      <sheetName val="I"/>
      <sheetName val="E"/>
      <sheetName val="M"/>
      <sheetName val="A"/>
      <sheetName val="Anexo1"/>
      <sheetName val="R-2015"/>
      <sheetName val="1"/>
      <sheetName val="2"/>
      <sheetName val="Parametros"/>
      <sheetName val="BPH"/>
      <sheetName val="BPI"/>
      <sheetName val="BIE"/>
      <sheetName val="BPM"/>
      <sheetName val="Hoja1"/>
      <sheetName val="Contratistas"/>
    </sheetNames>
    <sheetDataSet>
      <sheetData sheetId="0"/>
      <sheetData sheetId="1"/>
      <sheetData sheetId="2"/>
      <sheetData sheetId="3"/>
      <sheetData sheetId="4"/>
      <sheetData sheetId="5"/>
      <sheetData sheetId="6"/>
      <sheetData sheetId="7"/>
      <sheetData sheetId="8"/>
      <sheetData sheetId="9"/>
      <sheetData sheetId="10"/>
      <sheetData sheetId="11">
        <row r="12">
          <cell r="BI12" t="str">
            <v>Si</v>
          </cell>
        </row>
        <row r="13">
          <cell r="BI13" t="str">
            <v>No</v>
          </cell>
        </row>
      </sheetData>
      <sheetData sheetId="12"/>
      <sheetData sheetId="13"/>
      <sheetData sheetId="14"/>
      <sheetData sheetId="15"/>
      <sheetData sheetId="16"/>
      <sheetData sheetId="17"/>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ado de Proyectos"/>
      <sheetName val="Control de Calidad"/>
      <sheetName val="Indicador estrategico"/>
      <sheetName val="Graficos Tiempo Promedio"/>
      <sheetName val="Solicitudes por estado"/>
      <sheetName val="Estado Empalme"/>
      <sheetName val="Estadisticas AI 2016"/>
      <sheetName val="Hoja1"/>
      <sheetName val="Parametros"/>
      <sheetName val="Semaforos"/>
      <sheetName val="Hoja4"/>
      <sheetName val="Hoja5"/>
      <sheetName val="ESTADO SOLICITUDES"/>
      <sheetName val="Registro Control Tiempos"/>
      <sheetName val="Resumen Estadisticas"/>
      <sheetName val="Resumen estadístico"/>
      <sheetName val="Grafico LA Nueva"/>
      <sheetName val="Grafico LA Modificacion"/>
      <sheetName val="Grafico LA Nueva 2820"/>
      <sheetName val="Tiempos Año Anteriror"/>
      <sheetName val="Grafico LA Modificacion 2820"/>
      <sheetName val="Decreto aplicable"/>
      <sheetName val="Proyectos PINES"/>
      <sheetName val="Bd Resoluciones"/>
      <sheetName val="Tiempos Años anteriores"/>
      <sheetName val="Informes de gestión"/>
    </sheetNames>
    <sheetDataSet>
      <sheetData sheetId="0"/>
      <sheetData sheetId="1"/>
      <sheetData sheetId="2"/>
      <sheetData sheetId="3"/>
      <sheetData sheetId="4"/>
      <sheetData sheetId="5"/>
      <sheetData sheetId="6"/>
      <sheetData sheetId="7"/>
      <sheetData sheetId="8">
        <row r="11">
          <cell r="T11" t="str">
            <v>Resolución</v>
          </cell>
        </row>
        <row r="12">
          <cell r="T12" t="str">
            <v>Auto</v>
          </cell>
        </row>
        <row r="13">
          <cell r="T13" t="str">
            <v>Oficio</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persons/person.xml><?xml version="1.0" encoding="utf-8"?>
<personList xmlns="http://schemas.microsoft.com/office/spreadsheetml/2018/threadedcomments" xmlns:x="http://schemas.openxmlformats.org/spreadsheetml/2006/main">
  <person displayName="Monica Johanna Ramirez Rodriguez (ANLA)" id="{47C6E44A-BF24-43B6-9AD0-9D04E9889FA8}" userId="S::mjramirez@anla.gov.co::1fcafba0-9811-43cc-9fdd-2a5b00c7f0e0"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N36" dT="2019-08-12T17:47:36.45" personId="{47C6E44A-BF24-43B6-9AD0-9D04E9889FA8}" id="{20450727-DBE8-4A9F-BEAF-90945065B515}">
    <text>Porcentaje de participación de casos de soporte técnico SILA de julio de 2018  menos el porcentaje de participación de casos de soporte técnico SILA de julio de  2019.</text>
  </threadedComment>
  <threadedComment ref="CO36" dT="2019-08-12T17:47:51.06" personId="{47C6E44A-BF24-43B6-9AD0-9D04E9889FA8}" id="{BCD9877A-BE72-447F-A87F-66E231FCECE5}">
    <text>Porcentaje de participación de casos de soporte técnico SILA  acumulado en 2019 sobre el porcentaje total de mesas de ayuda en el año 2019. (Reducción de 7 puntos con relación a la cifra 2018)</text>
  </threadedComment>
  <threadedComment ref="CP36" dT="2019-08-12T17:48:04.38" personId="{47C6E44A-BF24-43B6-9AD0-9D04E9889FA8}" id="{44438243-3207-48B8-A2C2-AF6A12EF4E8F}">
    <text>Porcentaje de participación de casos de soporte técnico SILA 2018 acumulado menos el porcentaje de participación de casos de soporte técnico SILA 2019 acumulado.</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210CF-7910-40CD-8EDC-E5AEA20D44CC}">
  <sheetPr>
    <tabColor theme="9" tint="-0.249977111117893"/>
    <pageSetUpPr fitToPage="1"/>
  </sheetPr>
  <dimension ref="A1:Z46"/>
  <sheetViews>
    <sheetView tabSelected="1" workbookViewId="0">
      <selection activeCell="AF35" sqref="AF35"/>
    </sheetView>
  </sheetViews>
  <sheetFormatPr baseColWidth="10" defaultRowHeight="15" x14ac:dyDescent="0.25"/>
  <cols>
    <col min="1" max="1" width="19.140625" style="1114" bestFit="1" customWidth="1"/>
    <col min="2" max="2" width="23.28515625" style="1114" bestFit="1" customWidth="1"/>
    <col min="3" max="3" width="12" style="1114" hidden="1" customWidth="1"/>
    <col min="4" max="4" width="11.42578125" style="1114" hidden="1" customWidth="1"/>
    <col min="5" max="5" width="17.5703125" style="1114" hidden="1" customWidth="1"/>
    <col min="6" max="6" width="11.42578125" style="1114" hidden="1" customWidth="1"/>
    <col min="7" max="7" width="18.28515625" style="1114" hidden="1" customWidth="1"/>
    <col min="8" max="14" width="11.42578125" style="1114" hidden="1" customWidth="1"/>
    <col min="15" max="20" width="11.42578125" style="1114" customWidth="1"/>
    <col min="21" max="26" width="11.42578125" style="1114" hidden="1" customWidth="1"/>
    <col min="27" max="28" width="0" style="1114" hidden="1" customWidth="1"/>
    <col min="29" max="16384" width="11.42578125" style="1114"/>
  </cols>
  <sheetData>
    <row r="1" spans="1:26" s="1097" customFormat="1" x14ac:dyDescent="0.25">
      <c r="A1" s="1091" t="s">
        <v>5</v>
      </c>
      <c r="B1" s="1091" t="s">
        <v>27</v>
      </c>
      <c r="C1" s="1092" t="s">
        <v>650</v>
      </c>
      <c r="D1" s="1093"/>
      <c r="E1" s="1092" t="s">
        <v>651</v>
      </c>
      <c r="F1" s="1093"/>
      <c r="G1" s="1092" t="s">
        <v>1092</v>
      </c>
      <c r="H1" s="1093"/>
      <c r="I1" s="1092" t="s">
        <v>652</v>
      </c>
      <c r="J1" s="1093"/>
      <c r="K1" s="1094" t="s">
        <v>653</v>
      </c>
      <c r="L1" s="1093"/>
      <c r="M1" s="1094" t="s">
        <v>654</v>
      </c>
      <c r="N1" s="1093"/>
      <c r="O1" s="1094" t="s">
        <v>655</v>
      </c>
      <c r="P1" s="1093"/>
      <c r="Q1" s="1094" t="s">
        <v>656</v>
      </c>
      <c r="R1" s="1093"/>
      <c r="S1" s="1094" t="s">
        <v>657</v>
      </c>
      <c r="T1" s="1093"/>
      <c r="U1" s="1095" t="s">
        <v>1316</v>
      </c>
      <c r="V1" s="1096"/>
      <c r="W1" s="1095" t="s">
        <v>1317</v>
      </c>
      <c r="X1" s="1096"/>
      <c r="Y1" s="1095" t="s">
        <v>1318</v>
      </c>
      <c r="Z1" s="1096"/>
    </row>
    <row r="2" spans="1:26" s="1106" customFormat="1" ht="30" x14ac:dyDescent="0.25">
      <c r="A2" s="1098"/>
      <c r="B2" s="1098"/>
      <c r="C2" s="1099" t="s">
        <v>1319</v>
      </c>
      <c r="D2" s="1100" t="s">
        <v>1320</v>
      </c>
      <c r="E2" s="1099" t="s">
        <v>1319</v>
      </c>
      <c r="F2" s="1100" t="s">
        <v>1320</v>
      </c>
      <c r="G2" s="1099" t="s">
        <v>1319</v>
      </c>
      <c r="H2" s="1100" t="s">
        <v>1320</v>
      </c>
      <c r="I2" s="1099" t="s">
        <v>1319</v>
      </c>
      <c r="J2" s="1100" t="s">
        <v>1320</v>
      </c>
      <c r="K2" s="1101" t="s">
        <v>1319</v>
      </c>
      <c r="L2" s="1100" t="s">
        <v>1320</v>
      </c>
      <c r="M2" s="1101" t="s">
        <v>1319</v>
      </c>
      <c r="N2" s="1100" t="s">
        <v>1320</v>
      </c>
      <c r="O2" s="1101" t="s">
        <v>1319</v>
      </c>
      <c r="P2" s="1100" t="s">
        <v>1320</v>
      </c>
      <c r="Q2" s="1102" t="s">
        <v>1319</v>
      </c>
      <c r="R2" s="1103" t="s">
        <v>1320</v>
      </c>
      <c r="S2" s="1102" t="s">
        <v>1319</v>
      </c>
      <c r="T2" s="1103" t="s">
        <v>1320</v>
      </c>
      <c r="U2" s="1104" t="s">
        <v>1319</v>
      </c>
      <c r="V2" s="1105" t="s">
        <v>1320</v>
      </c>
      <c r="W2" s="1104" t="s">
        <v>1319</v>
      </c>
      <c r="X2" s="1105" t="s">
        <v>1320</v>
      </c>
      <c r="Y2" s="1104" t="s">
        <v>1319</v>
      </c>
      <c r="Z2" s="1105" t="s">
        <v>1320</v>
      </c>
    </row>
    <row r="3" spans="1:26" x14ac:dyDescent="0.25">
      <c r="A3" s="1107" t="s">
        <v>297</v>
      </c>
      <c r="B3" s="1108"/>
      <c r="C3" s="1109">
        <v>0</v>
      </c>
      <c r="D3" s="1110">
        <v>7.0000000000000007E-2</v>
      </c>
      <c r="E3" s="1109">
        <v>0.08</v>
      </c>
      <c r="F3" s="1110">
        <v>0.15</v>
      </c>
      <c r="G3" s="1109">
        <v>0.27</v>
      </c>
      <c r="H3" s="1110">
        <v>0.31</v>
      </c>
      <c r="I3" s="1109">
        <v>0.34399999999999997</v>
      </c>
      <c r="J3" s="1110">
        <v>0.39800000000000002</v>
      </c>
      <c r="K3" s="1111">
        <v>0.371</v>
      </c>
      <c r="L3" s="1110">
        <v>0.42899999999999999</v>
      </c>
      <c r="M3" s="1111">
        <v>0.44700000000000001</v>
      </c>
      <c r="N3" s="1110">
        <v>0.47399999999999998</v>
      </c>
      <c r="O3" s="1111">
        <v>0.58899999999999997</v>
      </c>
      <c r="P3" s="1110">
        <v>0.62</v>
      </c>
      <c r="Q3" s="1111">
        <v>0.63400000000000001</v>
      </c>
      <c r="R3" s="1110">
        <v>0.65700000000000003</v>
      </c>
      <c r="S3" s="1111">
        <v>0.65700000000000003</v>
      </c>
      <c r="T3" s="1110">
        <v>0.69799999999999995</v>
      </c>
      <c r="U3" s="1112"/>
      <c r="V3" s="1113"/>
      <c r="W3" s="1112"/>
      <c r="X3" s="1113"/>
      <c r="Y3" s="1112"/>
      <c r="Z3" s="1113"/>
    </row>
    <row r="4" spans="1:26" x14ac:dyDescent="0.25">
      <c r="A4" s="1107" t="s">
        <v>1321</v>
      </c>
      <c r="B4" s="1108"/>
      <c r="C4" s="1109">
        <v>7.0999999999999994E-2</v>
      </c>
      <c r="D4" s="1110">
        <v>8.4000000000000005E-2</v>
      </c>
      <c r="E4" s="1109">
        <v>0.11700000000000001</v>
      </c>
      <c r="F4" s="1110">
        <v>0.17</v>
      </c>
      <c r="G4" s="1109">
        <v>0.25</v>
      </c>
      <c r="H4" s="1110">
        <v>0.26</v>
      </c>
      <c r="I4" s="1109">
        <v>0.35</v>
      </c>
      <c r="J4" s="1110">
        <v>0.55700000000000005</v>
      </c>
      <c r="K4" s="1111">
        <v>0.46300000000000002</v>
      </c>
      <c r="L4" s="1110">
        <v>0.71</v>
      </c>
      <c r="M4" s="1111">
        <v>0.60499999999999998</v>
      </c>
      <c r="N4" s="1110">
        <v>0.76266666666666671</v>
      </c>
      <c r="O4" s="1111">
        <v>0.55000000000000004</v>
      </c>
      <c r="P4" s="1110">
        <v>0.65</v>
      </c>
      <c r="Q4" s="1111">
        <v>0.63700000000000001</v>
      </c>
      <c r="R4" s="1110">
        <v>0.76100000000000001</v>
      </c>
      <c r="S4" s="1111">
        <v>0.8</v>
      </c>
      <c r="T4" s="1110">
        <v>0.92</v>
      </c>
      <c r="U4" s="1112"/>
      <c r="V4" s="1113"/>
      <c r="W4" s="1112"/>
      <c r="X4" s="1113"/>
      <c r="Y4" s="1112"/>
      <c r="Z4" s="1113"/>
    </row>
    <row r="5" spans="1:26" x14ac:dyDescent="0.25">
      <c r="A5" s="1115" t="s">
        <v>1202</v>
      </c>
      <c r="B5" s="1116"/>
      <c r="C5" s="1117">
        <v>5.6000000000000001E-2</v>
      </c>
      <c r="D5" s="1118">
        <v>8.4000000000000005E-2</v>
      </c>
      <c r="E5" s="1117">
        <v>0.13150000000000001</v>
      </c>
      <c r="F5" s="1118">
        <v>0.25541062801932363</v>
      </c>
      <c r="G5" s="1117">
        <v>0.19</v>
      </c>
      <c r="H5" s="1118">
        <v>0.42</v>
      </c>
      <c r="I5" s="1109">
        <v>0.2752</v>
      </c>
      <c r="J5" s="1110">
        <v>0.55156666666666665</v>
      </c>
      <c r="K5" s="1119">
        <v>0.38</v>
      </c>
      <c r="L5" s="1118">
        <v>0.65500000000000003</v>
      </c>
      <c r="M5" s="1119">
        <v>0.48</v>
      </c>
      <c r="N5" s="1118">
        <v>0.43028095238095238</v>
      </c>
      <c r="O5" s="1119">
        <v>0.55300000000000005</v>
      </c>
      <c r="P5" s="1118">
        <v>0.53500000000000003</v>
      </c>
      <c r="Q5" s="1119">
        <v>0.51400000000000001</v>
      </c>
      <c r="R5" s="1118">
        <v>0.70199999999999996</v>
      </c>
      <c r="S5" s="1119">
        <v>0.60799999999999998</v>
      </c>
      <c r="T5" s="1118">
        <v>0.77</v>
      </c>
      <c r="U5" s="1120"/>
      <c r="V5" s="1121"/>
      <c r="W5" s="1120"/>
      <c r="X5" s="1121"/>
      <c r="Y5" s="1120"/>
      <c r="Z5" s="1121"/>
    </row>
    <row r="6" spans="1:26" x14ac:dyDescent="0.25">
      <c r="A6" s="1115" t="s">
        <v>1322</v>
      </c>
      <c r="B6" s="1116"/>
      <c r="C6" s="1117">
        <v>0</v>
      </c>
      <c r="D6" s="1118">
        <v>0</v>
      </c>
      <c r="E6" s="1118">
        <v>0</v>
      </c>
      <c r="F6" s="1118">
        <v>0</v>
      </c>
      <c r="G6" s="1118">
        <v>0.23</v>
      </c>
      <c r="H6" s="1118">
        <v>0.25</v>
      </c>
      <c r="I6" s="1118">
        <v>0.23</v>
      </c>
      <c r="J6" s="1118">
        <v>0.25</v>
      </c>
      <c r="K6" s="1119">
        <v>0.33800000000000002</v>
      </c>
      <c r="L6" s="1118">
        <v>0.36</v>
      </c>
      <c r="M6" s="1119">
        <v>0.45</v>
      </c>
      <c r="N6" s="1118">
        <v>0.55400000000000005</v>
      </c>
      <c r="O6" s="1119">
        <v>0.48499999999999999</v>
      </c>
      <c r="P6" s="1118">
        <v>0.54400000000000004</v>
      </c>
      <c r="Q6" s="1119">
        <v>0.61499999999999999</v>
      </c>
      <c r="R6" s="1118">
        <v>0.755</v>
      </c>
      <c r="S6" s="1119">
        <v>0.9</v>
      </c>
      <c r="T6" s="1118">
        <v>0.8</v>
      </c>
      <c r="U6" s="1120"/>
      <c r="V6" s="1121"/>
      <c r="W6" s="1120"/>
      <c r="X6" s="1121"/>
      <c r="Y6" s="1120"/>
      <c r="Z6" s="1121"/>
    </row>
    <row r="7" spans="1:26" x14ac:dyDescent="0.25">
      <c r="A7" s="1122" t="s">
        <v>666</v>
      </c>
      <c r="B7" s="1123" t="s">
        <v>667</v>
      </c>
      <c r="C7" s="1124">
        <v>8.3000000000000004E-2</v>
      </c>
      <c r="D7" s="1121">
        <v>0.11</v>
      </c>
      <c r="E7" s="1124">
        <v>0.1666</v>
      </c>
      <c r="F7" s="1121">
        <v>0.22</v>
      </c>
      <c r="G7" s="1125">
        <v>0.25</v>
      </c>
      <c r="H7" s="1126">
        <v>0.26132825241545887</v>
      </c>
      <c r="I7" s="1120">
        <v>0.33200000000000002</v>
      </c>
      <c r="J7" s="1121">
        <v>0.44</v>
      </c>
      <c r="K7" s="1120">
        <v>0.41599999999999998</v>
      </c>
      <c r="L7" s="1121">
        <v>0.56000000000000005</v>
      </c>
      <c r="M7" s="1120">
        <v>0.5</v>
      </c>
      <c r="N7" s="1121">
        <v>0.67</v>
      </c>
      <c r="O7" s="1120">
        <v>0.58299999999999996</v>
      </c>
      <c r="P7" s="1121">
        <v>0.78</v>
      </c>
      <c r="Q7" s="1120">
        <v>0.66600000000000004</v>
      </c>
      <c r="R7" s="1121">
        <v>0.78</v>
      </c>
      <c r="S7" s="1120">
        <v>0.74</v>
      </c>
      <c r="T7" s="1121">
        <v>0.78</v>
      </c>
      <c r="U7" s="1120"/>
      <c r="V7" s="1121"/>
      <c r="W7" s="1120"/>
      <c r="X7" s="1121"/>
      <c r="Y7" s="1120"/>
      <c r="Z7" s="1121"/>
    </row>
    <row r="8" spans="1:26" x14ac:dyDescent="0.25">
      <c r="A8" s="1127"/>
      <c r="B8" s="1123" t="s">
        <v>700</v>
      </c>
      <c r="C8" s="1124">
        <v>3.85E-2</v>
      </c>
      <c r="D8" s="1128" t="s">
        <v>1277</v>
      </c>
      <c r="E8" s="1124">
        <v>0.10100000000000001</v>
      </c>
      <c r="F8" s="1128" t="s">
        <v>1277</v>
      </c>
      <c r="G8" s="1125">
        <v>0.20500000000000002</v>
      </c>
      <c r="H8" s="1128" t="s">
        <v>1277</v>
      </c>
      <c r="I8" s="1120">
        <v>0.27350000000000002</v>
      </c>
      <c r="J8" s="1128" t="s">
        <v>1277</v>
      </c>
      <c r="K8" s="1120">
        <v>0.39500000000000002</v>
      </c>
      <c r="L8" s="1128" t="s">
        <v>1277</v>
      </c>
      <c r="M8" s="1120">
        <v>0.43</v>
      </c>
      <c r="N8" s="1128" t="s">
        <v>1277</v>
      </c>
      <c r="O8" s="1120">
        <v>0.58299999999999996</v>
      </c>
      <c r="P8" s="1128" t="s">
        <v>1323</v>
      </c>
      <c r="Q8" s="1120">
        <v>0.66600000000000004</v>
      </c>
      <c r="R8" s="1126" t="s">
        <v>1277</v>
      </c>
      <c r="S8" s="1120">
        <v>0.73499999999999999</v>
      </c>
      <c r="T8" s="1126" t="s">
        <v>1277</v>
      </c>
      <c r="U8" s="1120"/>
      <c r="V8" s="1121"/>
      <c r="W8" s="1120"/>
      <c r="X8" s="1121"/>
      <c r="Y8" s="1120"/>
      <c r="Z8" s="1121"/>
    </row>
    <row r="9" spans="1:26" x14ac:dyDescent="0.25">
      <c r="A9" s="1127"/>
      <c r="B9" s="1123" t="s">
        <v>733</v>
      </c>
      <c r="C9" s="1124">
        <v>0.12013181572170901</v>
      </c>
      <c r="D9" s="1121">
        <v>0.15615212395720895</v>
      </c>
      <c r="E9" s="1124">
        <v>0.21354950471107156</v>
      </c>
      <c r="F9" s="1121">
        <v>0.23526660000000002</v>
      </c>
      <c r="G9" s="1125">
        <v>0.27949999999999997</v>
      </c>
      <c r="H9" s="1126">
        <v>0.31199900000000003</v>
      </c>
      <c r="I9" s="1120">
        <v>0.34400000000000003</v>
      </c>
      <c r="J9" s="1121">
        <v>0.40749863573765721</v>
      </c>
      <c r="K9" s="1120">
        <v>0.41925000000000001</v>
      </c>
      <c r="L9" s="1121">
        <v>0.46095125977575135</v>
      </c>
      <c r="M9" s="1120">
        <v>0.49024999999999996</v>
      </c>
      <c r="N9" s="1121">
        <v>0.52012552121180389</v>
      </c>
      <c r="O9" s="1120">
        <v>0.5781276830385258</v>
      </c>
      <c r="P9" s="1121">
        <v>0.59660552468691885</v>
      </c>
      <c r="Q9" s="1120">
        <v>0.67199999999999993</v>
      </c>
      <c r="R9" s="1121">
        <v>0.64600000000000002</v>
      </c>
      <c r="S9" s="1120">
        <v>0.753</v>
      </c>
      <c r="T9" s="1126">
        <v>0.68799999999999994</v>
      </c>
      <c r="U9" s="1120"/>
      <c r="V9" s="1121"/>
      <c r="W9" s="1120"/>
      <c r="X9" s="1121"/>
      <c r="Y9" s="1120"/>
      <c r="Z9" s="1121"/>
    </row>
    <row r="10" spans="1:26" x14ac:dyDescent="0.25">
      <c r="A10" s="1127"/>
      <c r="B10" s="1123" t="s">
        <v>860</v>
      </c>
      <c r="C10" s="1124">
        <v>6.6666666666666666E-2</v>
      </c>
      <c r="D10" s="1121">
        <v>0.2</v>
      </c>
      <c r="E10" s="1124">
        <v>0.129</v>
      </c>
      <c r="F10" s="1121">
        <v>0.16500000000000001</v>
      </c>
      <c r="G10" s="1125">
        <v>0.29299999999999998</v>
      </c>
      <c r="H10" s="1126">
        <v>0.33</v>
      </c>
      <c r="I10" s="1120">
        <v>0.45300000000000001</v>
      </c>
      <c r="J10" s="1121">
        <v>0.48749999999999999</v>
      </c>
      <c r="K10" s="1120">
        <v>0.59299999999999997</v>
      </c>
      <c r="L10" s="1121">
        <v>0.58750000000000002</v>
      </c>
      <c r="M10" s="1120">
        <v>0.81899999999999995</v>
      </c>
      <c r="N10" s="1121">
        <v>0.8125</v>
      </c>
      <c r="O10" s="1120">
        <v>0.45900000000000002</v>
      </c>
      <c r="P10" s="1121">
        <v>0.76249999999999996</v>
      </c>
      <c r="Q10" s="1129">
        <v>0.54</v>
      </c>
      <c r="R10" s="1121">
        <v>0.81499999999999995</v>
      </c>
      <c r="S10" s="1120">
        <v>0.57999999999999996</v>
      </c>
      <c r="T10" s="1126">
        <v>0.58333333333333337</v>
      </c>
      <c r="U10" s="1120"/>
      <c r="V10" s="1121"/>
      <c r="W10" s="1120"/>
      <c r="X10" s="1121"/>
      <c r="Y10" s="1120"/>
      <c r="Z10" s="1121"/>
    </row>
    <row r="11" spans="1:26" x14ac:dyDescent="0.25">
      <c r="A11" s="1127"/>
      <c r="B11" s="1123" t="s">
        <v>905</v>
      </c>
      <c r="C11" s="1124">
        <v>8.3000000000000004E-2</v>
      </c>
      <c r="D11" s="1121">
        <v>0.16600000000000001</v>
      </c>
      <c r="E11" s="1124">
        <v>0.15</v>
      </c>
      <c r="F11" s="1121">
        <v>0.16666</v>
      </c>
      <c r="G11" s="1125">
        <v>0.24299999999999999</v>
      </c>
      <c r="H11" s="1126">
        <v>0.25</v>
      </c>
      <c r="I11" s="1120">
        <v>0.33300000000000002</v>
      </c>
      <c r="J11" s="1121">
        <v>0.33300000000000002</v>
      </c>
      <c r="K11" s="1120">
        <v>0.41599999999999998</v>
      </c>
      <c r="L11" s="1121">
        <v>0.33</v>
      </c>
      <c r="M11" s="1120">
        <v>0.44</v>
      </c>
      <c r="N11" s="1121">
        <v>0.38</v>
      </c>
      <c r="O11" s="1120">
        <v>0.57999999999999996</v>
      </c>
      <c r="P11" s="1121">
        <v>0.38</v>
      </c>
      <c r="Q11" s="1120">
        <v>0.66600000000000004</v>
      </c>
      <c r="R11" s="1121">
        <v>0.64</v>
      </c>
      <c r="S11" s="1120">
        <v>0.73</v>
      </c>
      <c r="T11" s="1126">
        <v>0.93</v>
      </c>
      <c r="U11" s="1120"/>
      <c r="V11" s="1121"/>
      <c r="W11" s="1120"/>
      <c r="X11" s="1121"/>
      <c r="Y11" s="1120"/>
      <c r="Z11" s="1121"/>
    </row>
    <row r="12" spans="1:26" x14ac:dyDescent="0.25">
      <c r="A12" s="1127"/>
      <c r="B12" s="1123" t="s">
        <v>932</v>
      </c>
      <c r="C12" s="1124">
        <v>0.16700000000000001</v>
      </c>
      <c r="D12" s="1121">
        <v>7.6666666666666675E-2</v>
      </c>
      <c r="E12" s="1124">
        <v>0.33333333333333331</v>
      </c>
      <c r="F12" s="1121">
        <v>0.14213333333333333</v>
      </c>
      <c r="G12" s="1125">
        <v>0.33333333333333331</v>
      </c>
      <c r="H12" s="1126">
        <v>0.19000000000000003</v>
      </c>
      <c r="I12" s="1120">
        <v>0.33</v>
      </c>
      <c r="J12" s="1121">
        <v>0.36433333333333334</v>
      </c>
      <c r="K12" s="1120">
        <v>0.86</v>
      </c>
      <c r="L12" s="1121">
        <v>0.39512893910860009</v>
      </c>
      <c r="M12" s="1120">
        <v>0.93500000000000005</v>
      </c>
      <c r="N12" s="1121">
        <v>0.54569026365348394</v>
      </c>
      <c r="O12" s="1120">
        <v>0.93500000000000005</v>
      </c>
      <c r="P12" s="1121">
        <v>0.63125209667294413</v>
      </c>
      <c r="Q12" s="1120">
        <v>0.93500000000000005</v>
      </c>
      <c r="R12" s="1121">
        <v>0.65385096672944132</v>
      </c>
      <c r="S12" s="1120">
        <v>0.93500000000000005</v>
      </c>
      <c r="T12" s="1126">
        <v>0.70821380414312607</v>
      </c>
      <c r="U12" s="1120"/>
      <c r="V12" s="1121"/>
      <c r="W12" s="1120"/>
      <c r="X12" s="1121"/>
      <c r="Y12" s="1120"/>
      <c r="Z12" s="1121"/>
    </row>
    <row r="13" spans="1:26" x14ac:dyDescent="0.25">
      <c r="A13" s="1127"/>
      <c r="B13" s="1123" t="s">
        <v>1324</v>
      </c>
      <c r="C13" s="1124">
        <v>7.0803689497716898E-2</v>
      </c>
      <c r="D13" s="1121">
        <v>8.2500000000000004E-2</v>
      </c>
      <c r="E13" s="1124">
        <v>0.12633728235294117</v>
      </c>
      <c r="F13" s="1121">
        <v>8.3333333333333329E-2</v>
      </c>
      <c r="G13" s="1125">
        <v>0.23679268599033818</v>
      </c>
      <c r="H13" s="1126">
        <v>0.16750000000000001</v>
      </c>
      <c r="I13" s="1120">
        <v>0.30812205872193438</v>
      </c>
      <c r="J13" s="1121">
        <v>0.24437750000000003</v>
      </c>
      <c r="K13" s="1120">
        <v>0.4</v>
      </c>
      <c r="L13" s="1121">
        <v>0.27500000000000002</v>
      </c>
      <c r="M13" s="1120">
        <v>0.48946666666666666</v>
      </c>
      <c r="N13" s="1121">
        <v>0.32055</v>
      </c>
      <c r="O13" s="1120">
        <v>0.60899999999999999</v>
      </c>
      <c r="P13" s="1121">
        <v>0.49126984126984125</v>
      </c>
      <c r="Q13" s="1120">
        <v>0.62450000000000006</v>
      </c>
      <c r="R13" s="1121">
        <v>0.5675</v>
      </c>
      <c r="S13" s="1120">
        <v>0.6875</v>
      </c>
      <c r="T13" s="1126">
        <v>0.49399999999999999</v>
      </c>
      <c r="U13" s="1120"/>
      <c r="V13" s="1121"/>
      <c r="W13" s="1120"/>
      <c r="X13" s="1121"/>
      <c r="Y13" s="1120"/>
      <c r="Z13" s="1121"/>
    </row>
    <row r="14" spans="1:26" x14ac:dyDescent="0.25">
      <c r="A14" s="1127"/>
      <c r="B14" s="1130" t="s">
        <v>1078</v>
      </c>
      <c r="C14" s="1131">
        <v>7.6000000000000012E-2</v>
      </c>
      <c r="D14" s="1128" t="s">
        <v>1277</v>
      </c>
      <c r="E14" s="1131">
        <v>0.15383330000000001</v>
      </c>
      <c r="F14" s="1128" t="s">
        <v>1277</v>
      </c>
      <c r="G14" s="1132">
        <v>0.25</v>
      </c>
      <c r="H14" s="1128" t="s">
        <v>1277</v>
      </c>
      <c r="I14" s="1133">
        <v>0.33300000000000002</v>
      </c>
      <c r="J14" s="1128" t="s">
        <v>1277</v>
      </c>
      <c r="K14" s="1133">
        <v>0.41599999999999998</v>
      </c>
      <c r="L14" s="1128" t="s">
        <v>1277</v>
      </c>
      <c r="M14" s="1133">
        <v>0.5</v>
      </c>
      <c r="N14" s="1128" t="s">
        <v>1277</v>
      </c>
      <c r="O14" s="1133">
        <v>0.58299999999999996</v>
      </c>
      <c r="P14" s="1128" t="s">
        <v>1277</v>
      </c>
      <c r="Q14" s="1133">
        <v>0.66600000000000004</v>
      </c>
      <c r="R14" s="1128" t="s">
        <v>1277</v>
      </c>
      <c r="S14" s="1133">
        <v>0.75</v>
      </c>
      <c r="T14" s="1126" t="s">
        <v>1277</v>
      </c>
      <c r="U14" s="1133"/>
      <c r="V14" s="1134"/>
      <c r="W14" s="1133"/>
      <c r="X14" s="1134"/>
      <c r="Y14" s="1133"/>
      <c r="Z14" s="1134"/>
    </row>
    <row r="15" spans="1:26" s="1097" customFormat="1" x14ac:dyDescent="0.25">
      <c r="A15" s="1135"/>
      <c r="B15" s="1136" t="s">
        <v>1325</v>
      </c>
      <c r="C15" s="1137">
        <f t="shared" ref="C15:O15" si="0">+AVERAGE(C7:C14)</f>
        <v>8.8137771485761573E-2</v>
      </c>
      <c r="D15" s="1137">
        <f t="shared" si="0"/>
        <v>0.13188646510397928</v>
      </c>
      <c r="E15" s="1137">
        <f t="shared" si="0"/>
        <v>0.17170667754966826</v>
      </c>
      <c r="F15" s="1137">
        <f t="shared" si="0"/>
        <v>0.16873221111111111</v>
      </c>
      <c r="G15" s="1137">
        <f t="shared" si="0"/>
        <v>0.26132825241545887</v>
      </c>
      <c r="H15" s="1137">
        <f t="shared" si="0"/>
        <v>0.25180454206924313</v>
      </c>
      <c r="I15" s="1137">
        <f t="shared" si="0"/>
        <v>0.33832775734024184</v>
      </c>
      <c r="J15" s="1137">
        <f>+AVERAGE(J7:J14)</f>
        <v>0.37945157817849845</v>
      </c>
      <c r="K15" s="1137">
        <f t="shared" si="0"/>
        <v>0.48940624999999993</v>
      </c>
      <c r="L15" s="1137">
        <f>+AVERAGE(L7:L14)</f>
        <v>0.43476336648072517</v>
      </c>
      <c r="M15" s="1137">
        <f t="shared" si="0"/>
        <v>0.57546458333333328</v>
      </c>
      <c r="N15" s="1137">
        <f>+AVERAGE(N7:N14)</f>
        <v>0.54147763081088129</v>
      </c>
      <c r="O15" s="1137">
        <f t="shared" si="0"/>
        <v>0.61376596037981579</v>
      </c>
      <c r="P15" s="1137">
        <f>+AVERAGE(P7:P14)</f>
        <v>0.60693791043828405</v>
      </c>
      <c r="Q15" s="1137">
        <f>+AVERAGE(Q7:Q14)</f>
        <v>0.67943750000000003</v>
      </c>
      <c r="R15" s="1137">
        <f>+AVERAGE(R7:R14)</f>
        <v>0.68372516112157367</v>
      </c>
      <c r="S15" s="1137">
        <f>+AVERAGE(S7:S14)</f>
        <v>0.73881250000000009</v>
      </c>
      <c r="T15" s="1137">
        <f>+AVERAGE(T7:T14)</f>
        <v>0.69725785624607661</v>
      </c>
      <c r="U15" s="1138"/>
      <c r="V15" s="1139"/>
      <c r="W15" s="1138"/>
      <c r="X15" s="1139"/>
      <c r="Y15" s="1138"/>
      <c r="Z15" s="1139"/>
    </row>
    <row r="16" spans="1:26" x14ac:dyDescent="0.25">
      <c r="A16" s="1122" t="s">
        <v>1326</v>
      </c>
      <c r="B16" s="1140" t="s">
        <v>113</v>
      </c>
      <c r="C16" s="1141">
        <f>+'[13]Plan de Acción SES'!AD8</f>
        <v>0</v>
      </c>
      <c r="D16" s="1128" t="s">
        <v>1277</v>
      </c>
      <c r="E16" s="1141">
        <f>+'[14]Homologado tiempo transcurrido'!$AD$8</f>
        <v>4.1666666666666664E-2</v>
      </c>
      <c r="F16" s="1128" t="s">
        <v>1277</v>
      </c>
      <c r="G16" s="1141">
        <v>0.09</v>
      </c>
      <c r="H16" s="1128" t="s">
        <v>1277</v>
      </c>
      <c r="I16" s="1112">
        <v>0.20200000000000001</v>
      </c>
      <c r="J16" s="1128" t="s">
        <v>1277</v>
      </c>
      <c r="K16" s="1112">
        <v>0.30399999999999999</v>
      </c>
      <c r="L16" s="1128" t="s">
        <v>1277</v>
      </c>
      <c r="M16" s="1112">
        <v>0.38300000000000001</v>
      </c>
      <c r="N16" s="1142" t="s">
        <v>1277</v>
      </c>
      <c r="O16" s="1112">
        <v>0.51</v>
      </c>
      <c r="P16" s="1142" t="s">
        <v>1277</v>
      </c>
      <c r="Q16" s="1112">
        <v>0.58299999999999996</v>
      </c>
      <c r="R16" s="1142" t="s">
        <v>1277</v>
      </c>
      <c r="S16" s="1112">
        <v>0.68600000000000005</v>
      </c>
      <c r="T16" s="1142" t="s">
        <v>1277</v>
      </c>
      <c r="U16" s="1112"/>
      <c r="V16" s="1113"/>
      <c r="W16" s="1112"/>
      <c r="X16" s="1113"/>
      <c r="Y16" s="1112"/>
      <c r="Z16" s="1113"/>
    </row>
    <row r="17" spans="1:26" x14ac:dyDescent="0.25">
      <c r="A17" s="1127"/>
      <c r="B17" s="1130" t="s">
        <v>1326</v>
      </c>
      <c r="C17" s="1131">
        <f>+'[13]Plan de Acción SES'!AD15</f>
        <v>3.3436274671746292E-2</v>
      </c>
      <c r="D17" s="1134">
        <f>+'[13]Plan de Acción SES'!AH15</f>
        <v>1.0411965038872539E-2</v>
      </c>
      <c r="E17" s="1131">
        <f>+'[14]Homologado tiempo transcurrido'!$AD$15</f>
        <v>8.2688495993975916E-2</v>
      </c>
      <c r="F17" s="1134">
        <f>+'[14]Homologado tiempo transcurrido'!$AH$15</f>
        <v>6.9597988399550975E-2</v>
      </c>
      <c r="G17" s="1131">
        <v>0.161</v>
      </c>
      <c r="H17" s="1134">
        <v>0.152</v>
      </c>
      <c r="I17" s="1133">
        <v>0.23599999999999999</v>
      </c>
      <c r="J17" s="1134">
        <v>0.23499999999999999</v>
      </c>
      <c r="K17" s="1133">
        <v>0.34</v>
      </c>
      <c r="L17" s="1134">
        <v>0.3121820639747509</v>
      </c>
      <c r="M17" s="1133">
        <v>0.39600000000000002</v>
      </c>
      <c r="N17" s="1128">
        <v>0.38600000000000001</v>
      </c>
      <c r="O17" s="1133">
        <v>0.47629024094110334</v>
      </c>
      <c r="P17" s="1128">
        <v>0.45611927597963209</v>
      </c>
      <c r="Q17" s="1133">
        <v>0.47099999999999997</v>
      </c>
      <c r="R17" s="1134">
        <v>0.55100000000000005</v>
      </c>
      <c r="S17" s="1133">
        <v>0.70599999999999996</v>
      </c>
      <c r="T17" s="1134">
        <v>0.65</v>
      </c>
      <c r="U17" s="1133"/>
      <c r="V17" s="1134"/>
      <c r="W17" s="1133"/>
      <c r="X17" s="1134"/>
      <c r="Y17" s="1133"/>
      <c r="Z17" s="1134"/>
    </row>
    <row r="18" spans="1:26" x14ac:dyDescent="0.25">
      <c r="A18" s="1127"/>
      <c r="B18" s="1130" t="s">
        <v>67</v>
      </c>
      <c r="C18" s="1131">
        <f>+'[13]Plan de Acción SES'!AD23</f>
        <v>3.0701754385964911E-2</v>
      </c>
      <c r="D18" s="1134">
        <f>+'[13]Plan de Acción SES'!AH23</f>
        <v>5.3571428571428581E-3</v>
      </c>
      <c r="E18" s="1131">
        <f>+'[14]Homologado tiempo transcurrido'!$AD$23</f>
        <v>3.2391470698021653E-2</v>
      </c>
      <c r="F18" s="1134">
        <f>+'[15]Homologado tiempo transcurrido'!$AH$23</f>
        <v>3.297754425153146E-2</v>
      </c>
      <c r="G18" s="1131">
        <v>5.7000000000000002E-2</v>
      </c>
      <c r="H18" s="1134">
        <v>0.152</v>
      </c>
      <c r="I18" s="1133">
        <v>8.5000000000000006E-2</v>
      </c>
      <c r="J18" s="1134">
        <v>0.20799999999999999</v>
      </c>
      <c r="K18" s="1133">
        <v>0.122</v>
      </c>
      <c r="L18" s="1134">
        <v>0.29084943197842988</v>
      </c>
      <c r="M18" s="1133">
        <v>0.17299999999999999</v>
      </c>
      <c r="N18" s="1128">
        <v>0.34799999999999998</v>
      </c>
      <c r="O18" s="1133">
        <v>0.20885041837750407</v>
      </c>
      <c r="P18" s="1128">
        <v>0.41538001374168754</v>
      </c>
      <c r="Q18" s="1133">
        <v>0.39900000000000002</v>
      </c>
      <c r="R18" s="1134">
        <v>0.52600000000000002</v>
      </c>
      <c r="S18" s="1133">
        <v>0.503</v>
      </c>
      <c r="T18" s="1134">
        <v>0.629</v>
      </c>
      <c r="U18" s="1133"/>
      <c r="V18" s="1134"/>
      <c r="W18" s="1133"/>
      <c r="X18" s="1134"/>
      <c r="Y18" s="1133"/>
      <c r="Z18" s="1134"/>
    </row>
    <row r="19" spans="1:26" x14ac:dyDescent="0.25">
      <c r="A19" s="1127"/>
      <c r="B19" s="1130" t="s">
        <v>77</v>
      </c>
      <c r="C19" s="1131">
        <f>+'[13]Plan de Acción SES'!AD31</f>
        <v>2.9239766081871343E-2</v>
      </c>
      <c r="D19" s="1134">
        <f>+'[13]Plan de Acción SES'!AH31</f>
        <v>2.0035803795202291E-2</v>
      </c>
      <c r="E19" s="1131">
        <f>+'[14]Homologado tiempo transcurrido'!$AD$31</f>
        <v>6.0541563483033266E-2</v>
      </c>
      <c r="F19" s="1134">
        <f>+'[14]Homologado tiempo transcurrido'!$AH$31</f>
        <v>5.9581328410761296E-2</v>
      </c>
      <c r="G19" s="1131">
        <v>8.5000000000000006E-2</v>
      </c>
      <c r="H19" s="1134">
        <v>0.126</v>
      </c>
      <c r="I19" s="1133">
        <v>0.11899999999999999</v>
      </c>
      <c r="J19" s="1134">
        <v>0.191</v>
      </c>
      <c r="K19" s="1133">
        <v>0.156</v>
      </c>
      <c r="L19" s="1134">
        <v>0.2493985399855084</v>
      </c>
      <c r="M19" s="1133">
        <v>0.20300000000000001</v>
      </c>
      <c r="N19" s="1128">
        <v>0.30099999999999999</v>
      </c>
      <c r="O19" s="1133">
        <v>0.23534038328536691</v>
      </c>
      <c r="P19" s="1128">
        <v>0.31210625693118982</v>
      </c>
      <c r="Q19" s="1133">
        <v>0.438</v>
      </c>
      <c r="R19" s="1134">
        <v>0.39800000000000002</v>
      </c>
      <c r="S19" s="1133">
        <v>0.54700000000000004</v>
      </c>
      <c r="T19" s="1134">
        <v>0.48399999999999999</v>
      </c>
      <c r="U19" s="1133"/>
      <c r="V19" s="1134"/>
      <c r="W19" s="1133"/>
      <c r="X19" s="1134"/>
      <c r="Y19" s="1133"/>
      <c r="Z19" s="1134"/>
    </row>
    <row r="20" spans="1:26" x14ac:dyDescent="0.25">
      <c r="A20" s="1127"/>
      <c r="B20" s="1130" t="s">
        <v>78</v>
      </c>
      <c r="C20" s="1131">
        <f>+'[13]Plan de Acción SES'!AD39</f>
        <v>1.4619883040935672E-2</v>
      </c>
      <c r="D20" s="1134">
        <f>+'[13]Plan de Acción SES'!AH39</f>
        <v>1.5507518796992482E-2</v>
      </c>
      <c r="E20" s="1131">
        <f>+'[14]Homologado tiempo transcurrido'!$AD$39</f>
        <v>4.9833333333333334E-2</v>
      </c>
      <c r="F20" s="1134">
        <f>+'[14]Homologado tiempo transcurrido'!$AH$39</f>
        <v>3.9365646258503403E-2</v>
      </c>
      <c r="G20" s="1131">
        <v>8.6999999999999994E-2</v>
      </c>
      <c r="H20" s="1134">
        <v>0.192</v>
      </c>
      <c r="I20" s="1133">
        <v>0.13400000000000001</v>
      </c>
      <c r="J20" s="1134">
        <v>0.39500000000000002</v>
      </c>
      <c r="K20" s="1133">
        <v>0.17</v>
      </c>
      <c r="L20" s="1134">
        <v>0.44547663802363052</v>
      </c>
      <c r="M20" s="1133">
        <v>0.20899999999999999</v>
      </c>
      <c r="N20" s="1128">
        <v>0.30499999999999999</v>
      </c>
      <c r="O20" s="1133">
        <v>0.25528252923976613</v>
      </c>
      <c r="P20" s="1128">
        <v>0.30894604368063022</v>
      </c>
      <c r="Q20" s="1133">
        <v>0.54700000000000004</v>
      </c>
      <c r="R20" s="1134">
        <v>0.441</v>
      </c>
      <c r="S20" s="1133">
        <v>0.63</v>
      </c>
      <c r="T20" s="1134">
        <v>0.53</v>
      </c>
      <c r="U20" s="1133"/>
      <c r="V20" s="1134"/>
      <c r="W20" s="1133"/>
      <c r="X20" s="1134"/>
      <c r="Y20" s="1133"/>
      <c r="Z20" s="1134"/>
    </row>
    <row r="21" spans="1:26" x14ac:dyDescent="0.25">
      <c r="A21" s="1127"/>
      <c r="B21" s="1130" t="s">
        <v>79</v>
      </c>
      <c r="C21" s="1131">
        <f>+'[13]Plan de Acción SES'!AD47</f>
        <v>0</v>
      </c>
      <c r="D21" s="1134">
        <f>+'[13]Plan de Acción SES'!AH47</f>
        <v>4.1666666666666664E-2</v>
      </c>
      <c r="E21" s="1131">
        <f>+'[14]Homologado tiempo transcurrido'!$AD$47</f>
        <v>0</v>
      </c>
      <c r="F21" s="1134">
        <f>+'[15]Homologado tiempo transcurrido'!$AH$47</f>
        <v>6.8027210884353734E-2</v>
      </c>
      <c r="G21" s="1131">
        <v>3.1E-2</v>
      </c>
      <c r="H21" s="1134">
        <v>0.16</v>
      </c>
      <c r="I21" s="1133">
        <v>0.188</v>
      </c>
      <c r="J21" s="1134">
        <v>0.34499999999999997</v>
      </c>
      <c r="K21" s="1133">
        <v>0.31900000000000001</v>
      </c>
      <c r="L21" s="1134">
        <v>0.42399999999999999</v>
      </c>
      <c r="M21" s="1133">
        <v>0.43099999999999999</v>
      </c>
      <c r="N21" s="1128">
        <v>0.47399999999999998</v>
      </c>
      <c r="O21" s="1133">
        <v>0.51018750000000002</v>
      </c>
      <c r="P21" s="1128">
        <v>0.52233403361344533</v>
      </c>
      <c r="Q21" s="1133">
        <v>0.63100000000000001</v>
      </c>
      <c r="R21" s="1134">
        <v>0.63800000000000001</v>
      </c>
      <c r="S21" s="1133">
        <v>0.73599999999999999</v>
      </c>
      <c r="T21" s="1134">
        <v>0.74399999999999999</v>
      </c>
      <c r="U21" s="1133"/>
      <c r="V21" s="1134"/>
      <c r="W21" s="1133"/>
      <c r="X21" s="1134"/>
      <c r="Y21" s="1133"/>
      <c r="Z21" s="1134"/>
    </row>
    <row r="22" spans="1:26" x14ac:dyDescent="0.25">
      <c r="A22" s="1127"/>
      <c r="B22" s="1130" t="s">
        <v>80</v>
      </c>
      <c r="C22" s="1131">
        <f>+'[13]Plan de Acción SES'!AD55</f>
        <v>2.9239766081871343E-2</v>
      </c>
      <c r="D22" s="1134">
        <f>+'[13]Plan de Acción SES'!AH55</f>
        <v>1.60484544695071E-2</v>
      </c>
      <c r="E22" s="1131">
        <f>+'[14]Homologado tiempo transcurrido'!$AD$55</f>
        <v>5.1538834420423625E-2</v>
      </c>
      <c r="F22" s="1134">
        <f>+'[14]Homologado tiempo transcurrido'!$AH$55</f>
        <v>5.6489918859109908E-2</v>
      </c>
      <c r="G22" s="1131">
        <v>0.115</v>
      </c>
      <c r="H22" s="1134">
        <v>0.16800000000000001</v>
      </c>
      <c r="I22" s="1133">
        <v>0.17399999999999999</v>
      </c>
      <c r="J22" s="1134">
        <v>0.253</v>
      </c>
      <c r="K22" s="1133">
        <v>0.26900000000000002</v>
      </c>
      <c r="L22" s="1134">
        <v>0.33800000000000002</v>
      </c>
      <c r="M22" s="1133">
        <v>0.33400000000000002</v>
      </c>
      <c r="N22" s="1128">
        <v>0.41</v>
      </c>
      <c r="O22" s="1133">
        <v>0.41182365754604749</v>
      </c>
      <c r="P22" s="1128">
        <v>0.50703827697658421</v>
      </c>
      <c r="Q22" s="1133">
        <v>0.71</v>
      </c>
      <c r="R22" s="1134">
        <v>0.57799999999999996</v>
      </c>
      <c r="S22" s="1133">
        <v>0.78700000000000003</v>
      </c>
      <c r="T22" s="1134">
        <v>0.66400000000000003</v>
      </c>
      <c r="U22" s="1133"/>
      <c r="V22" s="1134"/>
      <c r="W22" s="1133"/>
      <c r="X22" s="1134"/>
      <c r="Y22" s="1133"/>
      <c r="Z22" s="1134"/>
    </row>
    <row r="23" spans="1:26" x14ac:dyDescent="0.25">
      <c r="A23" s="1127"/>
      <c r="B23" s="1130" t="s">
        <v>93</v>
      </c>
      <c r="C23" s="1131">
        <f>+'[13]Plan de Acción SES'!AD62</f>
        <v>1.443859649122807E-2</v>
      </c>
      <c r="D23" s="1128" t="s">
        <v>1277</v>
      </c>
      <c r="E23" s="1131">
        <f>+'[14]Homologado tiempo transcurrido'!$AD$62</f>
        <v>2.9823573301068763E-2</v>
      </c>
      <c r="F23" s="1128" t="s">
        <v>1277</v>
      </c>
      <c r="G23" s="1131">
        <v>5.8000000000000003E-2</v>
      </c>
      <c r="H23" s="1128" t="s">
        <v>1277</v>
      </c>
      <c r="I23" s="1133">
        <v>7.8E-2</v>
      </c>
      <c r="J23" s="1128" t="s">
        <v>1277</v>
      </c>
      <c r="K23" s="1133">
        <v>0.09</v>
      </c>
      <c r="L23" s="1128" t="s">
        <v>1277</v>
      </c>
      <c r="M23" s="1133">
        <v>0.161</v>
      </c>
      <c r="N23" s="1128" t="s">
        <v>1277</v>
      </c>
      <c r="O23" s="1133">
        <v>0.20684026502194347</v>
      </c>
      <c r="P23" s="1128" t="s">
        <v>1277</v>
      </c>
      <c r="Q23" s="1133">
        <v>0.379</v>
      </c>
      <c r="R23" s="1126" t="s">
        <v>1277</v>
      </c>
      <c r="S23" s="1133">
        <v>0.442</v>
      </c>
      <c r="T23" s="1126" t="s">
        <v>1277</v>
      </c>
      <c r="U23" s="1133"/>
      <c r="V23" s="1134"/>
      <c r="W23" s="1133"/>
      <c r="X23" s="1134"/>
      <c r="Y23" s="1133"/>
      <c r="Z23" s="1134"/>
    </row>
    <row r="24" spans="1:26" x14ac:dyDescent="0.25">
      <c r="A24" s="1127"/>
      <c r="B24" s="1130" t="s">
        <v>94</v>
      </c>
      <c r="C24" s="1131">
        <f>+'[13]Plan de Acción SES'!AD64</f>
        <v>0</v>
      </c>
      <c r="D24" s="1128" t="s">
        <v>1277</v>
      </c>
      <c r="E24" s="1131">
        <f>+'[14]Homologado tiempo transcurrido'!$AD$64</f>
        <v>0.16600000000000001</v>
      </c>
      <c r="F24" s="1128" t="s">
        <v>1277</v>
      </c>
      <c r="G24" s="1131">
        <v>0.151</v>
      </c>
      <c r="H24" s="1128" t="s">
        <v>1277</v>
      </c>
      <c r="I24" s="1133">
        <v>0.19600000000000001</v>
      </c>
      <c r="J24" s="1128" t="s">
        <v>1277</v>
      </c>
      <c r="K24" s="1133">
        <v>0.32</v>
      </c>
      <c r="L24" s="1128" t="s">
        <v>1277</v>
      </c>
      <c r="M24" s="1133">
        <v>0.41299999999999998</v>
      </c>
      <c r="N24" s="1128" t="s">
        <v>1277</v>
      </c>
      <c r="O24" s="1133">
        <v>0.54955412371134027</v>
      </c>
      <c r="P24" s="1128" t="s">
        <v>1277</v>
      </c>
      <c r="Q24" s="1133">
        <v>0.68</v>
      </c>
      <c r="R24" s="1142" t="s">
        <v>1277</v>
      </c>
      <c r="S24" s="1133">
        <v>0.75900000000000001</v>
      </c>
      <c r="T24" s="1142" t="s">
        <v>1277</v>
      </c>
      <c r="U24" s="1133"/>
      <c r="V24" s="1134"/>
      <c r="W24" s="1133"/>
      <c r="X24" s="1134"/>
      <c r="Y24" s="1133"/>
      <c r="Z24" s="1134"/>
    </row>
    <row r="25" spans="1:26" x14ac:dyDescent="0.25">
      <c r="A25" s="1127"/>
      <c r="B25" s="1130" t="s">
        <v>97</v>
      </c>
      <c r="C25" s="1131">
        <f>+'[13]Plan de Acción SES'!AD67</f>
        <v>0</v>
      </c>
      <c r="D25" s="1134">
        <f>+'[13]Plan de Acción SES'!AH67</f>
        <v>0</v>
      </c>
      <c r="E25" s="1131">
        <f>+'[14]Homologado tiempo transcurrido'!$AD$67</f>
        <v>0</v>
      </c>
      <c r="F25" s="1134">
        <f>+'[15]Homologado tiempo transcurrido'!$AH$67</f>
        <v>0</v>
      </c>
      <c r="G25" s="1131">
        <v>0</v>
      </c>
      <c r="H25" s="1134">
        <v>0.22700000000000001</v>
      </c>
      <c r="I25" s="1133">
        <v>0.12</v>
      </c>
      <c r="J25" s="1134">
        <v>0.30499999999999999</v>
      </c>
      <c r="K25" s="1133">
        <v>0.11799999999999999</v>
      </c>
      <c r="L25" s="1134">
        <v>0.41499999999999998</v>
      </c>
      <c r="M25" s="1133">
        <v>0.11799999999999999</v>
      </c>
      <c r="N25" s="1134">
        <v>0.498</v>
      </c>
      <c r="O25" s="1133">
        <v>0.11764705882352941</v>
      </c>
      <c r="P25" s="1134">
        <v>0.58100000000000007</v>
      </c>
      <c r="Q25" s="1133">
        <v>0.29399999999999998</v>
      </c>
      <c r="R25" s="1134">
        <v>0.66400000000000003</v>
      </c>
      <c r="S25" s="1133">
        <v>0.29399999999999998</v>
      </c>
      <c r="T25" s="1134">
        <v>0.747</v>
      </c>
      <c r="U25" s="1133"/>
      <c r="V25" s="1134"/>
      <c r="W25" s="1133"/>
      <c r="X25" s="1134"/>
      <c r="Y25" s="1133"/>
      <c r="Z25" s="1134"/>
    </row>
    <row r="26" spans="1:26" s="1097" customFormat="1" x14ac:dyDescent="0.25">
      <c r="A26" s="1135"/>
      <c r="B26" s="1136" t="s">
        <v>1327</v>
      </c>
      <c r="C26" s="1137">
        <f>+AVERAGE(C16:C25)</f>
        <v>1.5167604075361763E-2</v>
      </c>
      <c r="D26" s="1137">
        <f>+AVERAGE(D17:D22,D25)</f>
        <v>1.5575364517769136E-2</v>
      </c>
      <c r="E26" s="1137">
        <f>+AVERAGE(E16:E25)</f>
        <v>5.1448393789652325E-2</v>
      </c>
      <c r="F26" s="1137">
        <f>+AVERAGE(F17:F22,F25)</f>
        <v>4.6577091009115827E-2</v>
      </c>
      <c r="G26" s="1137">
        <f>+AVERAGE(G16:G25)</f>
        <v>8.3500000000000005E-2</v>
      </c>
      <c r="H26" s="1137">
        <f>+AVERAGE(H17:H22,H25)</f>
        <v>0.16814285714285715</v>
      </c>
      <c r="I26" s="1137">
        <f>+AVERAGE(I16:I25)</f>
        <v>0.1532</v>
      </c>
      <c r="J26" s="1137">
        <f>+AVERAGE(J17:J22,J25)</f>
        <v>0.27599999999999997</v>
      </c>
      <c r="K26" s="1137">
        <f>+AVERAGE(K16:K25)</f>
        <v>0.22080000000000002</v>
      </c>
      <c r="L26" s="1137">
        <f>+AVERAGE(L17:L22,L25)</f>
        <v>0.35355809628033136</v>
      </c>
      <c r="M26" s="1137">
        <f>+AVERAGE(M16:M25)</f>
        <v>0.28209999999999996</v>
      </c>
      <c r="N26" s="1137">
        <f>+AVERAGE(N17:N22,N25)</f>
        <v>0.38885714285714279</v>
      </c>
      <c r="O26" s="1137">
        <f>+AVERAGE(O16:O25)</f>
        <v>0.34818161769466016</v>
      </c>
      <c r="P26" s="1137">
        <f>+AVERAGE(P17:P22,P25)</f>
        <v>0.44327484298902414</v>
      </c>
      <c r="Q26" s="1137">
        <f>+AVERAGE(Q16:Q25)</f>
        <v>0.51319999999999988</v>
      </c>
      <c r="R26" s="1137">
        <f>+AVERAGE(R17:R22,R25)</f>
        <v>0.54228571428571437</v>
      </c>
      <c r="S26" s="1137">
        <f>+AVERAGE(S16:S25)</f>
        <v>0.60899999999999999</v>
      </c>
      <c r="T26" s="1137">
        <f>+AVERAGE(T17:T22,T25)</f>
        <v>0.63542857142857145</v>
      </c>
      <c r="U26" s="1138"/>
      <c r="V26" s="1139"/>
      <c r="W26" s="1138"/>
      <c r="X26" s="1139"/>
      <c r="Y26" s="1138"/>
      <c r="Z26" s="1139"/>
    </row>
    <row r="27" spans="1:26" x14ac:dyDescent="0.25">
      <c r="A27" s="1122" t="s">
        <v>432</v>
      </c>
      <c r="B27" s="1143" t="s">
        <v>433</v>
      </c>
      <c r="C27" s="1144">
        <v>0.01</v>
      </c>
      <c r="D27" s="1145">
        <v>0.02</v>
      </c>
      <c r="E27" s="1144">
        <v>1.4999999999999999E-2</v>
      </c>
      <c r="F27" s="1145">
        <v>1.4E-2</v>
      </c>
      <c r="G27" s="1144">
        <v>0.17</v>
      </c>
      <c r="H27" s="1145">
        <v>0.16</v>
      </c>
      <c r="I27" s="1146">
        <v>0.24</v>
      </c>
      <c r="J27" s="1145">
        <v>0.22</v>
      </c>
      <c r="K27" s="1146">
        <v>0.31</v>
      </c>
      <c r="L27" s="1145">
        <v>0.41</v>
      </c>
      <c r="M27" s="1146">
        <v>0.56999999999999995</v>
      </c>
      <c r="N27" s="1145">
        <v>0.6</v>
      </c>
      <c r="O27" s="1146">
        <v>0.69599999999999995</v>
      </c>
      <c r="P27" s="1145">
        <v>0.86799999999999999</v>
      </c>
      <c r="Q27" s="1146">
        <v>0.72899999999999998</v>
      </c>
      <c r="R27" s="1145">
        <v>0.999</v>
      </c>
      <c r="S27" s="1146">
        <v>0.80300000000000005</v>
      </c>
      <c r="T27" s="1145">
        <v>1.083</v>
      </c>
      <c r="U27" s="1146"/>
      <c r="V27" s="1145"/>
      <c r="W27" s="1146"/>
      <c r="X27" s="1145"/>
      <c r="Y27" s="1146"/>
      <c r="Z27" s="1145"/>
    </row>
    <row r="28" spans="1:26" x14ac:dyDescent="0.25">
      <c r="A28" s="1127"/>
      <c r="B28" s="1130" t="s">
        <v>506</v>
      </c>
      <c r="C28" s="1131">
        <v>0</v>
      </c>
      <c r="D28" s="1134">
        <v>0</v>
      </c>
      <c r="E28" s="1131">
        <v>0</v>
      </c>
      <c r="F28" s="1134">
        <v>0</v>
      </c>
      <c r="G28" s="1131">
        <v>0.2</v>
      </c>
      <c r="H28" s="1134">
        <v>0.06</v>
      </c>
      <c r="I28" s="1133">
        <v>0.26</v>
      </c>
      <c r="J28" s="1134">
        <v>7.0000000000000007E-2</v>
      </c>
      <c r="K28" s="1133">
        <v>0.34</v>
      </c>
      <c r="L28" s="1134">
        <v>0.19</v>
      </c>
      <c r="M28" s="1133">
        <v>0.44</v>
      </c>
      <c r="N28" s="1134">
        <v>0.36</v>
      </c>
      <c r="O28" s="1133">
        <v>0.30399999999999999</v>
      </c>
      <c r="P28" s="1134">
        <v>0.375</v>
      </c>
      <c r="Q28" s="1133">
        <v>0.36</v>
      </c>
      <c r="R28" s="1134">
        <v>0.375</v>
      </c>
      <c r="S28" s="1133">
        <v>0.67</v>
      </c>
      <c r="T28" s="1134">
        <v>0.82299999999999995</v>
      </c>
      <c r="U28" s="1133"/>
      <c r="V28" s="1134"/>
      <c r="W28" s="1133"/>
      <c r="X28" s="1134"/>
      <c r="Y28" s="1133"/>
      <c r="Z28" s="1134"/>
    </row>
    <row r="29" spans="1:26" x14ac:dyDescent="0.25">
      <c r="A29" s="1127"/>
      <c r="B29" s="1130" t="s">
        <v>597</v>
      </c>
      <c r="C29" s="1131">
        <v>0</v>
      </c>
      <c r="D29" s="1134">
        <v>0</v>
      </c>
      <c r="E29" s="1131">
        <v>0</v>
      </c>
      <c r="F29" s="1134">
        <v>0</v>
      </c>
      <c r="G29" s="1131">
        <v>0</v>
      </c>
      <c r="H29" s="1134">
        <v>0.1</v>
      </c>
      <c r="I29" s="1133">
        <v>0.15</v>
      </c>
      <c r="J29" s="1134">
        <v>0.3</v>
      </c>
      <c r="K29" s="1133">
        <v>0.26</v>
      </c>
      <c r="L29" s="1134">
        <v>0.31</v>
      </c>
      <c r="M29" s="1133">
        <v>0.28000000000000003</v>
      </c>
      <c r="N29" s="1134">
        <v>0.44</v>
      </c>
      <c r="O29" s="1133">
        <v>0.255</v>
      </c>
      <c r="P29" s="1134">
        <v>0.442</v>
      </c>
      <c r="Q29" s="1133">
        <v>0.35799999999999998</v>
      </c>
      <c r="R29" s="1134">
        <v>0.4</v>
      </c>
      <c r="S29" s="1133">
        <v>0.44</v>
      </c>
      <c r="T29" s="1134">
        <v>0.64</v>
      </c>
      <c r="U29" s="1133"/>
      <c r="V29" s="1134"/>
      <c r="W29" s="1133"/>
      <c r="X29" s="1134"/>
      <c r="Y29" s="1133"/>
      <c r="Z29" s="1134"/>
    </row>
    <row r="30" spans="1:26" x14ac:dyDescent="0.25">
      <c r="A30" s="1127"/>
      <c r="B30" s="1130" t="s">
        <v>565</v>
      </c>
      <c r="C30" s="1131">
        <v>0.03</v>
      </c>
      <c r="D30" s="1128" t="s">
        <v>1328</v>
      </c>
      <c r="E30" s="1131">
        <v>0.13600000000000001</v>
      </c>
      <c r="F30" s="1128" t="s">
        <v>1277</v>
      </c>
      <c r="G30" s="1131">
        <v>0.17</v>
      </c>
      <c r="H30" s="1128" t="s">
        <v>1277</v>
      </c>
      <c r="I30" s="1133">
        <v>0.22</v>
      </c>
      <c r="J30" s="1128" t="s">
        <v>1277</v>
      </c>
      <c r="K30" s="1133">
        <v>0.32</v>
      </c>
      <c r="L30" s="1128" t="s">
        <v>1277</v>
      </c>
      <c r="M30" s="1133">
        <v>0.33</v>
      </c>
      <c r="N30" s="1128" t="s">
        <v>1277</v>
      </c>
      <c r="O30" s="1133">
        <v>0.67800000000000005</v>
      </c>
      <c r="P30" s="1128" t="s">
        <v>1277</v>
      </c>
      <c r="Q30" s="1133">
        <v>0.754</v>
      </c>
      <c r="R30" s="1128" t="s">
        <v>1277</v>
      </c>
      <c r="S30" s="1133">
        <v>0.81</v>
      </c>
      <c r="T30" s="1128" t="s">
        <v>1277</v>
      </c>
      <c r="U30" s="1133"/>
      <c r="V30" s="1134"/>
      <c r="W30" s="1133"/>
      <c r="X30" s="1134"/>
      <c r="Y30" s="1133"/>
      <c r="Z30" s="1134"/>
    </row>
    <row r="31" spans="1:26" s="1097" customFormat="1" x14ac:dyDescent="0.25">
      <c r="A31" s="1147"/>
      <c r="B31" s="1136" t="s">
        <v>1329</v>
      </c>
      <c r="C31" s="1137">
        <f>+AVERAGE(C27:C30)</f>
        <v>0.01</v>
      </c>
      <c r="D31" s="1137">
        <f>+AVERAGE(D27:D30)</f>
        <v>6.6666666666666671E-3</v>
      </c>
      <c r="E31" s="1137">
        <f>AVERAGE(E27:E30)</f>
        <v>3.7750000000000006E-2</v>
      </c>
      <c r="F31" s="1137">
        <f>AVERAGE(F27:F29)</f>
        <v>4.6666666666666671E-3</v>
      </c>
      <c r="G31" s="1137">
        <f>AVERAGE(G27:G30)</f>
        <v>0.13500000000000001</v>
      </c>
      <c r="H31" s="1137">
        <f>AVERAGE(H27:H29)</f>
        <v>0.10666666666666667</v>
      </c>
      <c r="I31" s="1148">
        <f>AVERAGE(I27:I30)</f>
        <v>0.2175</v>
      </c>
      <c r="J31" s="1149">
        <f>AVERAGE(J27:J29)</f>
        <v>0.19666666666666668</v>
      </c>
      <c r="K31" s="1148">
        <f>AVERAGE(K27:K30)</f>
        <v>0.3075</v>
      </c>
      <c r="L31" s="1149">
        <f>AVERAGE(L27:L29)</f>
        <v>0.30333333333333329</v>
      </c>
      <c r="M31" s="1148">
        <f>AVERAGE(M27:M30)</f>
        <v>0.40500000000000003</v>
      </c>
      <c r="N31" s="1149">
        <f>AVERAGE(N27:N29)</f>
        <v>0.46666666666666662</v>
      </c>
      <c r="O31" s="1148">
        <f>AVERAGE(O27:O30)</f>
        <v>0.48324999999999996</v>
      </c>
      <c r="P31" s="1149">
        <f>AVERAGE(P27:P29)</f>
        <v>0.56166666666666665</v>
      </c>
      <c r="Q31" s="1148">
        <f>AVERAGE(Q27:Q30)</f>
        <v>0.55025000000000002</v>
      </c>
      <c r="R31" s="1149">
        <f>AVERAGE(R27:R29)</f>
        <v>0.59133333333333338</v>
      </c>
      <c r="S31" s="1148">
        <f>AVERAGE(S27:S30)</f>
        <v>0.68074999999999997</v>
      </c>
      <c r="T31" s="1149">
        <f>AVERAGE(T27:T29)</f>
        <v>0.84866666666666657</v>
      </c>
      <c r="U31" s="1138"/>
      <c r="V31" s="1139"/>
      <c r="W31" s="1138"/>
      <c r="X31" s="1139"/>
      <c r="Y31" s="1138"/>
      <c r="Z31" s="1139"/>
    </row>
    <row r="32" spans="1:26" ht="15.75" x14ac:dyDescent="0.25">
      <c r="A32" s="1150" t="s">
        <v>1330</v>
      </c>
      <c r="B32" s="1150"/>
      <c r="C32" s="1151">
        <f t="shared" ref="C32:G32" si="1">AVERAGE(C3:C6,C15,C26,C31)</f>
        <v>3.4329339365874768E-2</v>
      </c>
      <c r="D32" s="1151">
        <f t="shared" si="1"/>
        <v>5.6018356612630729E-2</v>
      </c>
      <c r="E32" s="1151">
        <f t="shared" si="1"/>
        <v>8.420072447704581E-2</v>
      </c>
      <c r="F32" s="1151">
        <f t="shared" si="1"/>
        <v>0.11362665668660246</v>
      </c>
      <c r="G32" s="1151">
        <f t="shared" si="1"/>
        <v>0.2028326074879227</v>
      </c>
      <c r="H32" s="1151">
        <f>AVERAGE(H3:H6,H15,H26,H31)</f>
        <v>0.25237343798268103</v>
      </c>
      <c r="I32" s="1151">
        <f>AVERAGE(I3:I6,I15,I26,I31)</f>
        <v>0.2726039653343203</v>
      </c>
      <c r="J32" s="1151">
        <f>AVERAGE(J3:J6,J15,J26,J31)</f>
        <v>0.37266927307311881</v>
      </c>
      <c r="K32" s="1151">
        <f>AVERAGE(K3:K6,K15,K26,K31)</f>
        <v>0.36710089285714292</v>
      </c>
      <c r="L32" s="1151">
        <f>AVERAGE(L3:L6,L15,L26,L31)</f>
        <v>0.46366497087062708</v>
      </c>
      <c r="M32" s="1151">
        <f>AVERAGE(M3,M4,M5,M6,M15,M26,M31)</f>
        <v>0.46350922619047619</v>
      </c>
      <c r="N32" s="1151">
        <f>AVERAGE(N3,N4,N5,N6,N15,N26,N31)</f>
        <v>0.51684986562604429</v>
      </c>
      <c r="O32" s="1151">
        <f>AVERAGE(O3,O4,O5,O6,O15,O26,O31)</f>
        <v>0.51745679686778234</v>
      </c>
      <c r="P32" s="1151">
        <f>AVERAGE(P3,P4,P5,P6,P15,P26,P31)</f>
        <v>0.56583991715628212</v>
      </c>
      <c r="Q32" s="1151">
        <f>AVERAGE(Q3,Q4,Q5,Q6,Q15,Q26,Q31)</f>
        <v>0.59184107142857134</v>
      </c>
      <c r="R32" s="1151">
        <f>AVERAGE(R31,R26,R15,R6,R5,R4,R3)</f>
        <v>0.67033488696294596</v>
      </c>
      <c r="S32" s="1151">
        <f>AVERAGE(S3,S4,S5,S6,S15,S26,S31)</f>
        <v>0.71336607142857134</v>
      </c>
      <c r="T32" s="1151">
        <f>AVERAGE(T3,T4,T5,T6,T15,T26,T31)</f>
        <v>0.76705044204875927</v>
      </c>
      <c r="U32" s="1152"/>
      <c r="V32" s="1152"/>
      <c r="W32" s="1152"/>
      <c r="X32" s="1152"/>
      <c r="Y32" s="1152"/>
      <c r="Z32" s="1152"/>
    </row>
    <row r="34" spans="2:8" x14ac:dyDescent="0.25">
      <c r="H34" s="1153"/>
    </row>
    <row r="38" spans="2:8" x14ac:dyDescent="0.25">
      <c r="C38" s="1154"/>
      <c r="E38" s="1155"/>
      <c r="G38" s="1156"/>
    </row>
    <row r="39" spans="2:8" x14ac:dyDescent="0.25">
      <c r="C39" s="1157"/>
    </row>
    <row r="41" spans="2:8" x14ac:dyDescent="0.25">
      <c r="C41" s="1158"/>
    </row>
    <row r="43" spans="2:8" x14ac:dyDescent="0.25">
      <c r="B43" s="1157"/>
    </row>
    <row r="44" spans="2:8" x14ac:dyDescent="0.25">
      <c r="C44" s="1154"/>
    </row>
    <row r="45" spans="2:8" x14ac:dyDescent="0.25">
      <c r="C45" s="1157"/>
    </row>
    <row r="46" spans="2:8" x14ac:dyDescent="0.25">
      <c r="E46" s="1155"/>
      <c r="G46" s="1159"/>
    </row>
  </sheetData>
  <sheetProtection algorithmName="SHA-512" hashValue="P6FnyEgsLMw8dVaZEW/fKK00CCUUE0Ytn8cFOqY1C9ISI50crhbzjyxAbKFGXhQfRuz3hDOaGaFt1dL4WbytYg==" saltValue="Q6wh7/7rqgk/6uAqmydfJw==" spinCount="100000" sheet="1" objects="1" scenarios="1" selectLockedCells="1" selectUnlockedCells="1"/>
  <mergeCells count="17">
    <mergeCell ref="W1:X1"/>
    <mergeCell ref="Y1:Z1"/>
    <mergeCell ref="A7:A15"/>
    <mergeCell ref="A16:A26"/>
    <mergeCell ref="A27:A31"/>
    <mergeCell ref="K1:L1"/>
    <mergeCell ref="M1:N1"/>
    <mergeCell ref="O1:P1"/>
    <mergeCell ref="Q1:R1"/>
    <mergeCell ref="S1:T1"/>
    <mergeCell ref="U1:V1"/>
    <mergeCell ref="A1:A2"/>
    <mergeCell ref="B1:B2"/>
    <mergeCell ref="C1:D1"/>
    <mergeCell ref="E1:F1"/>
    <mergeCell ref="G1:H1"/>
    <mergeCell ref="I1:J1"/>
  </mergeCells>
  <pageMargins left="0.7" right="0.7" top="0.75" bottom="0.75" header="0.3" footer="0.3"/>
  <pageSetup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CEE73-15EB-4446-BED9-D1E30165BA7D}">
  <sheetPr>
    <tabColor rgb="FFFF0000"/>
  </sheetPr>
  <dimension ref="A1:EG19"/>
  <sheetViews>
    <sheetView workbookViewId="0">
      <selection activeCell="A3" sqref="A3"/>
    </sheetView>
  </sheetViews>
  <sheetFormatPr baseColWidth="10" defaultColWidth="11.42578125" defaultRowHeight="22.5" customHeight="1" x14ac:dyDescent="0.25"/>
  <cols>
    <col min="1" max="1" width="22.42578125" style="5" customWidth="1"/>
    <col min="2" max="2" width="26.7109375" style="5" customWidth="1"/>
    <col min="3" max="3" width="23.85546875" style="5" customWidth="1"/>
    <col min="4" max="4" width="21.28515625" style="5" customWidth="1"/>
    <col min="5" max="5" width="16" style="5" customWidth="1"/>
    <col min="6" max="6" width="53" style="5" bestFit="1" customWidth="1"/>
    <col min="7" max="7" width="43.42578125" style="5" bestFit="1" customWidth="1"/>
    <col min="8" max="8" width="17.140625" style="5" customWidth="1"/>
    <col min="9" max="9" width="16.140625" style="5" customWidth="1"/>
    <col min="10" max="10" width="26.7109375" style="5" customWidth="1"/>
    <col min="11" max="11" width="16.7109375" style="5" customWidth="1"/>
    <col min="12" max="12" width="17.28515625" style="5" customWidth="1"/>
    <col min="13" max="13" width="16.85546875" style="5" customWidth="1"/>
    <col min="14" max="14" width="15.85546875" style="5" customWidth="1"/>
    <col min="15" max="15" width="56.42578125" style="5" customWidth="1"/>
    <col min="16" max="16" width="28.7109375" style="5" customWidth="1"/>
    <col min="17" max="17" width="16.28515625" style="5" customWidth="1"/>
    <col min="18" max="18" width="9.42578125" style="5" customWidth="1"/>
    <col min="19" max="19" width="16.28515625" style="5" customWidth="1"/>
    <col min="20" max="20" width="87.140625" style="5" bestFit="1" customWidth="1"/>
    <col min="21" max="21" width="27.140625" style="5" bestFit="1" customWidth="1"/>
    <col min="22" max="22" width="17.140625" style="5" bestFit="1" customWidth="1"/>
    <col min="23" max="23" width="10.28515625" style="5" bestFit="1" customWidth="1"/>
    <col min="24" max="24" width="14.5703125" style="5" bestFit="1" customWidth="1"/>
    <col min="25" max="25" width="14.7109375" style="5" bestFit="1" customWidth="1"/>
    <col min="26" max="26" width="14.85546875" style="5" bestFit="1" customWidth="1"/>
    <col min="27" max="27" width="20.7109375" style="5" customWidth="1"/>
    <col min="28" max="28" width="24.28515625" style="5" hidden="1" customWidth="1"/>
    <col min="29" max="29" width="10.42578125" style="5" hidden="1" customWidth="1"/>
    <col min="30" max="30" width="21.85546875" style="5" hidden="1" customWidth="1"/>
    <col min="31" max="31" width="20.7109375" style="5" hidden="1" customWidth="1"/>
    <col min="32" max="32" width="14.85546875" style="5" hidden="1" customWidth="1"/>
    <col min="33" max="33" width="10.42578125" style="5" hidden="1" customWidth="1"/>
    <col min="34" max="34" width="21.85546875" style="5" hidden="1" customWidth="1"/>
    <col min="35" max="35" width="43" style="5" hidden="1" customWidth="1"/>
    <col min="36" max="38" width="11.42578125" style="5" hidden="1" customWidth="1"/>
    <col min="39" max="39" width="22.7109375" style="5" hidden="1" customWidth="1"/>
    <col min="40" max="42" width="11.42578125" style="5" hidden="1" customWidth="1"/>
    <col min="43" max="43" width="38.42578125" style="5" hidden="1" customWidth="1"/>
    <col min="44" max="46" width="11.42578125" style="5" hidden="1" customWidth="1"/>
    <col min="47" max="47" width="31" style="5" hidden="1" customWidth="1"/>
    <col min="48" max="50" width="11.42578125" style="5" hidden="1" customWidth="1"/>
    <col min="51" max="51" width="85.7109375" style="5" hidden="1" customWidth="1"/>
    <col min="52" max="54" width="11.42578125" style="5" hidden="1" customWidth="1"/>
    <col min="55" max="55" width="51.28515625" style="5" hidden="1" customWidth="1"/>
    <col min="56" max="58" width="11.42578125" style="5" hidden="1" customWidth="1"/>
    <col min="59" max="59" width="93.85546875" style="5" hidden="1" customWidth="1"/>
    <col min="60" max="62" width="11.42578125" style="5" hidden="1" customWidth="1"/>
    <col min="63" max="63" width="51.28515625" style="5" hidden="1" customWidth="1"/>
    <col min="64" max="66" width="11.42578125" style="5" hidden="1" customWidth="1"/>
    <col min="67" max="67" width="93.85546875" style="5" hidden="1" customWidth="1"/>
    <col min="68" max="68" width="9.85546875" style="5" hidden="1" customWidth="1"/>
    <col min="69" max="69" width="18.85546875" style="5" hidden="1" customWidth="1"/>
    <col min="70" max="70" width="11.42578125" style="5" hidden="1" customWidth="1"/>
    <col min="71" max="71" width="51.28515625" style="5" hidden="1" customWidth="1"/>
    <col min="72" max="74" width="11.42578125" style="5" hidden="1" customWidth="1"/>
    <col min="75" max="75" width="93.85546875" style="5" hidden="1" customWidth="1"/>
    <col min="76" max="76" width="9.85546875" style="5" hidden="1" customWidth="1"/>
    <col min="77" max="77" width="18.85546875" style="5" hidden="1" customWidth="1"/>
    <col min="78" max="78" width="11.42578125" style="5" hidden="1" customWidth="1"/>
    <col min="79" max="79" width="51.28515625" style="5" hidden="1" customWidth="1"/>
    <col min="80" max="82" width="11.42578125" style="5" hidden="1" customWidth="1"/>
    <col min="83" max="83" width="93.85546875" style="5" hidden="1" customWidth="1"/>
    <col min="84" max="84" width="16" style="5" hidden="1" customWidth="1"/>
    <col min="85" max="85" width="23.28515625" style="5" hidden="1" customWidth="1"/>
    <col min="86" max="86" width="11.42578125" style="5" hidden="1" customWidth="1"/>
    <col min="87" max="87" width="51.28515625" style="5" hidden="1" customWidth="1"/>
    <col min="88" max="90" width="11.42578125" style="5" hidden="1" customWidth="1"/>
    <col min="91" max="91" width="93.85546875" style="5" hidden="1" customWidth="1"/>
    <col min="92" max="92" width="16" style="5" customWidth="1"/>
    <col min="93" max="93" width="23.28515625" style="5" customWidth="1"/>
    <col min="94" max="94" width="11.42578125" style="5"/>
    <col min="95" max="95" width="51.28515625" style="5" customWidth="1"/>
    <col min="96" max="98" width="11.42578125" style="5"/>
    <col min="99" max="99" width="108.140625" style="5" customWidth="1"/>
    <col min="100" max="16384" width="11.42578125" style="5"/>
  </cols>
  <sheetData>
    <row r="1" spans="1:137" s="273" customFormat="1" ht="22.5" customHeight="1" x14ac:dyDescent="0.25">
      <c r="A1" s="17"/>
      <c r="B1" s="17"/>
      <c r="C1" s="17"/>
      <c r="D1" s="17"/>
      <c r="E1" s="17"/>
      <c r="F1" s="17"/>
      <c r="G1" s="17"/>
      <c r="H1" s="17"/>
      <c r="I1" s="17"/>
      <c r="J1" s="17"/>
      <c r="K1" s="17"/>
      <c r="L1" s="17"/>
      <c r="M1" s="17"/>
      <c r="N1" s="17"/>
      <c r="O1" s="17"/>
      <c r="P1" s="17"/>
      <c r="Q1" s="17"/>
      <c r="R1" s="17"/>
      <c r="S1" s="39"/>
      <c r="T1" s="17"/>
      <c r="U1" s="17"/>
      <c r="V1" s="17"/>
      <c r="W1" s="17"/>
      <c r="X1" s="17"/>
      <c r="Y1" s="17"/>
      <c r="Z1" s="17"/>
      <c r="AA1" s="17"/>
      <c r="AB1" s="17"/>
      <c r="AC1" s="39"/>
      <c r="AD1" s="39"/>
      <c r="AE1" s="17"/>
      <c r="AF1" s="17"/>
      <c r="AG1" s="1160" t="s">
        <v>0</v>
      </c>
      <c r="AH1" s="1160"/>
      <c r="AI1" s="1161">
        <v>43458</v>
      </c>
    </row>
    <row r="2" spans="1:137" s="273" customFormat="1" ht="33.75" customHeight="1" x14ac:dyDescent="0.25">
      <c r="A2" s="17"/>
      <c r="B2" s="17"/>
      <c r="C2" s="1162" t="s">
        <v>1</v>
      </c>
      <c r="D2" s="1162"/>
      <c r="E2" s="1162"/>
      <c r="F2" s="1162"/>
      <c r="G2" s="1162"/>
      <c r="H2" s="1162"/>
      <c r="I2" s="1162"/>
      <c r="J2" s="1162"/>
      <c r="K2" s="1162"/>
      <c r="L2" s="1162"/>
      <c r="M2" s="1162"/>
      <c r="N2" s="1162"/>
      <c r="O2" s="1162"/>
      <c r="P2" s="17"/>
      <c r="Q2" s="17"/>
      <c r="R2" s="17"/>
      <c r="S2" s="39"/>
      <c r="T2" s="17"/>
      <c r="U2" s="17"/>
      <c r="V2" s="17"/>
      <c r="W2" s="17"/>
      <c r="X2" s="17"/>
      <c r="Y2" s="17"/>
      <c r="Z2" s="17"/>
      <c r="AA2" s="17"/>
      <c r="AB2" s="17"/>
      <c r="AC2" s="39"/>
      <c r="AD2" s="39"/>
      <c r="AE2" s="17"/>
      <c r="AF2" s="17"/>
      <c r="AG2" s="1160" t="s">
        <v>2</v>
      </c>
      <c r="AH2" s="1160"/>
      <c r="AI2" s="274">
        <v>5</v>
      </c>
    </row>
    <row r="3" spans="1:137" s="273" customFormat="1" ht="35.25" customHeight="1" thickBot="1" x14ac:dyDescent="0.3">
      <c r="A3" s="17"/>
      <c r="B3" s="1225"/>
      <c r="C3" s="1225"/>
      <c r="D3" s="1225"/>
      <c r="E3" s="1225"/>
      <c r="F3" s="1225"/>
      <c r="G3" s="1225"/>
      <c r="H3" s="1225"/>
      <c r="I3" s="1225"/>
      <c r="J3" s="17"/>
      <c r="K3" s="17"/>
      <c r="L3" s="17"/>
      <c r="M3" s="17"/>
      <c r="N3" s="17"/>
      <c r="O3" s="17"/>
      <c r="P3" s="17"/>
      <c r="Q3" s="17"/>
      <c r="R3" s="17"/>
      <c r="S3" s="39"/>
      <c r="T3" s="17"/>
      <c r="U3" s="17"/>
      <c r="V3" s="17"/>
      <c r="W3" s="17"/>
      <c r="X3" s="17"/>
      <c r="Y3" s="17"/>
      <c r="Z3" s="17"/>
      <c r="AA3" s="17"/>
      <c r="AB3" s="17"/>
      <c r="AC3" s="39"/>
      <c r="AD3" s="39"/>
      <c r="AE3" s="17"/>
      <c r="AF3" s="17"/>
      <c r="AG3" s="1163" t="s">
        <v>3</v>
      </c>
      <c r="AH3" s="1163"/>
      <c r="AI3" s="1164" t="s">
        <v>4</v>
      </c>
    </row>
    <row r="4" spans="1:137" s="12" customFormat="1" ht="18.75" x14ac:dyDescent="0.25">
      <c r="A4" s="14"/>
      <c r="B4" s="14"/>
      <c r="C4" s="14"/>
      <c r="D4" s="14"/>
      <c r="E4" s="14"/>
      <c r="F4" s="14"/>
      <c r="G4" s="14"/>
      <c r="H4" s="14"/>
      <c r="I4" s="14"/>
      <c r="J4" s="14"/>
      <c r="K4" s="14"/>
      <c r="L4" s="14"/>
      <c r="M4" s="275" t="s">
        <v>5</v>
      </c>
      <c r="N4" s="14"/>
      <c r="O4" s="14"/>
      <c r="P4" s="14"/>
      <c r="Q4" s="14"/>
      <c r="R4" s="14"/>
      <c r="S4" s="14"/>
      <c r="T4" s="14"/>
      <c r="U4" s="14"/>
      <c r="V4" s="14"/>
      <c r="W4" s="14"/>
      <c r="X4" s="14"/>
      <c r="Y4" s="14" t="s">
        <v>6</v>
      </c>
      <c r="Z4" s="14"/>
      <c r="AA4" s="14"/>
      <c r="AB4" s="276" t="s">
        <v>280</v>
      </c>
      <c r="AC4" s="277"/>
      <c r="AD4" s="277"/>
      <c r="AE4" s="277"/>
      <c r="AF4" s="277"/>
      <c r="AG4" s="277"/>
      <c r="AH4" s="277"/>
      <c r="AI4" s="278"/>
      <c r="AJ4" s="276" t="s">
        <v>281</v>
      </c>
      <c r="AK4" s="277"/>
      <c r="AL4" s="277"/>
      <c r="AM4" s="277"/>
      <c r="AN4" s="277"/>
      <c r="AO4" s="277"/>
      <c r="AP4" s="277"/>
      <c r="AQ4" s="278"/>
      <c r="AR4" s="279" t="s">
        <v>282</v>
      </c>
      <c r="AS4" s="280"/>
      <c r="AT4" s="280"/>
      <c r="AU4" s="280"/>
      <c r="AV4" s="280"/>
      <c r="AW4" s="280"/>
      <c r="AX4" s="280"/>
      <c r="AY4" s="281"/>
      <c r="AZ4" s="282" t="s">
        <v>283</v>
      </c>
      <c r="BA4" s="283"/>
      <c r="BB4" s="283"/>
      <c r="BC4" s="283"/>
      <c r="BD4" s="283"/>
      <c r="BE4" s="283"/>
      <c r="BF4" s="283"/>
      <c r="BG4" s="284"/>
      <c r="BH4" s="285" t="s">
        <v>284</v>
      </c>
      <c r="BI4" s="286"/>
      <c r="BJ4" s="286"/>
      <c r="BK4" s="286"/>
      <c r="BL4" s="286"/>
      <c r="BM4" s="286"/>
      <c r="BN4" s="286"/>
      <c r="BO4" s="287"/>
      <c r="BP4" s="288" t="s">
        <v>285</v>
      </c>
      <c r="BQ4" s="289"/>
      <c r="BR4" s="289"/>
      <c r="BS4" s="289"/>
      <c r="BT4" s="289"/>
      <c r="BU4" s="289"/>
      <c r="BV4" s="289"/>
      <c r="BW4" s="290"/>
      <c r="BX4" s="291" t="s">
        <v>286</v>
      </c>
      <c r="BY4" s="292"/>
      <c r="BZ4" s="292"/>
      <c r="CA4" s="292"/>
      <c r="CB4" s="292"/>
      <c r="CC4" s="292"/>
      <c r="CD4" s="292"/>
      <c r="CE4" s="292"/>
      <c r="CF4" s="277" t="s">
        <v>287</v>
      </c>
      <c r="CG4" s="277"/>
      <c r="CH4" s="277"/>
      <c r="CI4" s="277"/>
      <c r="CJ4" s="277"/>
      <c r="CK4" s="277"/>
      <c r="CL4" s="277"/>
      <c r="CM4" s="277"/>
      <c r="CN4" s="261" t="s">
        <v>210</v>
      </c>
      <c r="CO4" s="262"/>
      <c r="CP4" s="262"/>
      <c r="CQ4" s="262"/>
      <c r="CR4" s="262"/>
      <c r="CS4" s="262"/>
      <c r="CT4" s="262"/>
      <c r="CU4" s="263"/>
      <c r="CV4" s="293"/>
      <c r="CW4" s="293"/>
      <c r="CX4" s="293"/>
      <c r="CY4" s="293"/>
      <c r="CZ4" s="293"/>
      <c r="DA4" s="293"/>
      <c r="DB4" s="293"/>
      <c r="DC4" s="293"/>
      <c r="DD4" s="293"/>
      <c r="DE4" s="293"/>
      <c r="DF4" s="293"/>
      <c r="DG4" s="293"/>
      <c r="DH4" s="293"/>
      <c r="DI4" s="293"/>
      <c r="DJ4" s="293"/>
      <c r="DK4" s="293"/>
      <c r="DL4" s="293"/>
      <c r="DM4" s="293"/>
      <c r="DN4" s="293"/>
      <c r="DO4" s="293"/>
      <c r="DP4" s="293"/>
      <c r="DQ4" s="293"/>
      <c r="DR4" s="293"/>
      <c r="DS4" s="293"/>
      <c r="DT4" s="293"/>
      <c r="DU4" s="293"/>
      <c r="DV4" s="293"/>
      <c r="DW4" s="293"/>
      <c r="DX4" s="293"/>
      <c r="DY4" s="293"/>
      <c r="DZ4" s="293"/>
      <c r="EA4" s="293"/>
      <c r="EB4" s="293"/>
      <c r="EC4" s="293"/>
      <c r="ED4" s="293"/>
      <c r="EE4" s="293"/>
      <c r="EF4" s="293"/>
      <c r="EG4" s="293"/>
    </row>
    <row r="5" spans="1:137" s="13" customFormat="1" ht="12" x14ac:dyDescent="0.25">
      <c r="A5" s="264" t="s">
        <v>7</v>
      </c>
      <c r="B5" s="264"/>
      <c r="C5" s="264"/>
      <c r="D5" s="265" t="s">
        <v>8</v>
      </c>
      <c r="E5" s="266"/>
      <c r="F5" s="267"/>
      <c r="G5" s="265" t="s">
        <v>9</v>
      </c>
      <c r="H5" s="266"/>
      <c r="I5" s="267"/>
      <c r="J5" s="265" t="s">
        <v>10</v>
      </c>
      <c r="K5" s="266"/>
      <c r="L5" s="267"/>
      <c r="M5" s="294"/>
      <c r="N5" s="103"/>
      <c r="O5" s="103"/>
      <c r="P5" s="103"/>
      <c r="Q5" s="103"/>
      <c r="R5" s="103"/>
      <c r="S5" s="103"/>
      <c r="T5" s="103" t="s">
        <v>11</v>
      </c>
      <c r="U5" s="103"/>
      <c r="V5" s="103"/>
      <c r="W5" s="103"/>
      <c r="X5" s="103"/>
      <c r="Y5" s="103"/>
      <c r="Z5" s="103"/>
      <c r="AA5" s="103" t="s">
        <v>12</v>
      </c>
      <c r="AB5" s="265" t="s">
        <v>13</v>
      </c>
      <c r="AC5" s="266"/>
      <c r="AD5" s="266"/>
      <c r="AE5" s="295"/>
      <c r="AF5" s="266" t="s">
        <v>14</v>
      </c>
      <c r="AG5" s="266"/>
      <c r="AH5" s="266"/>
      <c r="AI5" s="267"/>
      <c r="AJ5" s="265" t="s">
        <v>13</v>
      </c>
      <c r="AK5" s="266"/>
      <c r="AL5" s="266"/>
      <c r="AM5" s="295"/>
      <c r="AN5" s="266" t="s">
        <v>14</v>
      </c>
      <c r="AO5" s="266"/>
      <c r="AP5" s="266"/>
      <c r="AQ5" s="267"/>
      <c r="AR5" s="265" t="s">
        <v>13</v>
      </c>
      <c r="AS5" s="266"/>
      <c r="AT5" s="266"/>
      <c r="AU5" s="295"/>
      <c r="AV5" s="266" t="s">
        <v>14</v>
      </c>
      <c r="AW5" s="266"/>
      <c r="AX5" s="266"/>
      <c r="AY5" s="267"/>
      <c r="AZ5" s="265" t="s">
        <v>13</v>
      </c>
      <c r="BA5" s="266"/>
      <c r="BB5" s="266"/>
      <c r="BC5" s="295"/>
      <c r="BD5" s="266" t="s">
        <v>14</v>
      </c>
      <c r="BE5" s="266"/>
      <c r="BF5" s="266"/>
      <c r="BG5" s="267"/>
      <c r="BH5" s="265" t="s">
        <v>13</v>
      </c>
      <c r="BI5" s="266"/>
      <c r="BJ5" s="266"/>
      <c r="BK5" s="295"/>
      <c r="BL5" s="266" t="s">
        <v>14</v>
      </c>
      <c r="BM5" s="266"/>
      <c r="BN5" s="266"/>
      <c r="BO5" s="267"/>
      <c r="BP5" s="265" t="s">
        <v>13</v>
      </c>
      <c r="BQ5" s="266"/>
      <c r="BR5" s="266"/>
      <c r="BS5" s="295"/>
      <c r="BT5" s="266" t="s">
        <v>14</v>
      </c>
      <c r="BU5" s="266"/>
      <c r="BV5" s="266"/>
      <c r="BW5" s="267"/>
      <c r="BX5" s="265" t="s">
        <v>13</v>
      </c>
      <c r="BY5" s="266"/>
      <c r="BZ5" s="266"/>
      <c r="CA5" s="266"/>
      <c r="CB5" s="295"/>
      <c r="CC5" s="266" t="s">
        <v>14</v>
      </c>
      <c r="CD5" s="266"/>
      <c r="CE5" s="266"/>
      <c r="CF5" s="102"/>
      <c r="CG5" s="266" t="s">
        <v>13</v>
      </c>
      <c r="CH5" s="266"/>
      <c r="CI5" s="266"/>
      <c r="CJ5" s="102"/>
      <c r="CK5" s="266" t="s">
        <v>14</v>
      </c>
      <c r="CL5" s="266"/>
      <c r="CM5" s="266"/>
      <c r="CN5" s="102"/>
      <c r="CO5" s="266" t="s">
        <v>13</v>
      </c>
      <c r="CP5" s="266"/>
      <c r="CQ5" s="266"/>
      <c r="CR5" s="102"/>
      <c r="CS5" s="266" t="s">
        <v>14</v>
      </c>
      <c r="CT5" s="266"/>
      <c r="CU5" s="266"/>
      <c r="CV5" s="293"/>
      <c r="CW5" s="293"/>
      <c r="CX5" s="293"/>
      <c r="CY5" s="293"/>
      <c r="CZ5" s="293"/>
      <c r="DA5" s="293"/>
      <c r="DB5" s="293"/>
      <c r="DC5" s="293"/>
      <c r="DD5" s="293"/>
      <c r="DE5" s="293"/>
      <c r="DF5" s="293"/>
      <c r="DG5" s="293"/>
      <c r="DH5" s="293"/>
      <c r="DI5" s="293"/>
      <c r="DJ5" s="293"/>
      <c r="DK5" s="293"/>
      <c r="DL5" s="293"/>
      <c r="DM5" s="293"/>
      <c r="DN5" s="293"/>
      <c r="DO5" s="293"/>
      <c r="DP5" s="293"/>
      <c r="DQ5" s="293"/>
      <c r="DR5" s="293"/>
      <c r="DS5" s="293"/>
      <c r="DT5" s="293"/>
      <c r="DU5" s="293"/>
      <c r="DV5" s="293"/>
      <c r="DW5" s="293"/>
      <c r="DX5" s="293"/>
      <c r="DY5" s="293"/>
      <c r="DZ5" s="293"/>
      <c r="EA5" s="293"/>
      <c r="EB5" s="293"/>
      <c r="EC5" s="293"/>
      <c r="ED5" s="293"/>
      <c r="EE5" s="293"/>
      <c r="EF5" s="293"/>
      <c r="EG5" s="293"/>
    </row>
    <row r="6" spans="1:137" s="12" customFormat="1" ht="24" x14ac:dyDescent="0.25">
      <c r="A6" s="11" t="s">
        <v>15</v>
      </c>
      <c r="B6" s="11" t="s">
        <v>16</v>
      </c>
      <c r="C6" s="11" t="s">
        <v>17</v>
      </c>
      <c r="D6" s="11" t="s">
        <v>18</v>
      </c>
      <c r="E6" s="11" t="s">
        <v>19</v>
      </c>
      <c r="F6" s="11" t="s">
        <v>20</v>
      </c>
      <c r="G6" s="11" t="s">
        <v>21</v>
      </c>
      <c r="H6" s="11" t="s">
        <v>22</v>
      </c>
      <c r="I6" s="11" t="s">
        <v>23</v>
      </c>
      <c r="J6" s="11" t="s">
        <v>24</v>
      </c>
      <c r="K6" s="11" t="s">
        <v>25</v>
      </c>
      <c r="L6" s="11" t="s">
        <v>26</v>
      </c>
      <c r="M6" s="11" t="s">
        <v>5</v>
      </c>
      <c r="N6" s="11" t="s">
        <v>27</v>
      </c>
      <c r="O6" s="11" t="s">
        <v>28</v>
      </c>
      <c r="P6" s="11" t="s">
        <v>29</v>
      </c>
      <c r="Q6" s="11" t="s">
        <v>30</v>
      </c>
      <c r="R6" s="11" t="s">
        <v>31</v>
      </c>
      <c r="S6" s="11" t="s">
        <v>32</v>
      </c>
      <c r="T6" s="11" t="s">
        <v>11</v>
      </c>
      <c r="U6" s="11" t="s">
        <v>33</v>
      </c>
      <c r="V6" s="11" t="s">
        <v>34</v>
      </c>
      <c r="W6" s="11" t="s">
        <v>35</v>
      </c>
      <c r="X6" s="11" t="s">
        <v>36</v>
      </c>
      <c r="Y6" s="11" t="s">
        <v>37</v>
      </c>
      <c r="Z6" s="11" t="s">
        <v>38</v>
      </c>
      <c r="AA6" s="11" t="s">
        <v>39</v>
      </c>
      <c r="AB6" s="11" t="s">
        <v>40</v>
      </c>
      <c r="AC6" s="11" t="s">
        <v>41</v>
      </c>
      <c r="AD6" s="11" t="s">
        <v>42</v>
      </c>
      <c r="AE6" s="11" t="s">
        <v>43</v>
      </c>
      <c r="AF6" s="11" t="s">
        <v>40</v>
      </c>
      <c r="AG6" s="11" t="s">
        <v>41</v>
      </c>
      <c r="AH6" s="11" t="s">
        <v>42</v>
      </c>
      <c r="AI6" s="11" t="s">
        <v>43</v>
      </c>
      <c r="AJ6" s="296" t="s">
        <v>40</v>
      </c>
      <c r="AK6" s="296" t="s">
        <v>41</v>
      </c>
      <c r="AL6" s="296" t="s">
        <v>42</v>
      </c>
      <c r="AM6" s="296" t="s">
        <v>43</v>
      </c>
      <c r="AN6" s="296" t="s">
        <v>40</v>
      </c>
      <c r="AO6" s="296" t="s">
        <v>41</v>
      </c>
      <c r="AP6" s="296" t="s">
        <v>42</v>
      </c>
      <c r="AQ6" s="296" t="s">
        <v>43</v>
      </c>
      <c r="AR6" s="296" t="s">
        <v>40</v>
      </c>
      <c r="AS6" s="296" t="s">
        <v>41</v>
      </c>
      <c r="AT6" s="296" t="s">
        <v>42</v>
      </c>
      <c r="AU6" s="296" t="s">
        <v>43</v>
      </c>
      <c r="AV6" s="296" t="s">
        <v>40</v>
      </c>
      <c r="AW6" s="296" t="s">
        <v>41</v>
      </c>
      <c r="AX6" s="296" t="s">
        <v>42</v>
      </c>
      <c r="AY6" s="296" t="s">
        <v>43</v>
      </c>
      <c r="AZ6" s="296" t="s">
        <v>40</v>
      </c>
      <c r="BA6" s="296" t="s">
        <v>41</v>
      </c>
      <c r="BB6" s="296" t="s">
        <v>42</v>
      </c>
      <c r="BC6" s="296" t="s">
        <v>43</v>
      </c>
      <c r="BD6" s="296" t="s">
        <v>40</v>
      </c>
      <c r="BE6" s="296" t="s">
        <v>41</v>
      </c>
      <c r="BF6" s="296" t="s">
        <v>42</v>
      </c>
      <c r="BG6" s="296" t="s">
        <v>43</v>
      </c>
      <c r="BH6" s="296" t="s">
        <v>40</v>
      </c>
      <c r="BI6" s="296" t="s">
        <v>41</v>
      </c>
      <c r="BJ6" s="296" t="s">
        <v>42</v>
      </c>
      <c r="BK6" s="296" t="s">
        <v>43</v>
      </c>
      <c r="BL6" s="296" t="s">
        <v>40</v>
      </c>
      <c r="BM6" s="296" t="s">
        <v>41</v>
      </c>
      <c r="BN6" s="296" t="s">
        <v>42</v>
      </c>
      <c r="BO6" s="296" t="s">
        <v>43</v>
      </c>
      <c r="BP6" s="296" t="s">
        <v>40</v>
      </c>
      <c r="BQ6" s="296" t="s">
        <v>41</v>
      </c>
      <c r="BR6" s="296" t="s">
        <v>42</v>
      </c>
      <c r="BS6" s="296" t="s">
        <v>43</v>
      </c>
      <c r="BT6" s="296" t="s">
        <v>40</v>
      </c>
      <c r="BU6" s="296" t="s">
        <v>41</v>
      </c>
      <c r="BV6" s="296" t="s">
        <v>42</v>
      </c>
      <c r="BW6" s="296" t="s">
        <v>43</v>
      </c>
      <c r="BX6" s="296" t="s">
        <v>40</v>
      </c>
      <c r="BY6" s="296" t="s">
        <v>41</v>
      </c>
      <c r="BZ6" s="296" t="s">
        <v>42</v>
      </c>
      <c r="CA6" s="296" t="s">
        <v>43</v>
      </c>
      <c r="CB6" s="296" t="s">
        <v>40</v>
      </c>
      <c r="CC6" s="296" t="s">
        <v>41</v>
      </c>
      <c r="CD6" s="296" t="s">
        <v>42</v>
      </c>
      <c r="CE6" s="296" t="s">
        <v>43</v>
      </c>
      <c r="CF6" s="296" t="s">
        <v>40</v>
      </c>
      <c r="CG6" s="296" t="s">
        <v>41</v>
      </c>
      <c r="CH6" s="296" t="s">
        <v>42</v>
      </c>
      <c r="CI6" s="296" t="s">
        <v>43</v>
      </c>
      <c r="CJ6" s="296" t="s">
        <v>40</v>
      </c>
      <c r="CK6" s="296" t="s">
        <v>41</v>
      </c>
      <c r="CL6" s="296" t="s">
        <v>42</v>
      </c>
      <c r="CM6" s="296" t="s">
        <v>43</v>
      </c>
      <c r="CN6" s="296" t="s">
        <v>40</v>
      </c>
      <c r="CO6" s="296" t="s">
        <v>41</v>
      </c>
      <c r="CP6" s="296" t="s">
        <v>42</v>
      </c>
      <c r="CQ6" s="296" t="s">
        <v>43</v>
      </c>
      <c r="CR6" s="296" t="s">
        <v>40</v>
      </c>
      <c r="CS6" s="296" t="s">
        <v>41</v>
      </c>
      <c r="CT6" s="296" t="s">
        <v>42</v>
      </c>
      <c r="CU6" s="296" t="s">
        <v>43</v>
      </c>
      <c r="CV6" s="293"/>
      <c r="CW6" s="293"/>
      <c r="CX6" s="293"/>
      <c r="CY6" s="293"/>
      <c r="CZ6" s="293"/>
      <c r="DA6" s="293"/>
      <c r="DB6" s="293"/>
      <c r="DC6" s="293"/>
      <c r="DD6" s="293"/>
      <c r="DE6" s="293"/>
      <c r="DF6" s="293"/>
      <c r="DG6" s="293"/>
      <c r="DH6" s="293"/>
      <c r="DI6" s="293"/>
      <c r="DJ6" s="293"/>
      <c r="DK6" s="293"/>
      <c r="DL6" s="293"/>
      <c r="DM6" s="293"/>
      <c r="DN6" s="293"/>
      <c r="DO6" s="293"/>
      <c r="DP6" s="293"/>
      <c r="DQ6" s="293"/>
      <c r="DR6" s="293"/>
      <c r="DS6" s="293"/>
      <c r="DT6" s="293"/>
      <c r="DU6" s="293"/>
      <c r="DV6" s="293"/>
      <c r="DW6" s="293"/>
      <c r="DX6" s="293"/>
      <c r="DY6" s="293"/>
      <c r="DZ6" s="293"/>
      <c r="EA6" s="293"/>
      <c r="EB6" s="293"/>
      <c r="EC6" s="293"/>
      <c r="ED6" s="293"/>
      <c r="EE6" s="293"/>
      <c r="EF6" s="293"/>
      <c r="EG6" s="293"/>
    </row>
    <row r="7" spans="1:137" s="3" customFormat="1" ht="84" x14ac:dyDescent="0.25">
      <c r="A7" s="190" t="s">
        <v>98</v>
      </c>
      <c r="B7" s="190" t="s">
        <v>100</v>
      </c>
      <c r="C7" s="190" t="s">
        <v>99</v>
      </c>
      <c r="D7" s="201" t="s">
        <v>288</v>
      </c>
      <c r="E7" s="201" t="s">
        <v>289</v>
      </c>
      <c r="F7" s="190" t="s">
        <v>290</v>
      </c>
      <c r="G7" s="297" t="s">
        <v>291</v>
      </c>
      <c r="H7" s="9" t="s">
        <v>292</v>
      </c>
      <c r="I7" s="9" t="s">
        <v>293</v>
      </c>
      <c r="J7" s="298" t="s">
        <v>294</v>
      </c>
      <c r="K7" s="299" t="s">
        <v>295</v>
      </c>
      <c r="L7" s="299" t="s">
        <v>296</v>
      </c>
      <c r="M7" s="201" t="s">
        <v>297</v>
      </c>
      <c r="N7" s="201" t="s">
        <v>297</v>
      </c>
      <c r="O7" s="201" t="s">
        <v>298</v>
      </c>
      <c r="P7" s="201" t="s">
        <v>299</v>
      </c>
      <c r="Q7" s="201" t="s">
        <v>50</v>
      </c>
      <c r="R7" s="201">
        <v>0</v>
      </c>
      <c r="S7" s="201">
        <v>14</v>
      </c>
      <c r="T7" s="297" t="s">
        <v>300</v>
      </c>
      <c r="U7" s="9"/>
      <c r="V7" s="297" t="s">
        <v>51</v>
      </c>
      <c r="W7" s="7">
        <v>10</v>
      </c>
      <c r="X7" s="300">
        <v>1</v>
      </c>
      <c r="Y7" s="301">
        <v>1048560973</v>
      </c>
      <c r="Z7" s="301">
        <v>1048560973</v>
      </c>
      <c r="AA7" s="149" t="s">
        <v>301</v>
      </c>
      <c r="AB7" s="302">
        <v>0</v>
      </c>
      <c r="AC7" s="201">
        <v>13</v>
      </c>
      <c r="AD7" s="303">
        <v>0</v>
      </c>
      <c r="AE7" s="201"/>
      <c r="AF7" s="304">
        <v>0</v>
      </c>
      <c r="AG7" s="304">
        <v>1</v>
      </c>
      <c r="AH7" s="304">
        <v>0.1</v>
      </c>
      <c r="AI7" s="297"/>
      <c r="AJ7" s="302">
        <v>0.1</v>
      </c>
      <c r="AK7" s="201">
        <v>13</v>
      </c>
      <c r="AL7" s="303">
        <f>AJ7</f>
        <v>0.1</v>
      </c>
      <c r="AM7" s="201"/>
      <c r="AN7" s="304">
        <v>0.1</v>
      </c>
      <c r="AO7" s="304">
        <v>1</v>
      </c>
      <c r="AP7" s="304">
        <f>AN7</f>
        <v>0.1</v>
      </c>
      <c r="AQ7" s="9" t="s">
        <v>302</v>
      </c>
      <c r="AR7" s="302">
        <f>AVERAGE(AV7:AV12)</f>
        <v>8.5000000000000006E-2</v>
      </c>
      <c r="AS7" s="201">
        <v>13</v>
      </c>
      <c r="AT7" s="303">
        <f>AVERAGE(AX7:AX12)</f>
        <v>0.29166666666666669</v>
      </c>
      <c r="AU7" s="190" t="s">
        <v>303</v>
      </c>
      <c r="AV7" s="304">
        <v>7.4999999999999997E-2</v>
      </c>
      <c r="AW7" s="304">
        <v>1</v>
      </c>
      <c r="AX7" s="304">
        <f>AV7+AP7</f>
        <v>0.17499999999999999</v>
      </c>
      <c r="AY7" s="9" t="s">
        <v>304</v>
      </c>
      <c r="AZ7" s="302">
        <f>AVERAGE(BF7:BF12)</f>
        <v>0.38833333333333336</v>
      </c>
      <c r="BA7" s="201">
        <v>13</v>
      </c>
      <c r="BB7" s="303">
        <f>AVERAGE(BF7:BF12)</f>
        <v>0.38833333333333336</v>
      </c>
      <c r="BC7" s="190"/>
      <c r="BD7" s="304">
        <v>7.0000000000000007E-2</v>
      </c>
      <c r="BE7" s="304">
        <v>1</v>
      </c>
      <c r="BF7" s="304">
        <f>BD7+AX7</f>
        <v>0.245</v>
      </c>
      <c r="BG7" s="9" t="s">
        <v>305</v>
      </c>
      <c r="BH7" s="302">
        <v>0.1</v>
      </c>
      <c r="BI7" s="201">
        <v>13</v>
      </c>
      <c r="BJ7" s="303">
        <v>0.49</v>
      </c>
      <c r="BK7" s="190"/>
      <c r="BL7" s="304">
        <v>0</v>
      </c>
      <c r="BM7" s="304">
        <v>1</v>
      </c>
      <c r="BN7" s="304">
        <f>32%+BL7</f>
        <v>0.32</v>
      </c>
      <c r="BO7" s="9" t="s">
        <v>306</v>
      </c>
      <c r="BP7" s="302">
        <v>0.11</v>
      </c>
      <c r="BQ7" s="201">
        <v>13</v>
      </c>
      <c r="BR7" s="303">
        <f>49%+BP7</f>
        <v>0.6</v>
      </c>
      <c r="BS7" s="190" t="s">
        <v>307</v>
      </c>
      <c r="BT7" s="304">
        <v>7.4999999999999997E-2</v>
      </c>
      <c r="BU7" s="304">
        <v>1</v>
      </c>
      <c r="BV7" s="304">
        <f>32%+BT7</f>
        <v>0.39500000000000002</v>
      </c>
      <c r="BW7" s="9" t="s">
        <v>308</v>
      </c>
      <c r="BX7" s="302">
        <v>0.13</v>
      </c>
      <c r="BY7" s="201">
        <v>13</v>
      </c>
      <c r="BZ7" s="303">
        <f>60%+BX7</f>
        <v>0.73</v>
      </c>
      <c r="CA7" s="190" t="s">
        <v>309</v>
      </c>
      <c r="CB7" s="304">
        <v>0.15</v>
      </c>
      <c r="CC7" s="304">
        <v>1</v>
      </c>
      <c r="CD7" s="304">
        <f>40%+CB7</f>
        <v>0.55000000000000004</v>
      </c>
      <c r="CE7" s="9" t="s">
        <v>310</v>
      </c>
      <c r="CF7" s="302">
        <v>0.03</v>
      </c>
      <c r="CG7" s="201">
        <v>13</v>
      </c>
      <c r="CH7" s="303">
        <f>73%+CF7</f>
        <v>0.76</v>
      </c>
      <c r="CI7" s="190" t="s">
        <v>311</v>
      </c>
      <c r="CJ7" s="304">
        <v>0.15</v>
      </c>
      <c r="CK7" s="304">
        <v>1</v>
      </c>
      <c r="CL7" s="304">
        <f>55%+CJ7</f>
        <v>0.70000000000000007</v>
      </c>
      <c r="CM7" s="9" t="s">
        <v>312</v>
      </c>
      <c r="CN7" s="302">
        <v>0.03</v>
      </c>
      <c r="CO7" s="201">
        <v>14</v>
      </c>
      <c r="CP7" s="303">
        <v>0.79</v>
      </c>
      <c r="CQ7" s="190" t="s">
        <v>313</v>
      </c>
      <c r="CR7" s="304">
        <v>0</v>
      </c>
      <c r="CS7" s="304">
        <v>1</v>
      </c>
      <c r="CT7" s="304">
        <v>0.7</v>
      </c>
      <c r="CU7" s="9" t="s">
        <v>314</v>
      </c>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row>
    <row r="8" spans="1:137" s="4" customFormat="1" ht="60" x14ac:dyDescent="0.25">
      <c r="A8" s="223"/>
      <c r="B8" s="222"/>
      <c r="C8" s="222"/>
      <c r="D8" s="223"/>
      <c r="E8" s="223"/>
      <c r="F8" s="222"/>
      <c r="G8" s="305" t="s">
        <v>315</v>
      </c>
      <c r="H8" s="8" t="s">
        <v>316</v>
      </c>
      <c r="I8" s="8" t="s">
        <v>317</v>
      </c>
      <c r="J8" s="306"/>
      <c r="K8" s="307"/>
      <c r="L8" s="307"/>
      <c r="M8" s="223"/>
      <c r="N8" s="223"/>
      <c r="O8" s="223"/>
      <c r="P8" s="223"/>
      <c r="Q8" s="223"/>
      <c r="R8" s="223"/>
      <c r="S8" s="223"/>
      <c r="T8" s="305" t="s">
        <v>318</v>
      </c>
      <c r="U8" s="8"/>
      <c r="V8" s="305" t="s">
        <v>51</v>
      </c>
      <c r="W8" s="6">
        <v>0</v>
      </c>
      <c r="X8" s="308">
        <v>1</v>
      </c>
      <c r="Y8" s="309"/>
      <c r="Z8" s="309"/>
      <c r="AA8" s="185"/>
      <c r="AB8" s="310"/>
      <c r="AC8" s="223"/>
      <c r="AD8" s="223"/>
      <c r="AE8" s="223"/>
      <c r="AF8" s="311">
        <v>0</v>
      </c>
      <c r="AG8" s="311">
        <v>1</v>
      </c>
      <c r="AH8" s="311">
        <v>0</v>
      </c>
      <c r="AI8" s="8"/>
      <c r="AJ8" s="310"/>
      <c r="AK8" s="223"/>
      <c r="AL8" s="312"/>
      <c r="AM8" s="223"/>
      <c r="AN8" s="311">
        <v>0.15</v>
      </c>
      <c r="AO8" s="311">
        <v>1</v>
      </c>
      <c r="AP8" s="311">
        <f>AN8</f>
        <v>0.15</v>
      </c>
      <c r="AQ8" s="8" t="s">
        <v>319</v>
      </c>
      <c r="AR8" s="310"/>
      <c r="AS8" s="223"/>
      <c r="AT8" s="312"/>
      <c r="AU8" s="222"/>
      <c r="AV8" s="311">
        <v>7.4999999999999997E-2</v>
      </c>
      <c r="AW8" s="311">
        <v>1</v>
      </c>
      <c r="AX8" s="311">
        <f>AP8+AV8</f>
        <v>0.22499999999999998</v>
      </c>
      <c r="AY8" s="8" t="s">
        <v>320</v>
      </c>
      <c r="AZ8" s="310"/>
      <c r="BA8" s="223"/>
      <c r="BB8" s="312"/>
      <c r="BC8" s="222"/>
      <c r="BD8" s="311">
        <v>0.17</v>
      </c>
      <c r="BE8" s="311">
        <v>1</v>
      </c>
      <c r="BF8" s="311">
        <f>AX8+BD8</f>
        <v>0.39500000000000002</v>
      </c>
      <c r="BG8" s="8" t="s">
        <v>321</v>
      </c>
      <c r="BH8" s="310"/>
      <c r="BI8" s="223"/>
      <c r="BJ8" s="312"/>
      <c r="BK8" s="222"/>
      <c r="BL8" s="311">
        <v>0</v>
      </c>
      <c r="BM8" s="311">
        <v>1</v>
      </c>
      <c r="BN8" s="311">
        <v>0.4</v>
      </c>
      <c r="BO8" s="8" t="s">
        <v>322</v>
      </c>
      <c r="BP8" s="310"/>
      <c r="BQ8" s="223"/>
      <c r="BR8" s="312"/>
      <c r="BS8" s="222"/>
      <c r="BT8" s="311">
        <v>0</v>
      </c>
      <c r="BU8" s="311">
        <v>1</v>
      </c>
      <c r="BV8" s="311">
        <v>0.4</v>
      </c>
      <c r="BW8" s="8" t="s">
        <v>323</v>
      </c>
      <c r="BX8" s="310"/>
      <c r="BY8" s="223"/>
      <c r="BZ8" s="312"/>
      <c r="CA8" s="222"/>
      <c r="CB8" s="311">
        <v>0.05</v>
      </c>
      <c r="CC8" s="311">
        <v>1</v>
      </c>
      <c r="CD8" s="311">
        <f>40%+CB8</f>
        <v>0.45</v>
      </c>
      <c r="CE8" s="8" t="s">
        <v>324</v>
      </c>
      <c r="CF8" s="310"/>
      <c r="CG8" s="223"/>
      <c r="CH8" s="312"/>
      <c r="CI8" s="222"/>
      <c r="CJ8" s="311">
        <v>0.13</v>
      </c>
      <c r="CK8" s="311">
        <v>1</v>
      </c>
      <c r="CL8" s="311">
        <f>45%+CJ8</f>
        <v>0.58000000000000007</v>
      </c>
      <c r="CM8" s="8" t="s">
        <v>325</v>
      </c>
      <c r="CN8" s="310"/>
      <c r="CO8" s="223"/>
      <c r="CP8" s="312"/>
      <c r="CQ8" s="222"/>
      <c r="CR8" s="311">
        <v>0.22</v>
      </c>
      <c r="CS8" s="311">
        <v>1</v>
      </c>
      <c r="CT8" s="311">
        <v>0.7</v>
      </c>
      <c r="CU8" s="8" t="s">
        <v>326</v>
      </c>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row>
    <row r="9" spans="1:137" s="3" customFormat="1" ht="60" x14ac:dyDescent="0.25">
      <c r="A9" s="223"/>
      <c r="B9" s="222"/>
      <c r="C9" s="222"/>
      <c r="D9" s="223"/>
      <c r="E9" s="223"/>
      <c r="F9" s="222"/>
      <c r="G9" s="313" t="s">
        <v>291</v>
      </c>
      <c r="H9" s="87" t="s">
        <v>292</v>
      </c>
      <c r="I9" s="87" t="s">
        <v>327</v>
      </c>
      <c r="J9" s="306"/>
      <c r="K9" s="307"/>
      <c r="L9" s="307"/>
      <c r="M9" s="223"/>
      <c r="N9" s="223"/>
      <c r="O9" s="223"/>
      <c r="P9" s="223"/>
      <c r="Q9" s="223"/>
      <c r="R9" s="223"/>
      <c r="S9" s="223"/>
      <c r="T9" s="297" t="s">
        <v>328</v>
      </c>
      <c r="U9" s="9"/>
      <c r="V9" s="297" t="s">
        <v>51</v>
      </c>
      <c r="W9" s="7">
        <v>0</v>
      </c>
      <c r="X9" s="300">
        <v>1</v>
      </c>
      <c r="Y9" s="309"/>
      <c r="Z9" s="309"/>
      <c r="AA9" s="185"/>
      <c r="AB9" s="310"/>
      <c r="AC9" s="223"/>
      <c r="AD9" s="223"/>
      <c r="AE9" s="223"/>
      <c r="AF9" s="304">
        <v>0</v>
      </c>
      <c r="AG9" s="304">
        <v>1</v>
      </c>
      <c r="AH9" s="304">
        <v>0</v>
      </c>
      <c r="AI9" s="9" t="s">
        <v>329</v>
      </c>
      <c r="AJ9" s="310"/>
      <c r="AK9" s="223"/>
      <c r="AL9" s="312"/>
      <c r="AM9" s="223"/>
      <c r="AN9" s="304">
        <v>0</v>
      </c>
      <c r="AO9" s="304">
        <v>1</v>
      </c>
      <c r="AP9" s="304">
        <v>0</v>
      </c>
      <c r="AQ9" s="9" t="s">
        <v>329</v>
      </c>
      <c r="AR9" s="310"/>
      <c r="AS9" s="223"/>
      <c r="AT9" s="312"/>
      <c r="AU9" s="222"/>
      <c r="AV9" s="304">
        <v>0</v>
      </c>
      <c r="AW9" s="304">
        <v>1</v>
      </c>
      <c r="AX9" s="304">
        <v>0</v>
      </c>
      <c r="AY9" s="9" t="s">
        <v>329</v>
      </c>
      <c r="AZ9" s="310"/>
      <c r="BA9" s="223"/>
      <c r="BB9" s="312"/>
      <c r="BC9" s="222"/>
      <c r="BD9" s="304">
        <v>0.2</v>
      </c>
      <c r="BE9" s="304">
        <v>1</v>
      </c>
      <c r="BF9" s="304">
        <v>0.2</v>
      </c>
      <c r="BG9" s="9" t="s">
        <v>330</v>
      </c>
      <c r="BH9" s="310"/>
      <c r="BI9" s="223"/>
      <c r="BJ9" s="312"/>
      <c r="BK9" s="222"/>
      <c r="BL9" s="304">
        <v>0</v>
      </c>
      <c r="BM9" s="304">
        <v>1</v>
      </c>
      <c r="BN9" s="304">
        <f>20%+BL9</f>
        <v>0.2</v>
      </c>
      <c r="BO9" s="9" t="s">
        <v>331</v>
      </c>
      <c r="BP9" s="310"/>
      <c r="BQ9" s="223"/>
      <c r="BR9" s="312"/>
      <c r="BS9" s="222"/>
      <c r="BT9" s="304">
        <v>0</v>
      </c>
      <c r="BU9" s="304">
        <v>1</v>
      </c>
      <c r="BV9" s="304">
        <f>20%+BT9</f>
        <v>0.2</v>
      </c>
      <c r="BW9" s="9" t="s">
        <v>323</v>
      </c>
      <c r="BX9" s="310"/>
      <c r="BY9" s="223"/>
      <c r="BZ9" s="312"/>
      <c r="CA9" s="222"/>
      <c r="CB9" s="304">
        <v>0.3</v>
      </c>
      <c r="CC9" s="304">
        <v>1</v>
      </c>
      <c r="CD9" s="304">
        <f>20%+CB9</f>
        <v>0.5</v>
      </c>
      <c r="CE9" s="9" t="s">
        <v>332</v>
      </c>
      <c r="CF9" s="310"/>
      <c r="CG9" s="223"/>
      <c r="CH9" s="312"/>
      <c r="CI9" s="222"/>
      <c r="CJ9" s="304">
        <v>0</v>
      </c>
      <c r="CK9" s="304">
        <v>1</v>
      </c>
      <c r="CL9" s="304">
        <v>0.5</v>
      </c>
      <c r="CM9" s="9" t="s">
        <v>333</v>
      </c>
      <c r="CN9" s="310"/>
      <c r="CO9" s="223"/>
      <c r="CP9" s="312"/>
      <c r="CQ9" s="222"/>
      <c r="CR9" s="304">
        <v>0</v>
      </c>
      <c r="CS9" s="304">
        <v>1</v>
      </c>
      <c r="CT9" s="304">
        <v>0.5</v>
      </c>
      <c r="CU9" s="9" t="s">
        <v>334</v>
      </c>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row>
    <row r="10" spans="1:137" s="4" customFormat="1" ht="132" x14ac:dyDescent="0.25">
      <c r="A10" s="223"/>
      <c r="B10" s="222"/>
      <c r="C10" s="222"/>
      <c r="D10" s="223"/>
      <c r="E10" s="223"/>
      <c r="F10" s="222"/>
      <c r="G10" s="305" t="s">
        <v>335</v>
      </c>
      <c r="H10" s="8" t="s">
        <v>336</v>
      </c>
      <c r="I10" s="8" t="s">
        <v>337</v>
      </c>
      <c r="J10" s="306"/>
      <c r="K10" s="307"/>
      <c r="L10" s="307"/>
      <c r="M10" s="223"/>
      <c r="N10" s="223"/>
      <c r="O10" s="223"/>
      <c r="P10" s="223"/>
      <c r="Q10" s="223"/>
      <c r="R10" s="223"/>
      <c r="S10" s="223"/>
      <c r="T10" s="305" t="s">
        <v>338</v>
      </c>
      <c r="U10" s="8"/>
      <c r="V10" s="305" t="s">
        <v>51</v>
      </c>
      <c r="W10" s="6">
        <v>0</v>
      </c>
      <c r="X10" s="308">
        <v>1</v>
      </c>
      <c r="Y10" s="309"/>
      <c r="Z10" s="309"/>
      <c r="AA10" s="185"/>
      <c r="AB10" s="310"/>
      <c r="AC10" s="223"/>
      <c r="AD10" s="223"/>
      <c r="AE10" s="223"/>
      <c r="AF10" s="311">
        <v>0</v>
      </c>
      <c r="AG10" s="311">
        <v>1</v>
      </c>
      <c r="AH10" s="311">
        <v>0</v>
      </c>
      <c r="AI10" s="305"/>
      <c r="AJ10" s="310"/>
      <c r="AK10" s="223"/>
      <c r="AL10" s="312"/>
      <c r="AM10" s="223"/>
      <c r="AN10" s="311">
        <v>0.35</v>
      </c>
      <c r="AO10" s="311">
        <v>1</v>
      </c>
      <c r="AP10" s="311">
        <f>AN10</f>
        <v>0.35</v>
      </c>
      <c r="AQ10" s="8" t="s">
        <v>339</v>
      </c>
      <c r="AR10" s="310"/>
      <c r="AS10" s="223"/>
      <c r="AT10" s="312"/>
      <c r="AU10" s="222"/>
      <c r="AV10" s="311">
        <v>0</v>
      </c>
      <c r="AW10" s="311">
        <v>1</v>
      </c>
      <c r="AX10" s="311">
        <f>AP10+AV10</f>
        <v>0.35</v>
      </c>
      <c r="AY10" s="8" t="s">
        <v>340</v>
      </c>
      <c r="AZ10" s="310"/>
      <c r="BA10" s="223"/>
      <c r="BB10" s="312"/>
      <c r="BC10" s="222"/>
      <c r="BD10" s="311">
        <v>0</v>
      </c>
      <c r="BE10" s="311">
        <v>1</v>
      </c>
      <c r="BF10" s="311">
        <f>AX10+BD10</f>
        <v>0.35</v>
      </c>
      <c r="BG10" s="8"/>
      <c r="BH10" s="310"/>
      <c r="BI10" s="223"/>
      <c r="BJ10" s="312"/>
      <c r="BK10" s="222"/>
      <c r="BL10" s="311">
        <v>0.03</v>
      </c>
      <c r="BM10" s="311">
        <v>1</v>
      </c>
      <c r="BN10" s="311">
        <f>35%+BL10</f>
        <v>0.38</v>
      </c>
      <c r="BO10" s="8" t="s">
        <v>341</v>
      </c>
      <c r="BP10" s="310"/>
      <c r="BQ10" s="223"/>
      <c r="BR10" s="312"/>
      <c r="BS10" s="222"/>
      <c r="BT10" s="311">
        <v>0</v>
      </c>
      <c r="BU10" s="311">
        <v>1</v>
      </c>
      <c r="BV10" s="311">
        <f>38%+BT10</f>
        <v>0.38</v>
      </c>
      <c r="BW10" s="8" t="s">
        <v>323</v>
      </c>
      <c r="BX10" s="310"/>
      <c r="BY10" s="223"/>
      <c r="BZ10" s="312"/>
      <c r="CA10" s="222"/>
      <c r="CB10" s="311">
        <v>0.56999999999999995</v>
      </c>
      <c r="CC10" s="311">
        <v>1</v>
      </c>
      <c r="CD10" s="311">
        <f>38%+CB10</f>
        <v>0.95</v>
      </c>
      <c r="CE10" s="8" t="s">
        <v>342</v>
      </c>
      <c r="CF10" s="310"/>
      <c r="CG10" s="223"/>
      <c r="CH10" s="312"/>
      <c r="CI10" s="222"/>
      <c r="CJ10" s="311">
        <v>0</v>
      </c>
      <c r="CK10" s="311">
        <v>1</v>
      </c>
      <c r="CL10" s="311">
        <v>0.95</v>
      </c>
      <c r="CM10" s="8" t="s">
        <v>343</v>
      </c>
      <c r="CN10" s="310"/>
      <c r="CO10" s="223"/>
      <c r="CP10" s="312"/>
      <c r="CQ10" s="222"/>
      <c r="CR10" s="311">
        <v>0</v>
      </c>
      <c r="CS10" s="311">
        <v>1</v>
      </c>
      <c r="CT10" s="311">
        <v>0.95</v>
      </c>
      <c r="CU10" s="8" t="s">
        <v>344</v>
      </c>
      <c r="CV10" s="5"/>
      <c r="CW10" s="5"/>
      <c r="CX10" s="5"/>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row>
    <row r="11" spans="1:137" s="3" customFormat="1" ht="216" x14ac:dyDescent="0.25">
      <c r="A11" s="223"/>
      <c r="B11" s="222"/>
      <c r="C11" s="222"/>
      <c r="D11" s="223"/>
      <c r="E11" s="223"/>
      <c r="F11" s="222"/>
      <c r="G11" s="313" t="s">
        <v>335</v>
      </c>
      <c r="H11" s="87" t="s">
        <v>336</v>
      </c>
      <c r="I11" s="87" t="s">
        <v>345</v>
      </c>
      <c r="J11" s="306"/>
      <c r="K11" s="307"/>
      <c r="L11" s="307"/>
      <c r="M11" s="223"/>
      <c r="N11" s="223"/>
      <c r="O11" s="223"/>
      <c r="P11" s="223"/>
      <c r="Q11" s="223"/>
      <c r="R11" s="223"/>
      <c r="S11" s="223"/>
      <c r="T11" s="297" t="s">
        <v>346</v>
      </c>
      <c r="U11" s="9"/>
      <c r="V11" s="297" t="s">
        <v>51</v>
      </c>
      <c r="W11" s="7">
        <v>0</v>
      </c>
      <c r="X11" s="300">
        <v>1</v>
      </c>
      <c r="Y11" s="309"/>
      <c r="Z11" s="309"/>
      <c r="AA11" s="185"/>
      <c r="AB11" s="310"/>
      <c r="AC11" s="223"/>
      <c r="AD11" s="223"/>
      <c r="AE11" s="223"/>
      <c r="AF11" s="304">
        <v>0.47</v>
      </c>
      <c r="AG11" s="304">
        <v>1</v>
      </c>
      <c r="AH11" s="304">
        <v>0.47</v>
      </c>
      <c r="AI11" s="9" t="s">
        <v>347</v>
      </c>
      <c r="AJ11" s="310"/>
      <c r="AK11" s="223"/>
      <c r="AL11" s="312"/>
      <c r="AM11" s="223"/>
      <c r="AN11" s="304">
        <v>0.17</v>
      </c>
      <c r="AO11" s="304">
        <v>1</v>
      </c>
      <c r="AP11" s="304">
        <f>AF11+AN11</f>
        <v>0.64</v>
      </c>
      <c r="AQ11" s="9" t="s">
        <v>348</v>
      </c>
      <c r="AR11" s="310"/>
      <c r="AS11" s="223"/>
      <c r="AT11" s="312"/>
      <c r="AU11" s="222"/>
      <c r="AV11" s="304">
        <v>0</v>
      </c>
      <c r="AW11" s="304">
        <v>1</v>
      </c>
      <c r="AX11" s="304">
        <f>AP11+AV11</f>
        <v>0.64</v>
      </c>
      <c r="AY11" s="9" t="s">
        <v>349</v>
      </c>
      <c r="AZ11" s="310"/>
      <c r="BA11" s="223"/>
      <c r="BB11" s="312"/>
      <c r="BC11" s="222"/>
      <c r="BD11" s="304">
        <v>0</v>
      </c>
      <c r="BE11" s="304">
        <v>1</v>
      </c>
      <c r="BF11" s="304">
        <f>AX11+BD11</f>
        <v>0.64</v>
      </c>
      <c r="BG11" s="9"/>
      <c r="BH11" s="310"/>
      <c r="BI11" s="223"/>
      <c r="BJ11" s="312"/>
      <c r="BK11" s="222"/>
      <c r="BL11" s="304">
        <v>0.25</v>
      </c>
      <c r="BM11" s="304">
        <v>1</v>
      </c>
      <c r="BN11" s="304">
        <f>64%+BL11</f>
        <v>0.89</v>
      </c>
      <c r="BO11" s="9" t="s">
        <v>350</v>
      </c>
      <c r="BP11" s="310"/>
      <c r="BQ11" s="223"/>
      <c r="BR11" s="312"/>
      <c r="BS11" s="222"/>
      <c r="BT11" s="304">
        <v>0.11</v>
      </c>
      <c r="BU11" s="304">
        <v>1</v>
      </c>
      <c r="BV11" s="304">
        <f>89%+BT11</f>
        <v>1</v>
      </c>
      <c r="BW11" s="9" t="s">
        <v>351</v>
      </c>
      <c r="BX11" s="310"/>
      <c r="BY11" s="223"/>
      <c r="BZ11" s="312"/>
      <c r="CA11" s="222"/>
      <c r="CB11" s="304">
        <v>0</v>
      </c>
      <c r="CC11" s="304">
        <v>1</v>
      </c>
      <c r="CD11" s="304">
        <v>1</v>
      </c>
      <c r="CE11" s="9" t="s">
        <v>352</v>
      </c>
      <c r="CF11" s="310"/>
      <c r="CG11" s="223"/>
      <c r="CH11" s="312"/>
      <c r="CI11" s="222"/>
      <c r="CJ11" s="304"/>
      <c r="CK11" s="304">
        <v>1</v>
      </c>
      <c r="CL11" s="304">
        <v>1</v>
      </c>
      <c r="CM11" s="9" t="s">
        <v>352</v>
      </c>
      <c r="CN11" s="310"/>
      <c r="CO11" s="223"/>
      <c r="CP11" s="312"/>
      <c r="CQ11" s="222"/>
      <c r="CR11" s="304"/>
      <c r="CS11" s="304">
        <v>1</v>
      </c>
      <c r="CT11" s="304">
        <v>1</v>
      </c>
      <c r="CU11" s="9" t="s">
        <v>353</v>
      </c>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row>
    <row r="12" spans="1:137" s="4" customFormat="1" ht="408" x14ac:dyDescent="0.25">
      <c r="A12" s="223"/>
      <c r="B12" s="222"/>
      <c r="C12" s="222"/>
      <c r="D12" s="223"/>
      <c r="E12" s="223"/>
      <c r="F12" s="222"/>
      <c r="G12" s="305" t="s">
        <v>115</v>
      </c>
      <c r="H12" s="8" t="s">
        <v>354</v>
      </c>
      <c r="I12" s="8" t="s">
        <v>355</v>
      </c>
      <c r="J12" s="306"/>
      <c r="K12" s="307"/>
      <c r="L12" s="307"/>
      <c r="M12" s="223"/>
      <c r="N12" s="223"/>
      <c r="O12" s="223"/>
      <c r="P12" s="223"/>
      <c r="Q12" s="223"/>
      <c r="R12" s="223"/>
      <c r="S12" s="223"/>
      <c r="T12" s="305" t="s">
        <v>356</v>
      </c>
      <c r="U12" s="8"/>
      <c r="V12" s="305" t="s">
        <v>51</v>
      </c>
      <c r="W12" s="6">
        <v>0</v>
      </c>
      <c r="X12" s="308">
        <v>1</v>
      </c>
      <c r="Y12" s="309"/>
      <c r="Z12" s="309"/>
      <c r="AA12" s="185"/>
      <c r="AB12" s="310"/>
      <c r="AC12" s="223"/>
      <c r="AD12" s="223"/>
      <c r="AE12" s="223"/>
      <c r="AF12" s="311">
        <v>0</v>
      </c>
      <c r="AG12" s="311">
        <v>1</v>
      </c>
      <c r="AH12" s="311">
        <v>0</v>
      </c>
      <c r="AI12" s="8" t="s">
        <v>357</v>
      </c>
      <c r="AJ12" s="310"/>
      <c r="AK12" s="223"/>
      <c r="AL12" s="312"/>
      <c r="AM12" s="223"/>
      <c r="AN12" s="311">
        <v>0</v>
      </c>
      <c r="AO12" s="311">
        <v>1</v>
      </c>
      <c r="AP12" s="311">
        <v>0</v>
      </c>
      <c r="AQ12" s="8" t="s">
        <v>358</v>
      </c>
      <c r="AR12" s="310"/>
      <c r="AS12" s="223"/>
      <c r="AT12" s="312"/>
      <c r="AU12" s="222"/>
      <c r="AV12" s="311">
        <v>0.36</v>
      </c>
      <c r="AW12" s="311">
        <v>1</v>
      </c>
      <c r="AX12" s="311">
        <v>0.36</v>
      </c>
      <c r="AY12" s="8" t="s">
        <v>359</v>
      </c>
      <c r="AZ12" s="310"/>
      <c r="BA12" s="223"/>
      <c r="BB12" s="312"/>
      <c r="BC12" s="222"/>
      <c r="BD12" s="311">
        <v>0.14000000000000001</v>
      </c>
      <c r="BE12" s="311">
        <v>1</v>
      </c>
      <c r="BF12" s="311">
        <f>36%+BD12</f>
        <v>0.5</v>
      </c>
      <c r="BG12" s="8" t="s">
        <v>360</v>
      </c>
      <c r="BH12" s="310"/>
      <c r="BI12" s="223"/>
      <c r="BJ12" s="312"/>
      <c r="BK12" s="222"/>
      <c r="BL12" s="311">
        <v>0.11</v>
      </c>
      <c r="BM12" s="311">
        <v>1</v>
      </c>
      <c r="BN12" s="311">
        <f>50%+BL12</f>
        <v>0.61</v>
      </c>
      <c r="BO12" s="8" t="s">
        <v>361</v>
      </c>
      <c r="BP12" s="310"/>
      <c r="BQ12" s="223"/>
      <c r="BR12" s="312"/>
      <c r="BS12" s="222"/>
      <c r="BT12" s="311">
        <v>0.13</v>
      </c>
      <c r="BU12" s="311">
        <v>1</v>
      </c>
      <c r="BV12" s="311">
        <f>61%+BT12</f>
        <v>0.74</v>
      </c>
      <c r="BW12" s="8" t="s">
        <v>362</v>
      </c>
      <c r="BX12" s="310"/>
      <c r="BY12" s="223"/>
      <c r="BZ12" s="312"/>
      <c r="CA12" s="222"/>
      <c r="CB12" s="311">
        <v>0.13</v>
      </c>
      <c r="CC12" s="311">
        <v>1</v>
      </c>
      <c r="CD12" s="311">
        <f>74%+CB12</f>
        <v>0.87</v>
      </c>
      <c r="CE12" s="8" t="s">
        <v>363</v>
      </c>
      <c r="CF12" s="310"/>
      <c r="CG12" s="223"/>
      <c r="CH12" s="312"/>
      <c r="CI12" s="222"/>
      <c r="CJ12" s="311">
        <v>0</v>
      </c>
      <c r="CK12" s="311">
        <v>1</v>
      </c>
      <c r="CL12" s="311">
        <v>0.87</v>
      </c>
      <c r="CM12" s="8" t="s">
        <v>364</v>
      </c>
      <c r="CN12" s="310"/>
      <c r="CO12" s="223"/>
      <c r="CP12" s="312"/>
      <c r="CQ12" s="222"/>
      <c r="CR12" s="311">
        <v>0.03</v>
      </c>
      <c r="CS12" s="311">
        <v>1</v>
      </c>
      <c r="CT12" s="311">
        <v>0.9</v>
      </c>
      <c r="CU12" s="8" t="s">
        <v>365</v>
      </c>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row>
    <row r="13" spans="1:137" s="3" customFormat="1" ht="144" x14ac:dyDescent="0.25">
      <c r="A13" s="202"/>
      <c r="B13" s="191"/>
      <c r="C13" s="191"/>
      <c r="D13" s="202"/>
      <c r="E13" s="202"/>
      <c r="F13" s="191"/>
      <c r="G13" s="313" t="s">
        <v>115</v>
      </c>
      <c r="H13" s="87" t="s">
        <v>366</v>
      </c>
      <c r="I13" s="87" t="s">
        <v>366</v>
      </c>
      <c r="J13" s="306"/>
      <c r="K13" s="307"/>
      <c r="L13" s="314"/>
      <c r="M13" s="223"/>
      <c r="N13" s="223"/>
      <c r="O13" s="315" t="s">
        <v>367</v>
      </c>
      <c r="P13" s="187" t="s">
        <v>368</v>
      </c>
      <c r="Q13" s="187" t="s">
        <v>50</v>
      </c>
      <c r="R13" s="187">
        <v>0</v>
      </c>
      <c r="S13" s="187">
        <v>3</v>
      </c>
      <c r="T13" s="297" t="s">
        <v>369</v>
      </c>
      <c r="U13" s="9"/>
      <c r="V13" s="297" t="s">
        <v>51</v>
      </c>
      <c r="W13" s="7">
        <v>0</v>
      </c>
      <c r="X13" s="300">
        <v>1</v>
      </c>
      <c r="Y13" s="309"/>
      <c r="Z13" s="309"/>
      <c r="AA13" s="185"/>
      <c r="AB13" s="316"/>
      <c r="AC13" s="202"/>
      <c r="AD13" s="202"/>
      <c r="AE13" s="202"/>
      <c r="AF13" s="317">
        <v>7.0000000000000007E-2</v>
      </c>
      <c r="AG13" s="317">
        <v>1</v>
      </c>
      <c r="AH13" s="317">
        <v>7.0000000000000007E-2</v>
      </c>
      <c r="AI13" s="297"/>
      <c r="AJ13" s="187">
        <v>0</v>
      </c>
      <c r="AK13" s="187">
        <v>3</v>
      </c>
      <c r="AL13" s="318">
        <f>AJ13/AK13</f>
        <v>0</v>
      </c>
      <c r="AM13" s="187"/>
      <c r="AN13" s="317">
        <v>7.0000000000000007E-2</v>
      </c>
      <c r="AO13" s="317">
        <v>1</v>
      </c>
      <c r="AP13" s="317">
        <f>AN13</f>
        <v>7.0000000000000007E-2</v>
      </c>
      <c r="AQ13" s="297"/>
      <c r="AR13" s="318">
        <f>AVERAGE(AV13:AV15)</f>
        <v>0.25</v>
      </c>
      <c r="AS13" s="187">
        <v>3</v>
      </c>
      <c r="AT13" s="318">
        <f>AVERAGE(AX13:AX15)</f>
        <v>0.33333333333333331</v>
      </c>
      <c r="AU13" s="187"/>
      <c r="AV13" s="317">
        <v>0.45</v>
      </c>
      <c r="AW13" s="317">
        <v>1</v>
      </c>
      <c r="AX13" s="317">
        <v>0.7</v>
      </c>
      <c r="AY13" s="9" t="s">
        <v>370</v>
      </c>
      <c r="AZ13" s="318">
        <f>AVERAGE(BF13:BF15)</f>
        <v>0.41666666666666657</v>
      </c>
      <c r="BA13" s="187">
        <v>3</v>
      </c>
      <c r="BB13" s="318">
        <f>AVERAGE(BF13:BF15)</f>
        <v>0.41666666666666657</v>
      </c>
      <c r="BC13" s="187"/>
      <c r="BD13" s="317">
        <v>0.1</v>
      </c>
      <c r="BE13" s="317">
        <v>1</v>
      </c>
      <c r="BF13" s="317">
        <f>70%+BD13</f>
        <v>0.79999999999999993</v>
      </c>
      <c r="BG13" s="9" t="s">
        <v>371</v>
      </c>
      <c r="BH13" s="318">
        <v>0.02</v>
      </c>
      <c r="BI13" s="187">
        <v>3</v>
      </c>
      <c r="BJ13" s="318">
        <f>42%+BH13</f>
        <v>0.44</v>
      </c>
      <c r="BK13" s="187"/>
      <c r="BL13" s="317">
        <v>0.05</v>
      </c>
      <c r="BM13" s="317">
        <v>1</v>
      </c>
      <c r="BN13" s="317">
        <f>80%+BL13</f>
        <v>0.85000000000000009</v>
      </c>
      <c r="BO13" s="9" t="s">
        <v>372</v>
      </c>
      <c r="BP13" s="318">
        <v>0.1</v>
      </c>
      <c r="BQ13" s="187">
        <v>3</v>
      </c>
      <c r="BR13" s="318">
        <f>44%+BP13</f>
        <v>0.54</v>
      </c>
      <c r="BS13" s="187"/>
      <c r="BT13" s="317">
        <v>0.05</v>
      </c>
      <c r="BU13" s="317">
        <v>1</v>
      </c>
      <c r="BV13" s="317">
        <f>85%+BT13</f>
        <v>0.9</v>
      </c>
      <c r="BW13" s="9" t="s">
        <v>373</v>
      </c>
      <c r="BX13" s="318">
        <v>0.09</v>
      </c>
      <c r="BY13" s="187">
        <v>3</v>
      </c>
      <c r="BZ13" s="318">
        <f>54%+BX13</f>
        <v>0.63</v>
      </c>
      <c r="CA13" s="187"/>
      <c r="CB13" s="317">
        <v>0.05</v>
      </c>
      <c r="CC13" s="317">
        <v>1</v>
      </c>
      <c r="CD13" s="317">
        <f>90%+CB13</f>
        <v>0.95000000000000007</v>
      </c>
      <c r="CE13" s="9" t="s">
        <v>374</v>
      </c>
      <c r="CF13" s="318">
        <v>0.01</v>
      </c>
      <c r="CG13" s="187">
        <v>3</v>
      </c>
      <c r="CH13" s="318">
        <v>0.64</v>
      </c>
      <c r="CI13" s="187"/>
      <c r="CJ13" s="317">
        <v>0</v>
      </c>
      <c r="CK13" s="317">
        <v>1</v>
      </c>
      <c r="CL13" s="317">
        <v>0.95</v>
      </c>
      <c r="CM13" s="9" t="s">
        <v>333</v>
      </c>
      <c r="CN13" s="318">
        <v>0.1</v>
      </c>
      <c r="CO13" s="187">
        <v>3</v>
      </c>
      <c r="CP13" s="318">
        <v>0.74</v>
      </c>
      <c r="CQ13" s="185" t="s">
        <v>375</v>
      </c>
      <c r="CR13" s="317">
        <v>0</v>
      </c>
      <c r="CS13" s="317">
        <v>1</v>
      </c>
      <c r="CT13" s="317">
        <v>0.95</v>
      </c>
      <c r="CU13" s="9" t="s">
        <v>376</v>
      </c>
      <c r="CV13" s="5"/>
      <c r="CW13" s="5"/>
      <c r="CX13" s="5"/>
      <c r="CY13" s="5"/>
      <c r="CZ13" s="5"/>
      <c r="DA13" s="5"/>
      <c r="DB13" s="5"/>
      <c r="DC13" s="5"/>
      <c r="DD13" s="5"/>
      <c r="DE13" s="5"/>
      <c r="DF13" s="5"/>
      <c r="DG13" s="5"/>
      <c r="DH13" s="5"/>
      <c r="DI13" s="5"/>
      <c r="DJ13" s="5"/>
      <c r="DK13" s="5"/>
      <c r="DL13" s="5"/>
      <c r="DM13" s="5"/>
      <c r="DN13" s="5"/>
      <c r="DO13" s="5"/>
      <c r="DP13" s="5"/>
      <c r="DQ13" s="5"/>
      <c r="DR13" s="5"/>
      <c r="DS13" s="5"/>
      <c r="DT13" s="5"/>
      <c r="DU13" s="5"/>
      <c r="DV13" s="5"/>
      <c r="DW13" s="5"/>
      <c r="DX13" s="5"/>
      <c r="DY13" s="5"/>
      <c r="DZ13" s="5"/>
      <c r="EA13" s="5"/>
      <c r="EB13" s="5"/>
      <c r="EC13" s="5"/>
      <c r="ED13" s="5"/>
      <c r="EE13" s="5"/>
      <c r="EF13" s="5"/>
      <c r="EG13" s="5"/>
    </row>
    <row r="14" spans="1:137" s="4" customFormat="1" ht="144" x14ac:dyDescent="0.25">
      <c r="A14" s="149" t="s">
        <v>98</v>
      </c>
      <c r="B14" s="149" t="s">
        <v>100</v>
      </c>
      <c r="C14" s="149" t="s">
        <v>99</v>
      </c>
      <c r="D14" s="186" t="s">
        <v>377</v>
      </c>
      <c r="E14" s="186" t="s">
        <v>289</v>
      </c>
      <c r="F14" s="149" t="s">
        <v>290</v>
      </c>
      <c r="G14" s="141" t="s">
        <v>378</v>
      </c>
      <c r="H14" s="143" t="s">
        <v>366</v>
      </c>
      <c r="I14" s="143" t="s">
        <v>366</v>
      </c>
      <c r="J14" s="306"/>
      <c r="K14" s="307"/>
      <c r="L14" s="319" t="s">
        <v>296</v>
      </c>
      <c r="M14" s="223"/>
      <c r="N14" s="223"/>
      <c r="O14" s="315"/>
      <c r="P14" s="187"/>
      <c r="Q14" s="187"/>
      <c r="R14" s="187"/>
      <c r="S14" s="187"/>
      <c r="T14" s="305" t="s">
        <v>379</v>
      </c>
      <c r="U14" s="8"/>
      <c r="V14" s="305" t="s">
        <v>51</v>
      </c>
      <c r="W14" s="6">
        <v>0</v>
      </c>
      <c r="X14" s="308">
        <v>1</v>
      </c>
      <c r="Y14" s="309"/>
      <c r="Z14" s="309"/>
      <c r="AA14" s="185"/>
      <c r="AB14" s="186">
        <v>0</v>
      </c>
      <c r="AC14" s="186">
        <v>3</v>
      </c>
      <c r="AD14" s="320">
        <v>0</v>
      </c>
      <c r="AE14" s="186"/>
      <c r="AF14" s="321">
        <v>0</v>
      </c>
      <c r="AG14" s="321">
        <v>1</v>
      </c>
      <c r="AH14" s="321">
        <v>0</v>
      </c>
      <c r="AI14" s="305"/>
      <c r="AJ14" s="187"/>
      <c r="AK14" s="187"/>
      <c r="AL14" s="318"/>
      <c r="AM14" s="187"/>
      <c r="AN14" s="321">
        <v>0</v>
      </c>
      <c r="AO14" s="321">
        <v>1</v>
      </c>
      <c r="AP14" s="321">
        <v>0</v>
      </c>
      <c r="AQ14" s="305"/>
      <c r="AR14" s="187"/>
      <c r="AS14" s="187"/>
      <c r="AT14" s="318"/>
      <c r="AU14" s="187"/>
      <c r="AV14" s="321">
        <v>0.15</v>
      </c>
      <c r="AW14" s="321">
        <v>1</v>
      </c>
      <c r="AX14" s="321">
        <v>0.15</v>
      </c>
      <c r="AY14" s="8" t="s">
        <v>380</v>
      </c>
      <c r="AZ14" s="187"/>
      <c r="BA14" s="187"/>
      <c r="BB14" s="318"/>
      <c r="BC14" s="187"/>
      <c r="BD14" s="321">
        <v>0.1</v>
      </c>
      <c r="BE14" s="321">
        <v>1</v>
      </c>
      <c r="BF14" s="321">
        <f>15%+BD14</f>
        <v>0.25</v>
      </c>
      <c r="BG14" s="8" t="s">
        <v>381</v>
      </c>
      <c r="BH14" s="187"/>
      <c r="BI14" s="187"/>
      <c r="BJ14" s="318"/>
      <c r="BK14" s="187"/>
      <c r="BL14" s="321">
        <v>0.02</v>
      </c>
      <c r="BM14" s="321">
        <v>1</v>
      </c>
      <c r="BN14" s="321">
        <f>25%+BL14</f>
        <v>0.27</v>
      </c>
      <c r="BO14" s="8" t="s">
        <v>382</v>
      </c>
      <c r="BP14" s="187"/>
      <c r="BQ14" s="187"/>
      <c r="BR14" s="318"/>
      <c r="BS14" s="187"/>
      <c r="BT14" s="321">
        <v>0.2</v>
      </c>
      <c r="BU14" s="321">
        <v>1</v>
      </c>
      <c r="BV14" s="321">
        <f>27%+BT14</f>
        <v>0.47000000000000003</v>
      </c>
      <c r="BW14" s="8" t="s">
        <v>383</v>
      </c>
      <c r="BX14" s="187"/>
      <c r="BY14" s="187"/>
      <c r="BZ14" s="318"/>
      <c r="CA14" s="187"/>
      <c r="CB14" s="321">
        <v>0.16</v>
      </c>
      <c r="CC14" s="321">
        <v>1</v>
      </c>
      <c r="CD14" s="321">
        <f>47%+CB14</f>
        <v>0.63</v>
      </c>
      <c r="CE14" s="8" t="s">
        <v>384</v>
      </c>
      <c r="CF14" s="187"/>
      <c r="CG14" s="187"/>
      <c r="CH14" s="318"/>
      <c r="CI14" s="187"/>
      <c r="CJ14" s="321">
        <v>0.05</v>
      </c>
      <c r="CK14" s="321">
        <v>1</v>
      </c>
      <c r="CL14" s="321">
        <f>63%+CJ14</f>
        <v>0.68</v>
      </c>
      <c r="CM14" s="8" t="s">
        <v>385</v>
      </c>
      <c r="CN14" s="187"/>
      <c r="CO14" s="187"/>
      <c r="CP14" s="318"/>
      <c r="CQ14" s="185"/>
      <c r="CR14" s="321">
        <v>0</v>
      </c>
      <c r="CS14" s="321">
        <v>1</v>
      </c>
      <c r="CT14" s="321">
        <v>0.68</v>
      </c>
      <c r="CU14" s="8" t="s">
        <v>376</v>
      </c>
      <c r="CV14" s="5"/>
      <c r="CW14" s="5"/>
      <c r="CX14" s="5"/>
      <c r="CY14" s="5"/>
      <c r="CZ14" s="5"/>
      <c r="DA14" s="5"/>
      <c r="DB14" s="5"/>
      <c r="DC14" s="5"/>
      <c r="DD14" s="5"/>
      <c r="DE14" s="5"/>
      <c r="DF14" s="5"/>
      <c r="DG14" s="5"/>
      <c r="DH14" s="5"/>
      <c r="DI14" s="5"/>
      <c r="DJ14" s="5"/>
      <c r="DK14" s="5"/>
      <c r="DL14" s="5"/>
      <c r="DM14" s="5"/>
      <c r="DN14" s="5"/>
      <c r="DO14" s="5"/>
      <c r="DP14" s="5"/>
      <c r="DQ14" s="5"/>
      <c r="DR14" s="5"/>
      <c r="DS14" s="5"/>
      <c r="DT14" s="5"/>
      <c r="DU14" s="5"/>
      <c r="DV14" s="5"/>
      <c r="DW14" s="5"/>
      <c r="DX14" s="5"/>
      <c r="DY14" s="5"/>
      <c r="DZ14" s="5"/>
      <c r="EA14" s="5"/>
      <c r="EB14" s="5"/>
      <c r="EC14" s="5"/>
      <c r="ED14" s="5"/>
      <c r="EE14" s="5"/>
      <c r="EF14" s="5"/>
      <c r="EG14" s="5"/>
    </row>
    <row r="15" spans="1:137" s="3" customFormat="1" ht="60" x14ac:dyDescent="0.25">
      <c r="A15" s="188"/>
      <c r="B15" s="150"/>
      <c r="C15" s="150"/>
      <c r="D15" s="188"/>
      <c r="E15" s="188"/>
      <c r="F15" s="150"/>
      <c r="G15" s="142"/>
      <c r="H15" s="144"/>
      <c r="I15" s="144"/>
      <c r="J15" s="306"/>
      <c r="K15" s="307"/>
      <c r="L15" s="322"/>
      <c r="M15" s="223"/>
      <c r="N15" s="223"/>
      <c r="O15" s="323"/>
      <c r="P15" s="188"/>
      <c r="Q15" s="188"/>
      <c r="R15" s="188"/>
      <c r="S15" s="188"/>
      <c r="T15" s="297" t="s">
        <v>386</v>
      </c>
      <c r="U15" s="9"/>
      <c r="V15" s="297" t="s">
        <v>51</v>
      </c>
      <c r="W15" s="7">
        <v>0</v>
      </c>
      <c r="X15" s="300">
        <v>1</v>
      </c>
      <c r="Y15" s="309"/>
      <c r="Z15" s="309"/>
      <c r="AA15" s="185"/>
      <c r="AB15" s="188"/>
      <c r="AC15" s="188"/>
      <c r="AD15" s="188"/>
      <c r="AE15" s="188"/>
      <c r="AF15" s="317">
        <v>0</v>
      </c>
      <c r="AG15" s="317">
        <v>1</v>
      </c>
      <c r="AH15" s="317">
        <v>0</v>
      </c>
      <c r="AI15" s="297"/>
      <c r="AJ15" s="188"/>
      <c r="AK15" s="188"/>
      <c r="AL15" s="324"/>
      <c r="AM15" s="188"/>
      <c r="AN15" s="317">
        <v>0</v>
      </c>
      <c r="AO15" s="317">
        <v>1</v>
      </c>
      <c r="AP15" s="317">
        <v>0</v>
      </c>
      <c r="AQ15" s="297"/>
      <c r="AR15" s="188"/>
      <c r="AS15" s="188"/>
      <c r="AT15" s="324"/>
      <c r="AU15" s="188"/>
      <c r="AV15" s="317">
        <v>0.15</v>
      </c>
      <c r="AW15" s="317">
        <v>1</v>
      </c>
      <c r="AX15" s="317">
        <v>0.15</v>
      </c>
      <c r="AY15" s="9" t="s">
        <v>387</v>
      </c>
      <c r="AZ15" s="188"/>
      <c r="BA15" s="188"/>
      <c r="BB15" s="324"/>
      <c r="BC15" s="188"/>
      <c r="BD15" s="317">
        <v>0.05</v>
      </c>
      <c r="BE15" s="317">
        <v>1</v>
      </c>
      <c r="BF15" s="317">
        <f>15%+BD15</f>
        <v>0.2</v>
      </c>
      <c r="BG15" s="9" t="s">
        <v>388</v>
      </c>
      <c r="BH15" s="188"/>
      <c r="BI15" s="188"/>
      <c r="BJ15" s="324"/>
      <c r="BK15" s="188"/>
      <c r="BL15" s="317">
        <v>0</v>
      </c>
      <c r="BM15" s="317">
        <v>1</v>
      </c>
      <c r="BN15" s="317">
        <f>20%+BL15</f>
        <v>0.2</v>
      </c>
      <c r="BO15" s="9"/>
      <c r="BP15" s="188"/>
      <c r="BQ15" s="188"/>
      <c r="BR15" s="324"/>
      <c r="BS15" s="188"/>
      <c r="BT15" s="317">
        <v>0.05</v>
      </c>
      <c r="BU15" s="317">
        <v>1</v>
      </c>
      <c r="BV15" s="317">
        <f>20%+BT15</f>
        <v>0.25</v>
      </c>
      <c r="BW15" s="9" t="s">
        <v>389</v>
      </c>
      <c r="BX15" s="188"/>
      <c r="BY15" s="188"/>
      <c r="BZ15" s="324"/>
      <c r="CA15" s="188"/>
      <c r="CB15" s="317">
        <v>0.05</v>
      </c>
      <c r="CC15" s="317">
        <v>1</v>
      </c>
      <c r="CD15" s="317">
        <f>25%+CB15</f>
        <v>0.3</v>
      </c>
      <c r="CE15" s="9" t="s">
        <v>390</v>
      </c>
      <c r="CF15" s="188"/>
      <c r="CG15" s="188"/>
      <c r="CH15" s="324"/>
      <c r="CI15" s="188"/>
      <c r="CJ15" s="317">
        <v>0</v>
      </c>
      <c r="CK15" s="317">
        <v>1</v>
      </c>
      <c r="CL15" s="317">
        <v>0.3</v>
      </c>
      <c r="CM15" s="9" t="s">
        <v>333</v>
      </c>
      <c r="CN15" s="188"/>
      <c r="CO15" s="188"/>
      <c r="CP15" s="324"/>
      <c r="CQ15" s="150"/>
      <c r="CR15" s="317">
        <v>0.3</v>
      </c>
      <c r="CS15" s="317">
        <v>1</v>
      </c>
      <c r="CT15" s="317">
        <v>0.6</v>
      </c>
      <c r="CU15" s="9" t="s">
        <v>391</v>
      </c>
      <c r="CV15" s="5"/>
      <c r="CW15" s="5"/>
      <c r="CX15" s="5"/>
      <c r="CY15" s="5"/>
      <c r="CZ15" s="5"/>
      <c r="DA15" s="5"/>
      <c r="DB15" s="5"/>
      <c r="DC15" s="5"/>
      <c r="DD15" s="5"/>
      <c r="DE15" s="5"/>
      <c r="DF15" s="5"/>
      <c r="DG15" s="5"/>
      <c r="DH15" s="5"/>
      <c r="DI15" s="5"/>
      <c r="DJ15" s="5"/>
      <c r="DK15" s="5"/>
      <c r="DL15" s="5"/>
      <c r="DM15" s="5"/>
      <c r="DN15" s="5"/>
      <c r="DO15" s="5"/>
      <c r="DP15" s="5"/>
      <c r="DQ15" s="5"/>
      <c r="DR15" s="5"/>
      <c r="DS15" s="5"/>
      <c r="DT15" s="5"/>
      <c r="DU15" s="5"/>
      <c r="DV15" s="5"/>
      <c r="DW15" s="5"/>
      <c r="DX15" s="5"/>
      <c r="DY15" s="5"/>
      <c r="DZ15" s="5"/>
      <c r="EA15" s="5"/>
      <c r="EB15" s="5"/>
      <c r="EC15" s="5"/>
      <c r="ED15" s="5"/>
      <c r="EE15" s="5"/>
      <c r="EF15" s="5"/>
      <c r="EG15" s="5"/>
    </row>
    <row r="16" spans="1:137" s="4" customFormat="1" ht="60" x14ac:dyDescent="0.25">
      <c r="A16" s="10" t="s">
        <v>98</v>
      </c>
      <c r="B16" s="10" t="s">
        <v>100</v>
      </c>
      <c r="C16" s="10" t="s">
        <v>99</v>
      </c>
      <c r="D16" s="7" t="s">
        <v>288</v>
      </c>
      <c r="E16" s="7" t="s">
        <v>289</v>
      </c>
      <c r="F16" s="10" t="s">
        <v>290</v>
      </c>
      <c r="G16" s="297" t="s">
        <v>291</v>
      </c>
      <c r="H16" s="18" t="s">
        <v>392</v>
      </c>
      <c r="I16" s="18" t="s">
        <v>393</v>
      </c>
      <c r="J16" s="306"/>
      <c r="K16" s="307"/>
      <c r="L16" s="325" t="s">
        <v>394</v>
      </c>
      <c r="M16" s="223"/>
      <c r="N16" s="223"/>
      <c r="O16" s="326" t="s">
        <v>395</v>
      </c>
      <c r="P16" s="9" t="s">
        <v>395</v>
      </c>
      <c r="Q16" s="7" t="s">
        <v>50</v>
      </c>
      <c r="R16" s="7">
        <v>0</v>
      </c>
      <c r="S16" s="7">
        <v>11</v>
      </c>
      <c r="T16" s="297"/>
      <c r="U16" s="297"/>
      <c r="V16" s="297"/>
      <c r="W16" s="297"/>
      <c r="X16" s="297"/>
      <c r="Y16" s="309"/>
      <c r="Z16" s="309"/>
      <c r="AA16" s="185"/>
      <c r="AB16" s="327">
        <v>0</v>
      </c>
      <c r="AC16" s="7">
        <v>12</v>
      </c>
      <c r="AD16" s="304">
        <f>AB16/S16</f>
        <v>0</v>
      </c>
      <c r="AE16" s="328"/>
      <c r="AF16" s="328"/>
      <c r="AG16" s="329"/>
      <c r="AH16" s="328"/>
      <c r="AI16" s="328"/>
      <c r="AJ16" s="327">
        <v>1</v>
      </c>
      <c r="AK16" s="7">
        <v>12</v>
      </c>
      <c r="AL16" s="304">
        <f>AJ16/AK16</f>
        <v>8.3333333333333329E-2</v>
      </c>
      <c r="AM16" s="297"/>
      <c r="AN16" s="328"/>
      <c r="AO16" s="329"/>
      <c r="AP16" s="328"/>
      <c r="AQ16" s="328"/>
      <c r="AR16" s="327">
        <v>2</v>
      </c>
      <c r="AS16" s="7">
        <v>11</v>
      </c>
      <c r="AT16" s="304">
        <f>AR16/AS16</f>
        <v>0.18181818181818182</v>
      </c>
      <c r="AU16" s="297"/>
      <c r="AV16" s="328"/>
      <c r="AW16" s="329"/>
      <c r="AX16" s="328"/>
      <c r="AY16" s="328"/>
      <c r="AZ16" s="327">
        <v>3</v>
      </c>
      <c r="BA16" s="7">
        <v>11</v>
      </c>
      <c r="BB16" s="304">
        <f>AZ16/BA16</f>
        <v>0.27272727272727271</v>
      </c>
      <c r="BC16" s="297"/>
      <c r="BD16" s="328"/>
      <c r="BE16" s="329"/>
      <c r="BF16" s="328"/>
      <c r="BG16" s="328"/>
      <c r="BH16" s="327">
        <v>5</v>
      </c>
      <c r="BI16" s="7">
        <v>11</v>
      </c>
      <c r="BJ16" s="304">
        <f>BH16/BI16</f>
        <v>0.45454545454545453</v>
      </c>
      <c r="BK16" s="297"/>
      <c r="BL16" s="328"/>
      <c r="BM16" s="329"/>
      <c r="BN16" s="328"/>
      <c r="BO16" s="328"/>
      <c r="BP16" s="327">
        <v>5</v>
      </c>
      <c r="BQ16" s="7">
        <v>11</v>
      </c>
      <c r="BR16" s="304">
        <f>BP16/BQ16</f>
        <v>0.45454545454545453</v>
      </c>
      <c r="BS16" s="9" t="s">
        <v>396</v>
      </c>
      <c r="BT16" s="328"/>
      <c r="BU16" s="329"/>
      <c r="BV16" s="328"/>
      <c r="BW16" s="328"/>
      <c r="BX16" s="327">
        <v>6</v>
      </c>
      <c r="BY16" s="7">
        <v>11</v>
      </c>
      <c r="BZ16" s="304">
        <f>BX16/BY16</f>
        <v>0.54545454545454541</v>
      </c>
      <c r="CA16" s="9" t="s">
        <v>397</v>
      </c>
      <c r="CB16" s="328"/>
      <c r="CC16" s="329"/>
      <c r="CD16" s="328"/>
      <c r="CE16" s="328"/>
      <c r="CF16" s="327">
        <v>7</v>
      </c>
      <c r="CG16" s="7">
        <v>11</v>
      </c>
      <c r="CH16" s="304">
        <f>CF16/CG16</f>
        <v>0.63636363636363635</v>
      </c>
      <c r="CI16" s="9" t="s">
        <v>398</v>
      </c>
      <c r="CJ16" s="328"/>
      <c r="CK16" s="329"/>
      <c r="CL16" s="328"/>
      <c r="CM16" s="328"/>
      <c r="CN16" s="327">
        <v>8</v>
      </c>
      <c r="CO16" s="7">
        <v>11</v>
      </c>
      <c r="CP16" s="304">
        <f>CN16/CO16</f>
        <v>0.72727272727272729</v>
      </c>
      <c r="CQ16" s="9"/>
      <c r="CR16" s="328"/>
      <c r="CS16" s="329"/>
      <c r="CT16" s="328"/>
      <c r="CU16" s="328"/>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row>
    <row r="17" spans="1:137" s="4" customFormat="1" ht="204" x14ac:dyDescent="0.25">
      <c r="A17" s="330" t="s">
        <v>98</v>
      </c>
      <c r="B17" s="330" t="s">
        <v>100</v>
      </c>
      <c r="C17" s="330" t="s">
        <v>99</v>
      </c>
      <c r="D17" s="6" t="s">
        <v>288</v>
      </c>
      <c r="E17" s="6" t="s">
        <v>289</v>
      </c>
      <c r="F17" s="330" t="s">
        <v>290</v>
      </c>
      <c r="G17" s="8" t="s">
        <v>115</v>
      </c>
      <c r="H17" s="19" t="s">
        <v>366</v>
      </c>
      <c r="I17" s="19" t="s">
        <v>366</v>
      </c>
      <c r="J17" s="306"/>
      <c r="K17" s="307"/>
      <c r="L17" s="331" t="s">
        <v>296</v>
      </c>
      <c r="M17" s="223"/>
      <c r="N17" s="223"/>
      <c r="O17" s="332" t="s">
        <v>399</v>
      </c>
      <c r="P17" s="8"/>
      <c r="Q17" s="6" t="s">
        <v>51</v>
      </c>
      <c r="R17" s="6">
        <v>0</v>
      </c>
      <c r="S17" s="308">
        <v>1</v>
      </c>
      <c r="T17" s="305"/>
      <c r="U17" s="305"/>
      <c r="V17" s="305"/>
      <c r="W17" s="305"/>
      <c r="X17" s="305"/>
      <c r="Y17" s="309"/>
      <c r="Z17" s="309"/>
      <c r="AA17" s="185"/>
      <c r="AB17" s="311">
        <v>0</v>
      </c>
      <c r="AC17" s="311">
        <v>1</v>
      </c>
      <c r="AD17" s="308">
        <f>AB17</f>
        <v>0</v>
      </c>
      <c r="AE17" s="328"/>
      <c r="AF17" s="328"/>
      <c r="AG17" s="329"/>
      <c r="AH17" s="328"/>
      <c r="AI17" s="328"/>
      <c r="AJ17" s="311">
        <v>0.17</v>
      </c>
      <c r="AK17" s="311">
        <v>1</v>
      </c>
      <c r="AL17" s="308">
        <f>AJ17</f>
        <v>0.17</v>
      </c>
      <c r="AM17" s="9" t="s">
        <v>400</v>
      </c>
      <c r="AN17" s="328"/>
      <c r="AO17" s="329"/>
      <c r="AP17" s="328"/>
      <c r="AQ17" s="328"/>
      <c r="AR17" s="311">
        <v>0.1</v>
      </c>
      <c r="AS17" s="311">
        <v>1</v>
      </c>
      <c r="AT17" s="308">
        <f>AL17+AR17</f>
        <v>0.27</v>
      </c>
      <c r="AU17" s="9" t="s">
        <v>401</v>
      </c>
      <c r="AV17" s="328"/>
      <c r="AW17" s="329"/>
      <c r="AX17" s="328"/>
      <c r="AY17" s="328"/>
      <c r="AZ17" s="311">
        <v>0.03</v>
      </c>
      <c r="BA17" s="311">
        <v>1</v>
      </c>
      <c r="BB17" s="308">
        <f>AT17+AZ17</f>
        <v>0.30000000000000004</v>
      </c>
      <c r="BC17" s="9" t="s">
        <v>402</v>
      </c>
      <c r="BD17" s="328"/>
      <c r="BE17" s="329"/>
      <c r="BF17" s="328"/>
      <c r="BG17" s="328"/>
      <c r="BH17" s="311">
        <v>0.06</v>
      </c>
      <c r="BI17" s="311">
        <v>1</v>
      </c>
      <c r="BJ17" s="308">
        <f>30%+BH17</f>
        <v>0.36</v>
      </c>
      <c r="BK17" s="9" t="s">
        <v>403</v>
      </c>
      <c r="BL17" s="328"/>
      <c r="BM17" s="329"/>
      <c r="BN17" s="328"/>
      <c r="BO17" s="328"/>
      <c r="BP17" s="311">
        <v>0.06</v>
      </c>
      <c r="BQ17" s="311">
        <v>1</v>
      </c>
      <c r="BR17" s="308">
        <f>36%+BP17</f>
        <v>0.42</v>
      </c>
      <c r="BS17" s="9" t="s">
        <v>404</v>
      </c>
      <c r="BT17" s="328"/>
      <c r="BU17" s="329"/>
      <c r="BV17" s="328"/>
      <c r="BW17" s="328"/>
      <c r="BX17" s="311">
        <v>0.03</v>
      </c>
      <c r="BY17" s="311">
        <v>1</v>
      </c>
      <c r="BZ17" s="308">
        <f>42%+BX17</f>
        <v>0.44999999999999996</v>
      </c>
      <c r="CA17" s="9" t="s">
        <v>405</v>
      </c>
      <c r="CB17" s="328"/>
      <c r="CC17" s="329"/>
      <c r="CD17" s="328"/>
      <c r="CE17" s="328"/>
      <c r="CF17" s="311">
        <v>0.05</v>
      </c>
      <c r="CG17" s="311">
        <v>1</v>
      </c>
      <c r="CH17" s="308">
        <f>45%+CF17</f>
        <v>0.5</v>
      </c>
      <c r="CI17" s="9" t="s">
        <v>406</v>
      </c>
      <c r="CJ17" s="328"/>
      <c r="CK17" s="329"/>
      <c r="CL17" s="328"/>
      <c r="CM17" s="328"/>
      <c r="CN17" s="311">
        <v>0.06</v>
      </c>
      <c r="CO17" s="311">
        <v>1</v>
      </c>
      <c r="CP17" s="308">
        <v>0.56000000000000005</v>
      </c>
      <c r="CQ17" s="9" t="s">
        <v>407</v>
      </c>
      <c r="CR17" s="328"/>
      <c r="CS17" s="329"/>
      <c r="CT17" s="328"/>
      <c r="CU17" s="328"/>
      <c r="CV17" s="5"/>
      <c r="CW17" s="5"/>
      <c r="CX17" s="5"/>
      <c r="CY17" s="5"/>
      <c r="CZ17" s="5"/>
      <c r="DA17" s="5"/>
      <c r="DB17" s="5"/>
      <c r="DC17" s="5"/>
      <c r="DD17" s="5"/>
      <c r="DE17" s="5"/>
      <c r="DF17" s="5"/>
      <c r="DG17" s="5"/>
      <c r="DH17" s="5"/>
      <c r="DI17" s="5"/>
      <c r="DJ17" s="5"/>
      <c r="DK17" s="5"/>
      <c r="DL17" s="5"/>
      <c r="DM17" s="5"/>
      <c r="DN17" s="5"/>
      <c r="DO17" s="5"/>
      <c r="DP17" s="5"/>
      <c r="DQ17" s="5"/>
      <c r="DR17" s="5"/>
      <c r="DS17" s="5"/>
      <c r="DT17" s="5"/>
      <c r="DU17" s="5"/>
      <c r="DV17" s="5"/>
      <c r="DW17" s="5"/>
      <c r="DX17" s="5"/>
      <c r="DY17" s="5"/>
      <c r="DZ17" s="5"/>
      <c r="EA17" s="5"/>
      <c r="EB17" s="5"/>
      <c r="EC17" s="5"/>
      <c r="ED17" s="5"/>
      <c r="EE17" s="5"/>
      <c r="EF17" s="5"/>
      <c r="EG17" s="5"/>
    </row>
    <row r="18" spans="1:137" s="3" customFormat="1" ht="60.75" thickBot="1" x14ac:dyDescent="0.3">
      <c r="A18" s="10" t="s">
        <v>98</v>
      </c>
      <c r="B18" s="10" t="s">
        <v>100</v>
      </c>
      <c r="C18" s="10" t="s">
        <v>99</v>
      </c>
      <c r="D18" s="10" t="s">
        <v>288</v>
      </c>
      <c r="E18" s="7" t="s">
        <v>289</v>
      </c>
      <c r="F18" s="10" t="s">
        <v>408</v>
      </c>
      <c r="G18" s="297" t="s">
        <v>335</v>
      </c>
      <c r="H18" s="18" t="s">
        <v>336</v>
      </c>
      <c r="I18" s="18" t="s">
        <v>409</v>
      </c>
      <c r="J18" s="333"/>
      <c r="K18" s="314"/>
      <c r="L18" s="325" t="s">
        <v>410</v>
      </c>
      <c r="M18" s="202"/>
      <c r="N18" s="202"/>
      <c r="O18" s="334" t="s">
        <v>411</v>
      </c>
      <c r="P18" s="9"/>
      <c r="Q18" s="7" t="s">
        <v>51</v>
      </c>
      <c r="R18" s="7">
        <v>0</v>
      </c>
      <c r="S18" s="300">
        <v>1</v>
      </c>
      <c r="T18" s="297" t="s">
        <v>412</v>
      </c>
      <c r="U18" s="297" t="s">
        <v>413</v>
      </c>
      <c r="V18" s="297" t="s">
        <v>50</v>
      </c>
      <c r="W18" s="7">
        <v>0</v>
      </c>
      <c r="X18" s="7">
        <v>1</v>
      </c>
      <c r="Y18" s="335"/>
      <c r="Z18" s="335"/>
      <c r="AA18" s="185"/>
      <c r="AB18" s="336">
        <v>0</v>
      </c>
      <c r="AC18" s="336">
        <v>1</v>
      </c>
      <c r="AD18" s="337">
        <f>AB18</f>
        <v>0</v>
      </c>
      <c r="AE18" s="338"/>
      <c r="AF18" s="93">
        <v>0</v>
      </c>
      <c r="AG18" s="336">
        <v>1</v>
      </c>
      <c r="AH18" s="336">
        <f>AF18/X18</f>
        <v>0</v>
      </c>
      <c r="AI18" s="297"/>
      <c r="AJ18" s="336">
        <v>0</v>
      </c>
      <c r="AK18" s="336">
        <v>1</v>
      </c>
      <c r="AL18" s="337">
        <f>AJ18</f>
        <v>0</v>
      </c>
      <c r="AM18" s="338"/>
      <c r="AN18" s="336">
        <v>0</v>
      </c>
      <c r="AO18" s="336">
        <v>1</v>
      </c>
      <c r="AP18" s="336">
        <f>AN18</f>
        <v>0</v>
      </c>
      <c r="AQ18" s="297"/>
      <c r="AR18" s="336">
        <v>0</v>
      </c>
      <c r="AS18" s="336">
        <v>1</v>
      </c>
      <c r="AT18" s="337">
        <f>AR18</f>
        <v>0</v>
      </c>
      <c r="AU18" s="338"/>
      <c r="AV18" s="336">
        <v>0</v>
      </c>
      <c r="AW18" s="336">
        <v>1</v>
      </c>
      <c r="AX18" s="336">
        <f>AV18</f>
        <v>0</v>
      </c>
      <c r="AY18" s="297"/>
      <c r="AZ18" s="336">
        <v>0</v>
      </c>
      <c r="BA18" s="336">
        <v>1</v>
      </c>
      <c r="BB18" s="337">
        <f>AZ18</f>
        <v>0</v>
      </c>
      <c r="BC18" s="338"/>
      <c r="BD18" s="336">
        <v>0</v>
      </c>
      <c r="BE18" s="336">
        <v>1</v>
      </c>
      <c r="BF18" s="336">
        <f>BD18</f>
        <v>0</v>
      </c>
      <c r="BG18" s="297"/>
      <c r="BH18" s="336">
        <v>0.11</v>
      </c>
      <c r="BI18" s="336">
        <v>1</v>
      </c>
      <c r="BJ18" s="337">
        <f>BH18</f>
        <v>0.11</v>
      </c>
      <c r="BK18" s="338"/>
      <c r="BL18" s="336">
        <v>0</v>
      </c>
      <c r="BM18" s="336">
        <v>1</v>
      </c>
      <c r="BN18" s="336">
        <v>0</v>
      </c>
      <c r="BO18" s="297"/>
      <c r="BP18" s="336">
        <v>0.11</v>
      </c>
      <c r="BQ18" s="336">
        <v>1</v>
      </c>
      <c r="BR18" s="339">
        <f>11%+BP18</f>
        <v>0.22</v>
      </c>
      <c r="BS18" s="338"/>
      <c r="BT18" s="336">
        <v>0</v>
      </c>
      <c r="BU18" s="336">
        <v>1</v>
      </c>
      <c r="BV18" s="336">
        <v>0</v>
      </c>
      <c r="BW18" s="297"/>
      <c r="BX18" s="336"/>
      <c r="BY18" s="336">
        <v>1</v>
      </c>
      <c r="BZ18" s="339">
        <f>22%+BX18</f>
        <v>0.22</v>
      </c>
      <c r="CA18" s="338" t="s">
        <v>414</v>
      </c>
      <c r="CB18" s="336"/>
      <c r="CC18" s="336">
        <v>1</v>
      </c>
      <c r="CD18" s="336">
        <v>0</v>
      </c>
      <c r="CE18" s="297"/>
      <c r="CF18" s="336"/>
      <c r="CG18" s="336">
        <v>1</v>
      </c>
      <c r="CH18" s="339">
        <v>0.22</v>
      </c>
      <c r="CI18" s="338" t="s">
        <v>415</v>
      </c>
      <c r="CJ18" s="336">
        <v>0</v>
      </c>
      <c r="CK18" s="336">
        <v>1</v>
      </c>
      <c r="CL18" s="336">
        <v>0</v>
      </c>
      <c r="CM18" s="297" t="s">
        <v>416</v>
      </c>
      <c r="CN18" s="336"/>
      <c r="CO18" s="336">
        <v>1</v>
      </c>
      <c r="CP18" s="339">
        <v>0.47</v>
      </c>
      <c r="CQ18" s="338"/>
      <c r="CR18" s="336"/>
      <c r="CS18" s="336">
        <v>1</v>
      </c>
      <c r="CT18" s="336">
        <v>0</v>
      </c>
      <c r="CU18" s="297"/>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row>
    <row r="19" spans="1:137" ht="32.25" thickBot="1" x14ac:dyDescent="0.3">
      <c r="AB19" s="340"/>
      <c r="AC19" s="341"/>
      <c r="AD19" s="342">
        <f>AVERAGE(AD7:AD18)</f>
        <v>0</v>
      </c>
      <c r="AE19" s="343" t="s">
        <v>417</v>
      </c>
      <c r="AF19" s="341"/>
      <c r="AG19" s="341"/>
      <c r="AH19" s="342">
        <f>(AH7+AH8+AH9+AH10+AH11+AH12+AH13+AH14+AH15+AH18)/10</f>
        <v>6.3999999999999987E-2</v>
      </c>
      <c r="AJ19" s="344" t="s">
        <v>418</v>
      </c>
      <c r="AK19" s="345"/>
      <c r="AL19" s="342">
        <f>AVERAGE(AL7:AL18)</f>
        <v>7.0666666666666683E-2</v>
      </c>
      <c r="AN19" s="346" t="s">
        <v>417</v>
      </c>
      <c r="AO19" s="347"/>
      <c r="AP19" s="342">
        <f>(AP7+AP8+AP10+AP11+AP12+AP13+AP14+AP15+AP18)/9</f>
        <v>0.14555555555555555</v>
      </c>
      <c r="AR19" s="344" t="s">
        <v>418</v>
      </c>
      <c r="AS19" s="345"/>
      <c r="AT19" s="342">
        <f>AVERAGE(AT6:AT17)</f>
        <v>0.26920454545454547</v>
      </c>
      <c r="AV19" s="346" t="s">
        <v>417</v>
      </c>
      <c r="AW19" s="347"/>
      <c r="AX19" s="342">
        <f>(AX7+AX8+AX10+AX11+AX12+AX13+AX14+AX15+AX18)/9</f>
        <v>0.30555555555555558</v>
      </c>
      <c r="AZ19" s="344" t="s">
        <v>13</v>
      </c>
      <c r="BA19" s="346"/>
      <c r="BB19" s="348">
        <f>AVERAGE(BB7:BB18)</f>
        <v>0.27554545454545454</v>
      </c>
      <c r="BD19" s="344" t="s">
        <v>14</v>
      </c>
      <c r="BE19" s="346"/>
      <c r="BF19" s="349">
        <f>(BF18+BF15+BF14+BF13+BF12+BF11+BF10+BF9+BF8+BF7)/9</f>
        <v>0.39777777777777784</v>
      </c>
      <c r="BH19" s="344" t="s">
        <v>13</v>
      </c>
      <c r="BI19" s="346"/>
      <c r="BJ19" s="348">
        <f>AVERAGE(BJ7:BJ18)</f>
        <v>0.37090909090909097</v>
      </c>
      <c r="BL19" s="344" t="s">
        <v>14</v>
      </c>
      <c r="BM19" s="346"/>
      <c r="BN19" s="349">
        <f>AVERAGE(BN18,BN14:BN15,BN11:BN13,BN7:BN10)</f>
        <v>0.41200000000000003</v>
      </c>
      <c r="BP19" s="344" t="s">
        <v>13</v>
      </c>
      <c r="BQ19" s="346"/>
      <c r="BR19" s="348">
        <f>AVERAGE(BR7:BR18)</f>
        <v>0.44690909090909098</v>
      </c>
      <c r="BT19" s="344" t="s">
        <v>14</v>
      </c>
      <c r="BU19" s="346"/>
      <c r="BV19" s="349">
        <f>AVERAGE(BV18,BV14:BV15,BV11:BV13,BV7:BV10)</f>
        <v>0.47350000000000003</v>
      </c>
      <c r="BZ19" s="348">
        <f>AVERAGE(BZ7:BZ17)</f>
        <v>0.58886363636363637</v>
      </c>
      <c r="CB19" s="344" t="s">
        <v>14</v>
      </c>
      <c r="CC19" s="346"/>
      <c r="CD19" s="349">
        <f>AVERAGE(CD18,CD14:CD15,CD11:CD13,CD7:CD10)</f>
        <v>0.62</v>
      </c>
      <c r="CG19" s="350" t="s">
        <v>418</v>
      </c>
      <c r="CH19" s="348">
        <f>AVERAGE(CH7:CH17)</f>
        <v>0.63409090909090904</v>
      </c>
      <c r="CJ19" s="344" t="s">
        <v>14</v>
      </c>
      <c r="CK19" s="346"/>
      <c r="CL19" s="349">
        <f>AVERAGE(CL18,CL14:CL15,CL11:CL13,CL7:CL10)</f>
        <v>0.65300000000000002</v>
      </c>
      <c r="CO19" s="350" t="s">
        <v>418</v>
      </c>
      <c r="CP19" s="348">
        <f>AVERAGE(CP7:CP18)</f>
        <v>0.6574545454545454</v>
      </c>
      <c r="CR19" s="344" t="s">
        <v>14</v>
      </c>
      <c r="CS19" s="346"/>
      <c r="CT19" s="349">
        <f>AVERAGE(CT18,CT14:CT15,CT11:CT13,CT7:CT10)</f>
        <v>0.69800000000000006</v>
      </c>
    </row>
  </sheetData>
  <sheetProtection algorithmName="SHA-512" hashValue="75Dv/z5Ucw39ybOi5ShxaZ+BdaviMhNAHZjLnECTXHtbjvzoFN0YN6vjhksCNIAX28T/eBWbKmG28CzyUKS6tw==" saltValue="ML2Zi2WoaKR/hYssQkBsAg==" spinCount="100000" sheet="1" objects="1" scenarios="1" selectLockedCells="1" selectUnlockedCells="1"/>
  <mergeCells count="153">
    <mergeCell ref="CJ19:CK19"/>
    <mergeCell ref="CR19:CS19"/>
    <mergeCell ref="B3:I3"/>
    <mergeCell ref="BD19:BE19"/>
    <mergeCell ref="BH19:BI19"/>
    <mergeCell ref="BL19:BM19"/>
    <mergeCell ref="BP19:BQ19"/>
    <mergeCell ref="BT19:BU19"/>
    <mergeCell ref="CB19:CC19"/>
    <mergeCell ref="AE14:AE15"/>
    <mergeCell ref="AJ19:AK19"/>
    <mergeCell ref="AN19:AO19"/>
    <mergeCell ref="AR19:AS19"/>
    <mergeCell ref="AV19:AW19"/>
    <mergeCell ref="AZ19:BA19"/>
    <mergeCell ref="G14:G15"/>
    <mergeCell ref="H14:H15"/>
    <mergeCell ref="I14:I15"/>
    <mergeCell ref="L14:L15"/>
    <mergeCell ref="AB14:AB15"/>
    <mergeCell ref="AC14:AC15"/>
    <mergeCell ref="CN13:CN15"/>
    <mergeCell ref="CO13:CO15"/>
    <mergeCell ref="CP13:CP15"/>
    <mergeCell ref="CQ13:CQ15"/>
    <mergeCell ref="A14:A15"/>
    <mergeCell ref="B14:B15"/>
    <mergeCell ref="C14:C15"/>
    <mergeCell ref="D14:D15"/>
    <mergeCell ref="E14:E15"/>
    <mergeCell ref="F14:F15"/>
    <mergeCell ref="BZ13:BZ15"/>
    <mergeCell ref="CA13:CA15"/>
    <mergeCell ref="CF13:CF15"/>
    <mergeCell ref="CG13:CG15"/>
    <mergeCell ref="CH13:CH15"/>
    <mergeCell ref="CI13:CI15"/>
    <mergeCell ref="BP13:BP15"/>
    <mergeCell ref="BQ13:BQ15"/>
    <mergeCell ref="BR13:BR15"/>
    <mergeCell ref="BS13:BS15"/>
    <mergeCell ref="BX13:BX15"/>
    <mergeCell ref="BY13:BY15"/>
    <mergeCell ref="BB13:BB15"/>
    <mergeCell ref="BC13:BC15"/>
    <mergeCell ref="BH13:BH15"/>
    <mergeCell ref="BI13:BI15"/>
    <mergeCell ref="BJ13:BJ15"/>
    <mergeCell ref="BK13:BK15"/>
    <mergeCell ref="AR13:AR15"/>
    <mergeCell ref="AS13:AS15"/>
    <mergeCell ref="AT13:AT15"/>
    <mergeCell ref="AU13:AU15"/>
    <mergeCell ref="AZ13:AZ15"/>
    <mergeCell ref="BA13:BA15"/>
    <mergeCell ref="CN7:CN12"/>
    <mergeCell ref="CO7:CO12"/>
    <mergeCell ref="CP7:CP12"/>
    <mergeCell ref="CQ7:CQ12"/>
    <mergeCell ref="O13:O15"/>
    <mergeCell ref="P13:P15"/>
    <mergeCell ref="Q13:Q15"/>
    <mergeCell ref="R13:R15"/>
    <mergeCell ref="S13:S15"/>
    <mergeCell ref="AJ13:AJ15"/>
    <mergeCell ref="BZ7:BZ12"/>
    <mergeCell ref="CA7:CA12"/>
    <mergeCell ref="CF7:CF12"/>
    <mergeCell ref="CG7:CG12"/>
    <mergeCell ref="CH7:CH12"/>
    <mergeCell ref="CI7:CI12"/>
    <mergeCell ref="BP7:BP12"/>
    <mergeCell ref="BQ7:BQ12"/>
    <mergeCell ref="BR7:BR12"/>
    <mergeCell ref="BS7:BS12"/>
    <mergeCell ref="BX7:BX12"/>
    <mergeCell ref="BY7:BY12"/>
    <mergeCell ref="BB7:BB12"/>
    <mergeCell ref="BC7:BC12"/>
    <mergeCell ref="BH7:BH12"/>
    <mergeCell ref="BI7:BI12"/>
    <mergeCell ref="BJ7:BJ12"/>
    <mergeCell ref="BK7:BK12"/>
    <mergeCell ref="AR7:AR12"/>
    <mergeCell ref="AS7:AS12"/>
    <mergeCell ref="AT7:AT12"/>
    <mergeCell ref="AU7:AU12"/>
    <mergeCell ref="AZ7:AZ12"/>
    <mergeCell ref="BA7:BA12"/>
    <mergeCell ref="AD7:AD13"/>
    <mergeCell ref="AE7:AE13"/>
    <mergeCell ref="AJ7:AJ12"/>
    <mergeCell ref="AK7:AK12"/>
    <mergeCell ref="AL7:AL12"/>
    <mergeCell ref="AM7:AM12"/>
    <mergeCell ref="AK13:AK15"/>
    <mergeCell ref="AL13:AL15"/>
    <mergeCell ref="AM13:AM15"/>
    <mergeCell ref="AD14:AD15"/>
    <mergeCell ref="S7:S12"/>
    <mergeCell ref="Y7:Y18"/>
    <mergeCell ref="Z7:Z18"/>
    <mergeCell ref="AA7:AA18"/>
    <mergeCell ref="AB7:AB13"/>
    <mergeCell ref="AC7:AC13"/>
    <mergeCell ref="M7:M18"/>
    <mergeCell ref="N7:N18"/>
    <mergeCell ref="O7:O12"/>
    <mergeCell ref="P7:P12"/>
    <mergeCell ref="Q7:Q12"/>
    <mergeCell ref="R7:R12"/>
    <mergeCell ref="CS5:CU5"/>
    <mergeCell ref="A7:A13"/>
    <mergeCell ref="B7:B13"/>
    <mergeCell ref="C7:C13"/>
    <mergeCell ref="D7:D13"/>
    <mergeCell ref="E7:E13"/>
    <mergeCell ref="F7:F13"/>
    <mergeCell ref="J7:J18"/>
    <mergeCell ref="K7:K18"/>
    <mergeCell ref="L7:L13"/>
    <mergeCell ref="BT5:BW5"/>
    <mergeCell ref="BX5:CB5"/>
    <mergeCell ref="CC5:CE5"/>
    <mergeCell ref="CG5:CI5"/>
    <mergeCell ref="CK5:CM5"/>
    <mergeCell ref="CO5:CQ5"/>
    <mergeCell ref="AV5:AY5"/>
    <mergeCell ref="AZ5:BC5"/>
    <mergeCell ref="BD5:BG5"/>
    <mergeCell ref="BH5:BK5"/>
    <mergeCell ref="BL5:BO5"/>
    <mergeCell ref="BP5:BS5"/>
    <mergeCell ref="BH4:BO4"/>
    <mergeCell ref="BP4:BW4"/>
    <mergeCell ref="BX4:CE4"/>
    <mergeCell ref="CF4:CM4"/>
    <mergeCell ref="CN4:CU4"/>
    <mergeCell ref="A5:C5"/>
    <mergeCell ref="D5:F5"/>
    <mergeCell ref="G5:I5"/>
    <mergeCell ref="J5:L5"/>
    <mergeCell ref="AB5:AE5"/>
    <mergeCell ref="C2:O2"/>
    <mergeCell ref="M4:M5"/>
    <mergeCell ref="AB4:AI4"/>
    <mergeCell ref="AJ4:AQ4"/>
    <mergeCell ref="AR4:AY4"/>
    <mergeCell ref="AZ4:BG4"/>
    <mergeCell ref="AF5:AI5"/>
    <mergeCell ref="AJ5:AM5"/>
    <mergeCell ref="AN5:AQ5"/>
    <mergeCell ref="AR5:AU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31FEF-7A62-4662-ABA9-024AA73C5D43}">
  <sheetPr>
    <tabColor rgb="FFFF0000"/>
  </sheetPr>
  <dimension ref="A1:CU18"/>
  <sheetViews>
    <sheetView workbookViewId="0">
      <selection activeCell="CP13" sqref="CP13"/>
    </sheetView>
  </sheetViews>
  <sheetFormatPr baseColWidth="10" defaultRowHeight="22.5" customHeight="1" x14ac:dyDescent="0.25"/>
  <cols>
    <col min="1" max="1" width="22.42578125" style="5" customWidth="1"/>
    <col min="2" max="2" width="26.85546875" style="5" customWidth="1"/>
    <col min="3" max="3" width="47.85546875" style="5" customWidth="1"/>
    <col min="4" max="4" width="21.28515625" style="5" customWidth="1"/>
    <col min="5" max="5" width="16" style="5" customWidth="1"/>
    <col min="6" max="6" width="53" style="5" bestFit="1" customWidth="1"/>
    <col min="7" max="7" width="43.42578125" style="5" bestFit="1" customWidth="1"/>
    <col min="8" max="8" width="17.140625" style="5" customWidth="1"/>
    <col min="9" max="9" width="16.140625" style="5" customWidth="1"/>
    <col min="10" max="10" width="29.140625" style="5" bestFit="1" customWidth="1"/>
    <col min="11" max="11" width="20" style="5" customWidth="1"/>
    <col min="12" max="12" width="17.28515625" style="5" customWidth="1"/>
    <col min="13" max="13" width="16.85546875" style="5" customWidth="1"/>
    <col min="14" max="14" width="15.85546875" style="5" customWidth="1"/>
    <col min="15" max="15" width="56.42578125" style="5" customWidth="1"/>
    <col min="16" max="16" width="28.7109375" style="5" customWidth="1"/>
    <col min="17" max="17" width="16.28515625" style="5" customWidth="1"/>
    <col min="18" max="18" width="9.42578125" style="5" customWidth="1"/>
    <col min="19" max="19" width="16.28515625" style="5" customWidth="1"/>
    <col min="20" max="20" width="56.28515625" style="5" customWidth="1"/>
    <col min="21" max="21" width="27.140625" style="5" bestFit="1" customWidth="1"/>
    <col min="22" max="22" width="17.140625" style="5" bestFit="1" customWidth="1"/>
    <col min="23" max="23" width="10.28515625" style="5" bestFit="1" customWidth="1"/>
    <col min="24" max="24" width="26" style="5" bestFit="1" customWidth="1"/>
    <col min="25" max="25" width="15.140625" style="5" bestFit="1" customWidth="1"/>
    <col min="26" max="26" width="14.85546875" style="5" bestFit="1" customWidth="1"/>
    <col min="27" max="27" width="20.28515625" style="5" bestFit="1" customWidth="1"/>
    <col min="28" max="28" width="24.28515625" style="5" hidden="1" customWidth="1"/>
    <col min="29" max="29" width="15.7109375" style="5" hidden="1" customWidth="1"/>
    <col min="30" max="30" width="27.85546875" style="5" hidden="1" customWidth="1"/>
    <col min="31" max="31" width="25" style="5" hidden="1" customWidth="1"/>
    <col min="32" max="32" width="23.28515625" style="5" hidden="1" customWidth="1"/>
    <col min="33" max="33" width="10" style="5" hidden="1" customWidth="1"/>
    <col min="34" max="34" width="17.5703125" style="5" hidden="1" customWidth="1"/>
    <col min="35" max="35" width="24.28515625" style="5" hidden="1" customWidth="1"/>
    <col min="36" max="36" width="0" style="5" hidden="1" customWidth="1"/>
    <col min="37" max="37" width="14.42578125" style="5" hidden="1" customWidth="1"/>
    <col min="38" max="38" width="22.5703125" style="5" hidden="1" customWidth="1"/>
    <col min="39" max="39" width="31" style="5" hidden="1" customWidth="1"/>
    <col min="40" max="41" width="0" style="5" hidden="1" customWidth="1"/>
    <col min="42" max="42" width="23.7109375" style="5" hidden="1" customWidth="1"/>
    <col min="43" max="43" width="28.5703125" style="5" hidden="1" customWidth="1"/>
    <col min="44" max="44" width="16" style="5" hidden="1" customWidth="1"/>
    <col min="45" max="45" width="15.28515625" style="5" hidden="1" customWidth="1"/>
    <col min="46" max="46" width="16" style="5" hidden="1" customWidth="1"/>
    <col min="47" max="47" width="34.28515625" style="5" hidden="1" customWidth="1"/>
    <col min="48" max="50" width="0" style="5" hidden="1" customWidth="1"/>
    <col min="51" max="51" width="24.7109375" style="5" hidden="1" customWidth="1"/>
    <col min="52" max="53" width="0" style="5" hidden="1" customWidth="1"/>
    <col min="54" max="54" width="17" style="5" hidden="1" customWidth="1"/>
    <col min="55" max="55" width="23.85546875" style="5" hidden="1" customWidth="1"/>
    <col min="56" max="56" width="0" style="5" hidden="1" customWidth="1"/>
    <col min="57" max="57" width="20.85546875" style="5" hidden="1" customWidth="1"/>
    <col min="58" max="58" width="21.42578125" style="5" hidden="1" customWidth="1"/>
    <col min="59" max="59" width="22.7109375" style="5" hidden="1" customWidth="1"/>
    <col min="60" max="62" width="0" style="5" hidden="1" customWidth="1"/>
    <col min="63" max="63" width="21.85546875" style="5" hidden="1" customWidth="1"/>
    <col min="64" max="64" width="0" style="5" hidden="1" customWidth="1"/>
    <col min="65" max="65" width="12" style="5" hidden="1" customWidth="1"/>
    <col min="66" max="66" width="0" style="5" hidden="1" customWidth="1"/>
    <col min="67" max="67" width="30.140625" style="5" hidden="1" customWidth="1"/>
    <col min="68" max="70" width="0" style="5" hidden="1" customWidth="1"/>
    <col min="71" max="71" width="21.85546875" style="5" hidden="1" customWidth="1"/>
    <col min="72" max="72" width="0" style="5" hidden="1" customWidth="1"/>
    <col min="73" max="73" width="12" style="5" hidden="1" customWidth="1"/>
    <col min="74" max="74" width="0" style="5" hidden="1" customWidth="1"/>
    <col min="75" max="75" width="30.140625" style="5" hidden="1" customWidth="1"/>
    <col min="76" max="78" width="0" style="5" hidden="1" customWidth="1"/>
    <col min="79" max="79" width="27.7109375" style="5" hidden="1" customWidth="1"/>
    <col min="80" max="80" width="0" style="5" hidden="1" customWidth="1"/>
    <col min="81" max="81" width="12" style="5" hidden="1" customWidth="1"/>
    <col min="82" max="82" width="0" style="5" hidden="1" customWidth="1"/>
    <col min="83" max="83" width="35.28515625" style="5" hidden="1" customWidth="1"/>
    <col min="84" max="86" width="0" style="5" hidden="1" customWidth="1"/>
    <col min="87" max="87" width="32.5703125" style="5" hidden="1" customWidth="1"/>
    <col min="88" max="90" width="0" style="5" hidden="1" customWidth="1"/>
    <col min="91" max="91" width="28.85546875" style="5" hidden="1" customWidth="1"/>
    <col min="92" max="92" width="31.85546875" style="5" customWidth="1"/>
    <col min="93" max="93" width="23.28515625" style="5" customWidth="1"/>
    <col min="94" max="94" width="19.5703125" style="5" customWidth="1"/>
    <col min="95" max="95" width="47.85546875" style="5" customWidth="1"/>
    <col min="96" max="96" width="18.85546875" style="5" customWidth="1"/>
    <col min="97" max="97" width="11.42578125" style="5"/>
    <col min="98" max="98" width="24.140625" style="5" customWidth="1"/>
    <col min="99" max="99" width="43.28515625" style="5" customWidth="1"/>
    <col min="100" max="16384" width="11.42578125" style="5"/>
  </cols>
  <sheetData>
    <row r="1" spans="1:99" s="273" customFormat="1" ht="22.5" customHeight="1" x14ac:dyDescent="0.25">
      <c r="A1" s="17"/>
      <c r="B1" s="17"/>
      <c r="C1" s="17"/>
      <c r="D1" s="17"/>
      <c r="E1" s="17"/>
      <c r="F1" s="17"/>
      <c r="G1" s="17"/>
      <c r="H1" s="17"/>
      <c r="I1" s="17"/>
      <c r="J1" s="17"/>
      <c r="K1" s="17"/>
      <c r="L1" s="17"/>
      <c r="M1" s="17"/>
      <c r="N1" s="17"/>
      <c r="O1" s="17"/>
      <c r="P1" s="17"/>
      <c r="Q1" s="17"/>
      <c r="R1" s="17"/>
      <c r="S1" s="39"/>
      <c r="T1" s="17"/>
      <c r="U1" s="17"/>
      <c r="V1" s="17"/>
      <c r="W1" s="17"/>
      <c r="X1" s="17"/>
      <c r="Y1" s="17"/>
      <c r="Z1" s="17"/>
      <c r="AA1" s="17"/>
      <c r="AB1" s="17"/>
      <c r="AC1" s="39"/>
      <c r="AD1" s="39"/>
      <c r="AE1" s="17"/>
      <c r="AF1" s="17"/>
      <c r="AG1" s="1160" t="s">
        <v>0</v>
      </c>
      <c r="AH1" s="1160"/>
      <c r="AI1" s="1161">
        <v>43458</v>
      </c>
    </row>
    <row r="2" spans="1:99" s="273" customFormat="1" ht="33.75" customHeight="1" x14ac:dyDescent="0.25">
      <c r="A2" s="17"/>
      <c r="B2" s="17"/>
      <c r="C2" s="1162" t="s">
        <v>1</v>
      </c>
      <c r="D2" s="1162"/>
      <c r="E2" s="1162"/>
      <c r="F2" s="1162"/>
      <c r="G2" s="1162"/>
      <c r="H2" s="1162"/>
      <c r="I2" s="1162"/>
      <c r="J2" s="1162"/>
      <c r="K2" s="1162"/>
      <c r="L2" s="1162"/>
      <c r="M2" s="1162"/>
      <c r="N2" s="1162"/>
      <c r="O2" s="1162"/>
      <c r="P2" s="17"/>
      <c r="Q2" s="17"/>
      <c r="R2" s="17"/>
      <c r="S2" s="39"/>
      <c r="T2" s="17"/>
      <c r="U2" s="17"/>
      <c r="V2" s="17"/>
      <c r="W2" s="17"/>
      <c r="X2" s="17"/>
      <c r="Y2" s="17"/>
      <c r="Z2" s="17"/>
      <c r="AA2" s="17"/>
      <c r="AB2" s="17"/>
      <c r="AC2" s="39"/>
      <c r="AD2" s="39"/>
      <c r="AE2" s="17"/>
      <c r="AF2" s="17"/>
      <c r="AG2" s="1160" t="s">
        <v>2</v>
      </c>
      <c r="AH2" s="1160"/>
      <c r="AI2" s="274">
        <v>5</v>
      </c>
    </row>
    <row r="3" spans="1:99" s="273" customFormat="1" ht="35.25" customHeight="1" thickBot="1" x14ac:dyDescent="0.3">
      <c r="A3" s="17"/>
      <c r="B3" s="17"/>
      <c r="C3" s="17"/>
      <c r="D3" s="17"/>
      <c r="E3" s="17"/>
      <c r="F3" s="17"/>
      <c r="G3" s="17"/>
      <c r="H3" s="17"/>
      <c r="I3" s="17"/>
      <c r="J3" s="17"/>
      <c r="K3" s="17"/>
      <c r="L3" s="17"/>
      <c r="M3" s="17"/>
      <c r="N3" s="17"/>
      <c r="O3" s="17"/>
      <c r="P3" s="17"/>
      <c r="Q3" s="17"/>
      <c r="R3" s="17"/>
      <c r="S3" s="39"/>
      <c r="T3" s="17"/>
      <c r="U3" s="17"/>
      <c r="V3" s="17"/>
      <c r="W3" s="17"/>
      <c r="X3" s="17"/>
      <c r="Y3" s="17"/>
      <c r="Z3" s="17"/>
      <c r="AA3" s="17"/>
      <c r="AB3" s="17"/>
      <c r="AC3" s="39"/>
      <c r="AD3" s="39"/>
      <c r="AE3" s="17"/>
      <c r="AF3" s="17"/>
      <c r="AG3" s="1163" t="s">
        <v>3</v>
      </c>
      <c r="AH3" s="1163"/>
      <c r="AI3" s="1164" t="s">
        <v>4</v>
      </c>
    </row>
    <row r="4" spans="1:99" customFormat="1" ht="22.5" customHeight="1" x14ac:dyDescent="0.25">
      <c r="A4" s="351"/>
      <c r="B4" s="351"/>
      <c r="C4" s="351"/>
      <c r="D4" s="351"/>
      <c r="E4" s="351"/>
      <c r="F4" s="351"/>
      <c r="G4" s="351"/>
      <c r="H4" s="351"/>
      <c r="I4" s="351"/>
      <c r="J4" s="351"/>
      <c r="K4" s="351"/>
      <c r="L4" s="351"/>
      <c r="M4" s="259" t="s">
        <v>5</v>
      </c>
      <c r="N4" s="351"/>
      <c r="O4" s="351"/>
      <c r="P4" s="351"/>
      <c r="Q4" s="351"/>
      <c r="R4" s="351"/>
      <c r="S4" s="351"/>
      <c r="T4" s="351"/>
      <c r="U4" s="351"/>
      <c r="V4" s="351"/>
      <c r="W4" s="351"/>
      <c r="X4" s="351"/>
      <c r="Y4" s="353" t="s">
        <v>6</v>
      </c>
      <c r="Z4" s="1042"/>
      <c r="AA4" s="354"/>
      <c r="AB4" s="353" t="s">
        <v>658</v>
      </c>
      <c r="AC4" s="1042"/>
      <c r="AD4" s="1042"/>
      <c r="AE4" s="1042"/>
      <c r="AF4" s="1042"/>
      <c r="AG4" s="1042"/>
      <c r="AH4" s="1042"/>
      <c r="AI4" s="1042"/>
      <c r="AZ4" s="1">
        <v>783</v>
      </c>
      <c r="BA4" s="1043">
        <f>+AZ4/BA7</f>
        <v>0.34043478260869564</v>
      </c>
      <c r="BD4" s="1">
        <v>607</v>
      </c>
      <c r="BE4" s="1044">
        <f>+BD4/BE7</f>
        <v>0.87971014492753619</v>
      </c>
      <c r="BH4">
        <v>1082</v>
      </c>
      <c r="BI4" s="1044">
        <f>+BH4/BI7</f>
        <v>0.47043478260869565</v>
      </c>
      <c r="BL4">
        <v>862</v>
      </c>
      <c r="BM4" s="1043">
        <f>+BL4/BM7</f>
        <v>1.2492753623188406</v>
      </c>
      <c r="BP4">
        <v>1251</v>
      </c>
      <c r="BQ4" s="1044">
        <f>+BP4/BQ7</f>
        <v>0.35641025641025642</v>
      </c>
      <c r="BT4">
        <v>862</v>
      </c>
      <c r="BU4" s="1043">
        <f>+BT4/BU7</f>
        <v>0.4536842105263158</v>
      </c>
      <c r="BX4">
        <f>+BX7+BP4</f>
        <v>1668</v>
      </c>
      <c r="BY4" s="1044">
        <f>+BX4/BY7</f>
        <v>0.47521367521367519</v>
      </c>
      <c r="CB4">
        <f>+BT4+CB7</f>
        <v>1196</v>
      </c>
      <c r="CC4" s="1043">
        <f>+CB4/CC7</f>
        <v>0.6294736842105263</v>
      </c>
      <c r="CF4">
        <f>+BX4+CF7</f>
        <v>1856</v>
      </c>
      <c r="CG4">
        <f>+CF4/CG7</f>
        <v>0.52877492877492882</v>
      </c>
      <c r="CN4" s="261" t="s">
        <v>427</v>
      </c>
      <c r="CO4" s="262"/>
      <c r="CP4" s="262"/>
      <c r="CQ4" s="262"/>
      <c r="CR4" s="262"/>
      <c r="CS4" s="262"/>
      <c r="CT4" s="262"/>
      <c r="CU4" s="263"/>
    </row>
    <row r="5" spans="1:99" customFormat="1" ht="22.5" customHeight="1" x14ac:dyDescent="0.25">
      <c r="A5" s="264" t="s">
        <v>7</v>
      </c>
      <c r="B5" s="264"/>
      <c r="C5" s="264"/>
      <c r="D5" s="265" t="s">
        <v>8</v>
      </c>
      <c r="E5" s="266"/>
      <c r="F5" s="267"/>
      <c r="G5" s="265" t="s">
        <v>9</v>
      </c>
      <c r="H5" s="266"/>
      <c r="I5" s="267"/>
      <c r="J5" s="265" t="s">
        <v>10</v>
      </c>
      <c r="K5" s="266"/>
      <c r="L5" s="267"/>
      <c r="M5" s="260"/>
      <c r="N5" s="103"/>
      <c r="O5" s="103"/>
      <c r="P5" s="103"/>
      <c r="Q5" s="103"/>
      <c r="R5" s="103"/>
      <c r="S5" s="103"/>
      <c r="T5" s="103" t="s">
        <v>11</v>
      </c>
      <c r="U5" s="103"/>
      <c r="V5" s="103"/>
      <c r="W5" s="103"/>
      <c r="X5" s="103"/>
      <c r="Y5" s="103"/>
      <c r="Z5" s="103"/>
      <c r="AA5" s="103" t="s">
        <v>12</v>
      </c>
      <c r="AB5" s="265" t="s">
        <v>1180</v>
      </c>
      <c r="AC5" s="266"/>
      <c r="AD5" s="266"/>
      <c r="AE5" s="267"/>
      <c r="AF5" s="265" t="s">
        <v>1181</v>
      </c>
      <c r="AG5" s="266"/>
      <c r="AH5" s="266"/>
      <c r="AI5" s="267"/>
      <c r="AJ5" s="265" t="s">
        <v>1182</v>
      </c>
      <c r="AK5" s="266"/>
      <c r="AL5" s="266"/>
      <c r="AM5" s="267"/>
      <c r="AN5" s="265" t="s">
        <v>1183</v>
      </c>
      <c r="AO5" s="266"/>
      <c r="AP5" s="266"/>
      <c r="AQ5" s="266"/>
      <c r="AR5" s="265" t="s">
        <v>1184</v>
      </c>
      <c r="AS5" s="266"/>
      <c r="AT5" s="266"/>
      <c r="AU5" s="267"/>
      <c r="AV5" s="265" t="s">
        <v>1185</v>
      </c>
      <c r="AW5" s="266"/>
      <c r="AX5" s="266"/>
      <c r="AY5" s="266"/>
      <c r="AZ5" s="265" t="s">
        <v>1186</v>
      </c>
      <c r="BA5" s="266"/>
      <c r="BB5" s="266"/>
      <c r="BC5" s="267"/>
      <c r="BD5" s="265" t="s">
        <v>1187</v>
      </c>
      <c r="BE5" s="266"/>
      <c r="BF5" s="266"/>
      <c r="BG5" s="266"/>
      <c r="BH5" s="265" t="s">
        <v>1188</v>
      </c>
      <c r="BI5" s="266"/>
      <c r="BJ5" s="266"/>
      <c r="BK5" s="267"/>
      <c r="BL5" s="265" t="s">
        <v>1189</v>
      </c>
      <c r="BM5" s="266"/>
      <c r="BN5" s="266"/>
      <c r="BO5" s="266"/>
      <c r="BP5" s="265" t="s">
        <v>1190</v>
      </c>
      <c r="BQ5" s="266"/>
      <c r="BR5" s="266"/>
      <c r="BS5" s="267"/>
      <c r="BT5" s="265" t="s">
        <v>1191</v>
      </c>
      <c r="BU5" s="266"/>
      <c r="BV5" s="266"/>
      <c r="BW5" s="266"/>
      <c r="BX5" s="265" t="s">
        <v>1192</v>
      </c>
      <c r="BY5" s="266"/>
      <c r="BZ5" s="266"/>
      <c r="CA5" s="267"/>
      <c r="CB5" s="265" t="s">
        <v>1193</v>
      </c>
      <c r="CC5" s="266"/>
      <c r="CD5" s="266"/>
      <c r="CE5" s="266"/>
      <c r="CF5" s="265" t="s">
        <v>1194</v>
      </c>
      <c r="CG5" s="266"/>
      <c r="CH5" s="266"/>
      <c r="CI5" s="267"/>
      <c r="CJ5" s="265" t="s">
        <v>1195</v>
      </c>
      <c r="CK5" s="266"/>
      <c r="CL5" s="266"/>
      <c r="CM5" s="266"/>
      <c r="CN5" s="265" t="s">
        <v>1196</v>
      </c>
      <c r="CO5" s="266"/>
      <c r="CP5" s="266"/>
      <c r="CQ5" s="267"/>
      <c r="CR5" s="265" t="s">
        <v>1197</v>
      </c>
      <c r="CS5" s="266"/>
      <c r="CT5" s="266"/>
      <c r="CU5" s="266"/>
    </row>
    <row r="6" spans="1:99" customFormat="1" ht="22.5" customHeight="1" x14ac:dyDescent="0.25">
      <c r="A6" s="11" t="s">
        <v>15</v>
      </c>
      <c r="B6" s="11" t="s">
        <v>16</v>
      </c>
      <c r="C6" s="11" t="s">
        <v>17</v>
      </c>
      <c r="D6" s="11" t="s">
        <v>18</v>
      </c>
      <c r="E6" s="11" t="s">
        <v>19</v>
      </c>
      <c r="F6" s="11" t="s">
        <v>20</v>
      </c>
      <c r="G6" s="11" t="s">
        <v>21</v>
      </c>
      <c r="H6" s="11" t="s">
        <v>22</v>
      </c>
      <c r="I6" s="11" t="s">
        <v>23</v>
      </c>
      <c r="J6" s="11" t="s">
        <v>24</v>
      </c>
      <c r="K6" s="11" t="s">
        <v>25</v>
      </c>
      <c r="L6" s="11" t="s">
        <v>26</v>
      </c>
      <c r="M6" s="11" t="s">
        <v>5</v>
      </c>
      <c r="N6" s="11" t="s">
        <v>27</v>
      </c>
      <c r="O6" s="11" t="s">
        <v>28</v>
      </c>
      <c r="P6" s="11" t="s">
        <v>29</v>
      </c>
      <c r="Q6" s="11" t="s">
        <v>30</v>
      </c>
      <c r="R6" s="11" t="s">
        <v>31</v>
      </c>
      <c r="S6" s="11" t="s">
        <v>32</v>
      </c>
      <c r="T6" s="11" t="s">
        <v>11</v>
      </c>
      <c r="U6" s="11" t="s">
        <v>33</v>
      </c>
      <c r="V6" s="11" t="s">
        <v>34</v>
      </c>
      <c r="W6" s="15" t="s">
        <v>35</v>
      </c>
      <c r="X6" s="11" t="s">
        <v>36</v>
      </c>
      <c r="Y6" s="11" t="s">
        <v>37</v>
      </c>
      <c r="Z6" s="11" t="s">
        <v>38</v>
      </c>
      <c r="AA6" s="11" t="s">
        <v>39</v>
      </c>
      <c r="AB6" s="11" t="s">
        <v>40</v>
      </c>
      <c r="AC6" s="11" t="s">
        <v>41</v>
      </c>
      <c r="AD6" s="11" t="s">
        <v>42</v>
      </c>
      <c r="AE6" s="11" t="s">
        <v>43</v>
      </c>
      <c r="AF6" s="11" t="s">
        <v>40</v>
      </c>
      <c r="AG6" s="11" t="s">
        <v>41</v>
      </c>
      <c r="AH6" s="11" t="s">
        <v>42</v>
      </c>
      <c r="AI6" s="11" t="s">
        <v>43</v>
      </c>
      <c r="AJ6" s="11" t="s">
        <v>40</v>
      </c>
      <c r="AK6" s="11" t="s">
        <v>41</v>
      </c>
      <c r="AL6" s="11" t="s">
        <v>42</v>
      </c>
      <c r="AM6" s="11" t="s">
        <v>43</v>
      </c>
      <c r="AN6" s="11" t="s">
        <v>40</v>
      </c>
      <c r="AO6" s="11" t="s">
        <v>41</v>
      </c>
      <c r="AP6" s="11" t="s">
        <v>42</v>
      </c>
      <c r="AQ6" s="11" t="s">
        <v>43</v>
      </c>
      <c r="AR6" s="11" t="s">
        <v>40</v>
      </c>
      <c r="AS6" s="11" t="s">
        <v>41</v>
      </c>
      <c r="AT6" s="11" t="s">
        <v>42</v>
      </c>
      <c r="AU6" s="11" t="s">
        <v>43</v>
      </c>
      <c r="AV6" s="11" t="s">
        <v>40</v>
      </c>
      <c r="AW6" s="11" t="s">
        <v>41</v>
      </c>
      <c r="AX6" s="11" t="s">
        <v>42</v>
      </c>
      <c r="AY6" s="11" t="s">
        <v>43</v>
      </c>
      <c r="AZ6" s="11" t="s">
        <v>40</v>
      </c>
      <c r="BA6" s="11" t="s">
        <v>41</v>
      </c>
      <c r="BB6" s="11" t="s">
        <v>42</v>
      </c>
      <c r="BC6" s="11" t="s">
        <v>43</v>
      </c>
      <c r="BD6" s="11" t="s">
        <v>40</v>
      </c>
      <c r="BE6" s="11" t="s">
        <v>41</v>
      </c>
      <c r="BF6" s="11" t="s">
        <v>42</v>
      </c>
      <c r="BG6" s="11" t="s">
        <v>43</v>
      </c>
      <c r="BH6" s="11" t="s">
        <v>40</v>
      </c>
      <c r="BI6" s="11" t="s">
        <v>41</v>
      </c>
      <c r="BJ6" s="11" t="s">
        <v>42</v>
      </c>
      <c r="BK6" s="11" t="s">
        <v>43</v>
      </c>
      <c r="BL6" s="11" t="s">
        <v>40</v>
      </c>
      <c r="BM6" s="11" t="s">
        <v>41</v>
      </c>
      <c r="BN6" s="11" t="s">
        <v>42</v>
      </c>
      <c r="BO6" s="11" t="s">
        <v>43</v>
      </c>
      <c r="BP6" s="11" t="s">
        <v>40</v>
      </c>
      <c r="BQ6" s="11" t="s">
        <v>41</v>
      </c>
      <c r="BR6" s="11" t="s">
        <v>42</v>
      </c>
      <c r="BS6" s="11" t="s">
        <v>43</v>
      </c>
      <c r="BT6" s="11" t="s">
        <v>40</v>
      </c>
      <c r="BU6" s="11" t="s">
        <v>41</v>
      </c>
      <c r="BV6" s="11" t="s">
        <v>42</v>
      </c>
      <c r="BW6" s="11" t="s">
        <v>43</v>
      </c>
      <c r="BX6" s="11" t="s">
        <v>40</v>
      </c>
      <c r="BY6" s="11" t="s">
        <v>41</v>
      </c>
      <c r="BZ6" s="11" t="s">
        <v>42</v>
      </c>
      <c r="CA6" s="11" t="s">
        <v>43</v>
      </c>
      <c r="CB6" s="11" t="s">
        <v>40</v>
      </c>
      <c r="CC6" s="11" t="s">
        <v>41</v>
      </c>
      <c r="CD6" s="11" t="s">
        <v>42</v>
      </c>
      <c r="CE6" s="11" t="s">
        <v>43</v>
      </c>
      <c r="CF6" s="11" t="s">
        <v>40</v>
      </c>
      <c r="CG6" s="11" t="s">
        <v>41</v>
      </c>
      <c r="CH6" s="11" t="s">
        <v>42</v>
      </c>
      <c r="CI6" s="11" t="s">
        <v>43</v>
      </c>
      <c r="CJ6" s="11" t="s">
        <v>40</v>
      </c>
      <c r="CK6" s="11" t="s">
        <v>41</v>
      </c>
      <c r="CL6" s="11" t="s">
        <v>42</v>
      </c>
      <c r="CM6" s="11" t="s">
        <v>43</v>
      </c>
      <c r="CN6" s="11" t="s">
        <v>40</v>
      </c>
      <c r="CO6" s="11" t="s">
        <v>41</v>
      </c>
      <c r="CP6" s="11" t="s">
        <v>42</v>
      </c>
      <c r="CQ6" s="11" t="s">
        <v>43</v>
      </c>
      <c r="CR6" s="11" t="s">
        <v>40</v>
      </c>
      <c r="CS6" s="11" t="s">
        <v>41</v>
      </c>
      <c r="CT6" s="11" t="s">
        <v>42</v>
      </c>
      <c r="CU6" s="11" t="s">
        <v>43</v>
      </c>
    </row>
    <row r="7" spans="1:99" customFormat="1" ht="132" x14ac:dyDescent="0.25">
      <c r="A7" s="149" t="s">
        <v>98</v>
      </c>
      <c r="B7" s="149" t="s">
        <v>100</v>
      </c>
      <c r="C7" s="149" t="s">
        <v>99</v>
      </c>
      <c r="D7" s="149" t="s">
        <v>660</v>
      </c>
      <c r="E7" s="149" t="s">
        <v>101</v>
      </c>
      <c r="F7" s="149" t="s">
        <v>661</v>
      </c>
      <c r="G7" s="326" t="s">
        <v>335</v>
      </c>
      <c r="H7" s="408" t="s">
        <v>1198</v>
      </c>
      <c r="I7" s="408" t="s">
        <v>1199</v>
      </c>
      <c r="J7" s="298" t="s">
        <v>294</v>
      </c>
      <c r="K7" s="299" t="s">
        <v>1200</v>
      </c>
      <c r="L7" s="149" t="s">
        <v>1201</v>
      </c>
      <c r="M7" s="186" t="s">
        <v>1202</v>
      </c>
      <c r="N7" s="186" t="s">
        <v>1202</v>
      </c>
      <c r="O7" s="186" t="s">
        <v>1203</v>
      </c>
      <c r="P7" s="149" t="s">
        <v>1204</v>
      </c>
      <c r="Q7" s="186" t="s">
        <v>50</v>
      </c>
      <c r="R7" s="186">
        <v>0</v>
      </c>
      <c r="S7" s="186">
        <v>2300</v>
      </c>
      <c r="T7" s="9" t="s">
        <v>1205</v>
      </c>
      <c r="U7" s="9" t="s">
        <v>1206</v>
      </c>
      <c r="V7" s="1045" t="s">
        <v>50</v>
      </c>
      <c r="W7" s="97">
        <v>0</v>
      </c>
      <c r="X7" s="600">
        <v>690</v>
      </c>
      <c r="Y7" s="1025">
        <v>816759129</v>
      </c>
      <c r="Z7" s="1025">
        <v>816759129</v>
      </c>
      <c r="AA7" s="149" t="s">
        <v>1207</v>
      </c>
      <c r="AB7" s="186">
        <v>127</v>
      </c>
      <c r="AC7" s="186">
        <v>2300</v>
      </c>
      <c r="AD7" s="1046">
        <f>+AB7/AC7</f>
        <v>5.5217391304347829E-2</v>
      </c>
      <c r="AE7" s="141" t="s">
        <v>1208</v>
      </c>
      <c r="AF7" s="6">
        <v>94</v>
      </c>
      <c r="AG7" s="305">
        <v>690</v>
      </c>
      <c r="AH7" s="1047">
        <f>+AF7/AG7</f>
        <v>0.13623188405797101</v>
      </c>
      <c r="AI7" s="8" t="s">
        <v>1209</v>
      </c>
      <c r="AJ7" s="186">
        <v>186</v>
      </c>
      <c r="AK7" s="186">
        <v>2300</v>
      </c>
      <c r="AL7" s="1046">
        <f>+AJ7/AK7</f>
        <v>8.0869565217391304E-2</v>
      </c>
      <c r="AM7" s="141" t="s">
        <v>1210</v>
      </c>
      <c r="AN7" s="6">
        <v>138</v>
      </c>
      <c r="AO7" s="305">
        <v>690</v>
      </c>
      <c r="AP7" s="1047">
        <f t="shared" ref="AP7:AP12" si="0">+AN7/AO7</f>
        <v>0.2</v>
      </c>
      <c r="AQ7" s="8" t="s">
        <v>1211</v>
      </c>
      <c r="AR7" s="186">
        <v>238</v>
      </c>
      <c r="AS7" s="186">
        <v>2300</v>
      </c>
      <c r="AT7" s="1046">
        <f>+AR7/AS7</f>
        <v>0.10347826086956521</v>
      </c>
      <c r="AU7" s="141" t="s">
        <v>1212</v>
      </c>
      <c r="AV7" s="6">
        <v>189</v>
      </c>
      <c r="AW7" s="305">
        <v>690</v>
      </c>
      <c r="AX7" s="1047">
        <f t="shared" ref="AX7:AX12" si="1">+AV7/AW7</f>
        <v>0.27391304347826084</v>
      </c>
      <c r="AY7" s="8" t="s">
        <v>1213</v>
      </c>
      <c r="AZ7" s="186">
        <v>232</v>
      </c>
      <c r="BA7" s="186">
        <v>2300</v>
      </c>
      <c r="BB7" s="1046">
        <f>+AZ7/BA7</f>
        <v>0.10086956521739131</v>
      </c>
      <c r="BC7" s="141" t="s">
        <v>1214</v>
      </c>
      <c r="BD7" s="6">
        <v>186</v>
      </c>
      <c r="BE7" s="6">
        <v>690</v>
      </c>
      <c r="BF7" s="917">
        <f t="shared" ref="BF7:BF12" si="2">+BD7/BE7</f>
        <v>0.26956521739130435</v>
      </c>
      <c r="BG7" s="8" t="s">
        <v>1215</v>
      </c>
      <c r="BH7" s="1048">
        <v>299</v>
      </c>
      <c r="BI7" s="186">
        <v>2300</v>
      </c>
      <c r="BJ7" s="1046">
        <f>+BH7/BI7</f>
        <v>0.13</v>
      </c>
      <c r="BK7" s="141" t="s">
        <v>1216</v>
      </c>
      <c r="BL7" s="1049">
        <v>255</v>
      </c>
      <c r="BM7" s="6">
        <v>690</v>
      </c>
      <c r="BN7" s="917">
        <f>+BL7/BM7</f>
        <v>0.36956521739130432</v>
      </c>
      <c r="BO7" s="8" t="s">
        <v>1217</v>
      </c>
      <c r="BP7" s="186">
        <v>169</v>
      </c>
      <c r="BQ7" s="186">
        <v>3510</v>
      </c>
      <c r="BR7" s="1046">
        <f>(AJ7+AB7+AR7+AZ7+BH7+BP7)/AS7</f>
        <v>0.54391304347826086</v>
      </c>
      <c r="BS7" s="141" t="s">
        <v>1218</v>
      </c>
      <c r="BT7" s="6">
        <v>114</v>
      </c>
      <c r="BU7" s="305">
        <v>1900</v>
      </c>
      <c r="BV7" s="1047">
        <f>(AF7+AN7+AV7+BD7+BL7+BT7)/BU7</f>
        <v>0.51368421052631574</v>
      </c>
      <c r="BW7" s="8" t="s">
        <v>1219</v>
      </c>
      <c r="BX7" s="186">
        <v>417</v>
      </c>
      <c r="BY7" s="186">
        <v>3510</v>
      </c>
      <c r="BZ7" s="1046">
        <f>(AB7+AR7+AJ7+AZ7+BH7+BP7+BX7)/BY7</f>
        <v>0.47521367521367519</v>
      </c>
      <c r="CA7" s="141" t="s">
        <v>1220</v>
      </c>
      <c r="CB7" s="6">
        <v>334</v>
      </c>
      <c r="CC7" s="305">
        <v>1900</v>
      </c>
      <c r="CD7" s="1047">
        <f>(AF7+AN7+AV7+BD7+BL7+BT7+CB7)/CC7</f>
        <v>0.68947368421052635</v>
      </c>
      <c r="CE7" s="8" t="s">
        <v>1221</v>
      </c>
      <c r="CF7" s="186">
        <v>188</v>
      </c>
      <c r="CG7" s="186">
        <v>3510</v>
      </c>
      <c r="CH7" s="1046">
        <f>(AB7+AJ7+AZ7+AR7+BH7+BP7+BX7+CF7)/BY7</f>
        <v>0.52877492877492882</v>
      </c>
      <c r="CI7" s="141" t="s">
        <v>1222</v>
      </c>
      <c r="CJ7" s="6">
        <v>132</v>
      </c>
      <c r="CK7" s="6">
        <v>1900</v>
      </c>
      <c r="CL7" s="917">
        <f>(AB7+AN7+AV7+BD7+BL7+BT7+CB7+CJ7)/CK7</f>
        <v>0.77631578947368418</v>
      </c>
      <c r="CM7" s="8" t="s">
        <v>1223</v>
      </c>
      <c r="CN7" s="186">
        <v>167</v>
      </c>
      <c r="CO7" s="186">
        <v>3510</v>
      </c>
      <c r="CP7" s="1046">
        <f>(AB7+AJ7+AR7+BH7+AZ7+BP7+BX7+CF7+CN7)/BQ7</f>
        <v>0.57635327635327638</v>
      </c>
      <c r="CQ7" s="141" t="s">
        <v>1224</v>
      </c>
      <c r="CR7" s="6">
        <v>97</v>
      </c>
      <c r="CS7" s="6">
        <v>1900</v>
      </c>
      <c r="CT7" s="917">
        <f>(AF7+AN7+AV7+BD7+BL7+BT7+CB7+CJ7+CR7)/BU7</f>
        <v>0.81</v>
      </c>
      <c r="CU7" s="8" t="s">
        <v>1225</v>
      </c>
    </row>
    <row r="8" spans="1:99" customFormat="1" ht="72" x14ac:dyDescent="0.25">
      <c r="A8" s="185"/>
      <c r="B8" s="185"/>
      <c r="C8" s="185"/>
      <c r="D8" s="185"/>
      <c r="E8" s="185"/>
      <c r="F8" s="185"/>
      <c r="G8" s="326"/>
      <c r="H8" s="408"/>
      <c r="I8" s="408"/>
      <c r="J8" s="306"/>
      <c r="K8" s="307"/>
      <c r="L8" s="185"/>
      <c r="M8" s="187"/>
      <c r="N8" s="187"/>
      <c r="O8" s="187"/>
      <c r="P8" s="185"/>
      <c r="Q8" s="187"/>
      <c r="R8" s="187"/>
      <c r="S8" s="187"/>
      <c r="T8" s="1050" t="s">
        <v>1226</v>
      </c>
      <c r="U8" s="1050" t="s">
        <v>1227</v>
      </c>
      <c r="V8" s="475" t="s">
        <v>50</v>
      </c>
      <c r="W8" s="475">
        <v>0</v>
      </c>
      <c r="X8" s="1051">
        <v>1</v>
      </c>
      <c r="Y8" s="1029"/>
      <c r="Z8" s="1029"/>
      <c r="AA8" s="185"/>
      <c r="AB8" s="187"/>
      <c r="AC8" s="187"/>
      <c r="AD8" s="1052"/>
      <c r="AE8" s="175"/>
      <c r="AF8" s="6">
        <v>0</v>
      </c>
      <c r="AG8" s="305">
        <v>1</v>
      </c>
      <c r="AH8" s="1053">
        <f>+AF8/AG8</f>
        <v>0</v>
      </c>
      <c r="AI8" s="8" t="s">
        <v>1228</v>
      </c>
      <c r="AJ8" s="187"/>
      <c r="AK8" s="187"/>
      <c r="AL8" s="1052"/>
      <c r="AM8" s="175"/>
      <c r="AN8" s="6">
        <v>0</v>
      </c>
      <c r="AO8" s="305">
        <v>1</v>
      </c>
      <c r="AP8" s="1053">
        <f t="shared" si="0"/>
        <v>0</v>
      </c>
      <c r="AQ8" s="8" t="s">
        <v>1228</v>
      </c>
      <c r="AR8" s="187"/>
      <c r="AS8" s="187"/>
      <c r="AT8" s="1052"/>
      <c r="AU8" s="175"/>
      <c r="AV8" s="6">
        <v>0</v>
      </c>
      <c r="AW8" s="305">
        <v>1</v>
      </c>
      <c r="AX8" s="1053">
        <f t="shared" si="1"/>
        <v>0</v>
      </c>
      <c r="AY8" s="8" t="s">
        <v>1228</v>
      </c>
      <c r="AZ8" s="187"/>
      <c r="BA8" s="187"/>
      <c r="BB8" s="1052"/>
      <c r="BC8" s="175"/>
      <c r="BD8" s="6">
        <v>0</v>
      </c>
      <c r="BE8" s="7">
        <v>1</v>
      </c>
      <c r="BF8" s="1054">
        <f t="shared" si="2"/>
        <v>0</v>
      </c>
      <c r="BG8" s="9" t="s">
        <v>1228</v>
      </c>
      <c r="BH8" s="1055"/>
      <c r="BI8" s="187"/>
      <c r="BJ8" s="1052"/>
      <c r="BK8" s="175"/>
      <c r="BL8" s="1049">
        <v>0</v>
      </c>
      <c r="BM8" s="7">
        <v>1</v>
      </c>
      <c r="BN8" s="1054">
        <f>+BL8/BM8</f>
        <v>0</v>
      </c>
      <c r="BO8" s="9" t="s">
        <v>1228</v>
      </c>
      <c r="BP8" s="187"/>
      <c r="BQ8" s="187"/>
      <c r="BR8" s="1052"/>
      <c r="BS8" s="175"/>
      <c r="BT8" s="7">
        <v>0</v>
      </c>
      <c r="BU8" s="297">
        <v>1</v>
      </c>
      <c r="BV8" s="1056">
        <f>+BT8/BU8</f>
        <v>0</v>
      </c>
      <c r="BW8" s="9" t="s">
        <v>1228</v>
      </c>
      <c r="BX8" s="187"/>
      <c r="BY8" s="187"/>
      <c r="BZ8" s="1052"/>
      <c r="CA8" s="175"/>
      <c r="CB8" s="7">
        <v>0</v>
      </c>
      <c r="CC8" s="297">
        <v>1</v>
      </c>
      <c r="CD8" s="1056">
        <f>+CB8/CC8</f>
        <v>0</v>
      </c>
      <c r="CE8" s="9" t="s">
        <v>1229</v>
      </c>
      <c r="CF8" s="187"/>
      <c r="CG8" s="187"/>
      <c r="CH8" s="1052"/>
      <c r="CI8" s="175"/>
      <c r="CJ8" s="6">
        <v>1</v>
      </c>
      <c r="CK8" s="6">
        <v>1</v>
      </c>
      <c r="CL8" s="914">
        <f>+CJ8/CK8</f>
        <v>1</v>
      </c>
      <c r="CM8" s="8" t="s">
        <v>1230</v>
      </c>
      <c r="CN8" s="187"/>
      <c r="CO8" s="187"/>
      <c r="CP8" s="1052"/>
      <c r="CQ8" s="175"/>
      <c r="CR8" s="6">
        <v>1</v>
      </c>
      <c r="CS8" s="6">
        <v>1</v>
      </c>
      <c r="CT8" s="914">
        <f>+CR8/CS8</f>
        <v>1</v>
      </c>
      <c r="CU8" s="8" t="s">
        <v>1231</v>
      </c>
    </row>
    <row r="9" spans="1:99" customFormat="1" ht="84" x14ac:dyDescent="0.25">
      <c r="A9" s="150"/>
      <c r="B9" s="150"/>
      <c r="C9" s="150"/>
      <c r="D9" s="150"/>
      <c r="E9" s="150"/>
      <c r="F9" s="150"/>
      <c r="G9" s="488" t="s">
        <v>335</v>
      </c>
      <c r="H9" s="455" t="s">
        <v>1198</v>
      </c>
      <c r="I9" s="455" t="s">
        <v>1199</v>
      </c>
      <c r="J9" s="306"/>
      <c r="K9" s="307"/>
      <c r="L9" s="185"/>
      <c r="M9" s="187"/>
      <c r="N9" s="187"/>
      <c r="O9" s="188"/>
      <c r="P9" s="150"/>
      <c r="Q9" s="188"/>
      <c r="R9" s="188"/>
      <c r="S9" s="188"/>
      <c r="T9" s="551" t="s">
        <v>1232</v>
      </c>
      <c r="U9" s="551" t="s">
        <v>1233</v>
      </c>
      <c r="V9" s="1057" t="s">
        <v>50</v>
      </c>
      <c r="W9" s="45">
        <v>0</v>
      </c>
      <c r="X9" s="1058">
        <v>10</v>
      </c>
      <c r="Y9" s="1029"/>
      <c r="Z9" s="1029"/>
      <c r="AA9" s="185"/>
      <c r="AB9" s="188"/>
      <c r="AC9" s="188"/>
      <c r="AD9" s="1059"/>
      <c r="AE9" s="142"/>
      <c r="AF9" s="6">
        <v>6</v>
      </c>
      <c r="AG9" s="305">
        <v>10</v>
      </c>
      <c r="AH9" s="1053">
        <f t="shared" ref="AH9" si="3">+AF9/AG9</f>
        <v>0.6</v>
      </c>
      <c r="AI9" s="8"/>
      <c r="AJ9" s="188"/>
      <c r="AK9" s="188"/>
      <c r="AL9" s="1059"/>
      <c r="AM9" s="142"/>
      <c r="AN9" s="6">
        <v>6</v>
      </c>
      <c r="AO9" s="305">
        <v>10</v>
      </c>
      <c r="AP9" s="1053">
        <f t="shared" si="0"/>
        <v>0.6</v>
      </c>
      <c r="AQ9" s="8"/>
      <c r="AR9" s="188"/>
      <c r="AS9" s="188"/>
      <c r="AT9" s="1059"/>
      <c r="AU9" s="142"/>
      <c r="AV9" s="6">
        <v>6</v>
      </c>
      <c r="AW9" s="305">
        <v>10</v>
      </c>
      <c r="AX9" s="1053">
        <f t="shared" si="1"/>
        <v>0.6</v>
      </c>
      <c r="AY9" s="8"/>
      <c r="AZ9" s="188"/>
      <c r="BA9" s="188"/>
      <c r="BB9" s="1059"/>
      <c r="BC9" s="142"/>
      <c r="BD9" s="6">
        <v>8</v>
      </c>
      <c r="BE9" s="305">
        <v>10</v>
      </c>
      <c r="BF9" s="1053">
        <f t="shared" si="2"/>
        <v>0.8</v>
      </c>
      <c r="BG9" s="8"/>
      <c r="BH9" s="1060"/>
      <c r="BI9" s="188"/>
      <c r="BJ9" s="1059"/>
      <c r="BK9" s="142"/>
      <c r="BL9" s="1049"/>
      <c r="BM9" s="6">
        <v>7</v>
      </c>
      <c r="BN9" s="305">
        <v>10</v>
      </c>
      <c r="BO9" s="1053">
        <f>+BM9/BN9</f>
        <v>0.7</v>
      </c>
      <c r="BP9" s="188"/>
      <c r="BQ9" s="188"/>
      <c r="BR9" s="1059"/>
      <c r="BS9" s="142"/>
      <c r="BT9" s="6">
        <v>7</v>
      </c>
      <c r="BU9" s="305">
        <v>10</v>
      </c>
      <c r="BV9" s="1053">
        <f>+BT9/BU9</f>
        <v>0.7</v>
      </c>
      <c r="BW9" s="8" t="s">
        <v>1234</v>
      </c>
      <c r="BX9" s="188"/>
      <c r="BY9" s="188"/>
      <c r="BZ9" s="1059"/>
      <c r="CA9" s="142"/>
      <c r="CB9" s="6">
        <v>7</v>
      </c>
      <c r="CC9" s="305">
        <v>10</v>
      </c>
      <c r="CD9" s="1053">
        <f>+CB9/CC9</f>
        <v>0.7</v>
      </c>
      <c r="CE9" s="8" t="s">
        <v>1235</v>
      </c>
      <c r="CF9" s="188"/>
      <c r="CG9" s="188"/>
      <c r="CH9" s="1059"/>
      <c r="CI9" s="142"/>
      <c r="CJ9" s="6">
        <v>8</v>
      </c>
      <c r="CK9" s="6">
        <v>10</v>
      </c>
      <c r="CL9" s="914">
        <f>+CJ9/CK9</f>
        <v>0.8</v>
      </c>
      <c r="CM9" s="8" t="s">
        <v>1235</v>
      </c>
      <c r="CN9" s="188"/>
      <c r="CO9" s="188"/>
      <c r="CP9" s="1059"/>
      <c r="CQ9" s="142"/>
      <c r="CR9" s="6">
        <v>10</v>
      </c>
      <c r="CS9" s="6">
        <v>10</v>
      </c>
      <c r="CT9" s="914">
        <f>+CR9/CS9</f>
        <v>1</v>
      </c>
      <c r="CU9" s="8" t="s">
        <v>1236</v>
      </c>
    </row>
    <row r="10" spans="1:99" customFormat="1" ht="288.75" thickBot="1" x14ac:dyDescent="0.3">
      <c r="A10" s="190" t="s">
        <v>98</v>
      </c>
      <c r="B10" s="190" t="s">
        <v>100</v>
      </c>
      <c r="C10" s="190" t="s">
        <v>99</v>
      </c>
      <c r="D10" s="190" t="s">
        <v>660</v>
      </c>
      <c r="E10" s="190" t="s">
        <v>101</v>
      </c>
      <c r="F10" s="201" t="s">
        <v>661</v>
      </c>
      <c r="G10" s="201" t="s">
        <v>335</v>
      </c>
      <c r="H10" s="190" t="s">
        <v>1198</v>
      </c>
      <c r="I10" s="190" t="s">
        <v>1199</v>
      </c>
      <c r="J10" s="306"/>
      <c r="K10" s="307"/>
      <c r="L10" s="185"/>
      <c r="M10" s="187"/>
      <c r="N10" s="187"/>
      <c r="O10" s="190" t="s">
        <v>1237</v>
      </c>
      <c r="P10" s="190" t="s">
        <v>1238</v>
      </c>
      <c r="Q10" s="201" t="s">
        <v>51</v>
      </c>
      <c r="R10" s="201">
        <v>0</v>
      </c>
      <c r="S10" s="1061">
        <v>50</v>
      </c>
      <c r="T10" s="1062" t="s">
        <v>1239</v>
      </c>
      <c r="U10" s="1062" t="s">
        <v>1240</v>
      </c>
      <c r="V10" s="1063" t="s">
        <v>50</v>
      </c>
      <c r="W10" s="1064">
        <v>0</v>
      </c>
      <c r="X10" s="1065">
        <v>20</v>
      </c>
      <c r="Y10" s="1066"/>
      <c r="Z10" s="1029"/>
      <c r="AA10" s="185"/>
      <c r="AB10" s="186">
        <v>26</v>
      </c>
      <c r="AC10" s="1067">
        <v>50</v>
      </c>
      <c r="AD10" s="302">
        <f>+AB10/AC10</f>
        <v>0.52</v>
      </c>
      <c r="AE10" s="141" t="s">
        <v>1241</v>
      </c>
      <c r="AF10" s="6">
        <v>1</v>
      </c>
      <c r="AG10" s="305">
        <v>20</v>
      </c>
      <c r="AH10" s="1053">
        <f>+AF10/AG10</f>
        <v>0.05</v>
      </c>
      <c r="AI10" s="8" t="s">
        <v>1242</v>
      </c>
      <c r="AJ10" s="186">
        <v>20</v>
      </c>
      <c r="AK10" s="1067">
        <v>50</v>
      </c>
      <c r="AL10" s="302">
        <f>+AJ10/AK10</f>
        <v>0.4</v>
      </c>
      <c r="AM10" s="141" t="s">
        <v>1243</v>
      </c>
      <c r="AN10" s="6">
        <v>3</v>
      </c>
      <c r="AO10" s="305">
        <v>20</v>
      </c>
      <c r="AP10" s="1053">
        <f t="shared" si="0"/>
        <v>0.15</v>
      </c>
      <c r="AQ10" s="8" t="s">
        <v>1244</v>
      </c>
      <c r="AR10" s="1068">
        <v>27</v>
      </c>
      <c r="AS10" s="1067">
        <v>50</v>
      </c>
      <c r="AT10" s="302">
        <f>+AR10/AS10</f>
        <v>0.54</v>
      </c>
      <c r="AU10" s="141" t="s">
        <v>1245</v>
      </c>
      <c r="AV10" s="6">
        <v>0</v>
      </c>
      <c r="AW10" s="305">
        <v>20</v>
      </c>
      <c r="AX10" s="1053">
        <f t="shared" si="1"/>
        <v>0</v>
      </c>
      <c r="AY10" s="8" t="s">
        <v>1246</v>
      </c>
      <c r="AZ10" s="1068">
        <v>28</v>
      </c>
      <c r="BA10" s="1067">
        <v>50</v>
      </c>
      <c r="BB10" s="302">
        <f>+AZ10/BA10</f>
        <v>0.56000000000000005</v>
      </c>
      <c r="BC10" s="141" t="s">
        <v>1247</v>
      </c>
      <c r="BD10" s="6">
        <v>0</v>
      </c>
      <c r="BE10" s="6">
        <v>20</v>
      </c>
      <c r="BF10" s="914">
        <f t="shared" si="2"/>
        <v>0</v>
      </c>
      <c r="BG10" s="8" t="s">
        <v>1246</v>
      </c>
      <c r="BH10" s="1069">
        <v>28</v>
      </c>
      <c r="BI10" s="1067">
        <v>50</v>
      </c>
      <c r="BJ10" s="302">
        <f>+BH10/BI10</f>
        <v>0.56000000000000005</v>
      </c>
      <c r="BK10" s="141" t="s">
        <v>1248</v>
      </c>
      <c r="BL10" s="1049">
        <v>0</v>
      </c>
      <c r="BM10" s="6">
        <v>20</v>
      </c>
      <c r="BN10" s="914">
        <f>+BL10/BM10</f>
        <v>0</v>
      </c>
      <c r="BO10" s="8" t="s">
        <v>1246</v>
      </c>
      <c r="BP10" s="1070">
        <v>27</v>
      </c>
      <c r="BQ10" s="1067">
        <v>50</v>
      </c>
      <c r="BR10" s="302">
        <f>+BP10/35</f>
        <v>0.77142857142857146</v>
      </c>
      <c r="BS10" s="1071" t="s">
        <v>1249</v>
      </c>
      <c r="BT10" s="6">
        <v>0</v>
      </c>
      <c r="BU10" s="305">
        <v>20</v>
      </c>
      <c r="BV10" s="1053">
        <f>+BT10/BU10</f>
        <v>0</v>
      </c>
      <c r="BW10" s="8" t="s">
        <v>1250</v>
      </c>
      <c r="BX10" s="1070">
        <v>47</v>
      </c>
      <c r="BY10" s="1067">
        <v>50</v>
      </c>
      <c r="BZ10" s="302">
        <f>+BX10/61</f>
        <v>0.77049180327868849</v>
      </c>
      <c r="CA10" s="1072" t="s">
        <v>1251</v>
      </c>
      <c r="CB10" s="7">
        <v>2</v>
      </c>
      <c r="CC10" s="297">
        <v>20</v>
      </c>
      <c r="CD10" s="1056">
        <f>(AF10+AN10+AV10+BD10+BL10+BT10+CB10)/CC10</f>
        <v>0.3</v>
      </c>
      <c r="CE10" s="9" t="s">
        <v>1252</v>
      </c>
      <c r="CF10" s="1070">
        <v>13</v>
      </c>
      <c r="CG10" s="1067">
        <v>50</v>
      </c>
      <c r="CH10" s="825">
        <f>+CF10/53</f>
        <v>0.24528301886792453</v>
      </c>
      <c r="CI10" s="1071" t="s">
        <v>1253</v>
      </c>
      <c r="CJ10" s="6">
        <v>2</v>
      </c>
      <c r="CK10" s="6">
        <v>20</v>
      </c>
      <c r="CL10" s="914">
        <f>(AF10+AN10+AV10+BD10+BL10+BT10+CB10+CJ10)/CK10</f>
        <v>0.4</v>
      </c>
      <c r="CM10" s="8" t="s">
        <v>1254</v>
      </c>
      <c r="CN10" s="1073">
        <v>54</v>
      </c>
      <c r="CO10" s="1074">
        <v>0.5</v>
      </c>
      <c r="CP10" s="457">
        <f>+CN10/96</f>
        <v>0.5625</v>
      </c>
      <c r="CQ10" s="1075" t="s">
        <v>1255</v>
      </c>
      <c r="CR10" s="6">
        <v>5</v>
      </c>
      <c r="CS10" s="6">
        <v>20</v>
      </c>
      <c r="CT10" s="914">
        <f>(AF10+AN10+AV10+BD10+BL10+BT10+CB10+CJ10+CR10)/CS10</f>
        <v>0.65</v>
      </c>
      <c r="CU10" s="8" t="s">
        <v>1256</v>
      </c>
    </row>
    <row r="11" spans="1:99" customFormat="1" ht="145.5" thickTop="1" thickBot="1" x14ac:dyDescent="0.3">
      <c r="A11" s="191"/>
      <c r="B11" s="191"/>
      <c r="C11" s="191"/>
      <c r="D11" s="191"/>
      <c r="E11" s="191"/>
      <c r="F11" s="202"/>
      <c r="G11" s="202"/>
      <c r="H11" s="191"/>
      <c r="I11" s="191"/>
      <c r="J11" s="306"/>
      <c r="K11" s="307"/>
      <c r="L11" s="185"/>
      <c r="M11" s="187"/>
      <c r="N11" s="187"/>
      <c r="O11" s="191"/>
      <c r="P11" s="191"/>
      <c r="Q11" s="202"/>
      <c r="R11" s="202"/>
      <c r="S11" s="202"/>
      <c r="T11" s="86" t="s">
        <v>1257</v>
      </c>
      <c r="U11" s="1076" t="s">
        <v>1258</v>
      </c>
      <c r="V11" s="7" t="s">
        <v>50</v>
      </c>
      <c r="W11" s="94">
        <v>0</v>
      </c>
      <c r="X11" s="1077">
        <v>200</v>
      </c>
      <c r="Y11" s="1029"/>
      <c r="Z11" s="1029"/>
      <c r="AA11" s="185"/>
      <c r="AB11" s="188"/>
      <c r="AC11" s="1078"/>
      <c r="AD11" s="316"/>
      <c r="AE11" s="142"/>
      <c r="AF11" s="7">
        <v>13</v>
      </c>
      <c r="AG11" s="297">
        <v>200</v>
      </c>
      <c r="AH11" s="1056">
        <f>+AF11/AG11</f>
        <v>6.5000000000000002E-2</v>
      </c>
      <c r="AI11" s="9" t="s">
        <v>1259</v>
      </c>
      <c r="AJ11" s="188"/>
      <c r="AK11" s="1078"/>
      <c r="AL11" s="316"/>
      <c r="AM11" s="142"/>
      <c r="AN11" s="7">
        <v>32</v>
      </c>
      <c r="AO11" s="297">
        <v>200</v>
      </c>
      <c r="AP11" s="1056">
        <f t="shared" si="0"/>
        <v>0.16</v>
      </c>
      <c r="AQ11" s="9" t="s">
        <v>1260</v>
      </c>
      <c r="AR11" s="1079"/>
      <c r="AS11" s="1078"/>
      <c r="AT11" s="316"/>
      <c r="AU11" s="142"/>
      <c r="AV11" s="7">
        <v>44</v>
      </c>
      <c r="AW11" s="297">
        <v>200</v>
      </c>
      <c r="AX11" s="1056">
        <f t="shared" si="1"/>
        <v>0.22</v>
      </c>
      <c r="AY11" s="9" t="s">
        <v>1261</v>
      </c>
      <c r="AZ11" s="1079"/>
      <c r="BA11" s="1078"/>
      <c r="BB11" s="316"/>
      <c r="BC11" s="142"/>
      <c r="BD11" s="7">
        <v>26</v>
      </c>
      <c r="BE11" s="7">
        <v>200</v>
      </c>
      <c r="BF11" s="1054">
        <f t="shared" si="2"/>
        <v>0.13</v>
      </c>
      <c r="BG11" s="9" t="s">
        <v>1262</v>
      </c>
      <c r="BH11" s="1080"/>
      <c r="BI11" s="1078"/>
      <c r="BJ11" s="316"/>
      <c r="BK11" s="142"/>
      <c r="BL11" s="1049">
        <v>38</v>
      </c>
      <c r="BM11" s="7">
        <v>200</v>
      </c>
      <c r="BN11" s="1054">
        <f>+BL11/BM11</f>
        <v>0.19</v>
      </c>
      <c r="BO11" s="9" t="s">
        <v>1263</v>
      </c>
      <c r="BP11" s="1081"/>
      <c r="BQ11" s="1078"/>
      <c r="BR11" s="316"/>
      <c r="BS11" s="1071"/>
      <c r="BT11" s="7">
        <v>49</v>
      </c>
      <c r="BU11" s="297">
        <v>350</v>
      </c>
      <c r="BV11" s="1056">
        <f>+BT11/BU11</f>
        <v>0.14000000000000001</v>
      </c>
      <c r="BW11" s="9" t="s">
        <v>1264</v>
      </c>
      <c r="BX11" s="1081"/>
      <c r="BY11" s="1078"/>
      <c r="BZ11" s="316"/>
      <c r="CA11" s="1072"/>
      <c r="CB11" s="7">
        <v>58</v>
      </c>
      <c r="CC11" s="297">
        <v>350</v>
      </c>
      <c r="CD11" s="1056">
        <f>(AF11+AN11+AV11+BD11+BL11++BT11+CB11)/CC11</f>
        <v>0.74285714285714288</v>
      </c>
      <c r="CE11" s="9" t="s">
        <v>1265</v>
      </c>
      <c r="CF11" s="1081"/>
      <c r="CG11" s="1078"/>
      <c r="CH11" s="831"/>
      <c r="CI11" s="1071"/>
      <c r="CJ11" s="7">
        <v>21</v>
      </c>
      <c r="CK11" s="7">
        <v>350</v>
      </c>
      <c r="CL11" s="1054">
        <f>(AF11+AN11+AV11+BD11+BL11+BT11++CB11+CJ11)/CK11</f>
        <v>0.80285714285714282</v>
      </c>
      <c r="CM11" s="9" t="s">
        <v>1266</v>
      </c>
      <c r="CN11" s="1082"/>
      <c r="CO11" s="1078"/>
      <c r="CP11" s="470"/>
      <c r="CQ11" s="1075"/>
      <c r="CR11" s="7">
        <v>31</v>
      </c>
      <c r="CS11" s="7">
        <v>350</v>
      </c>
      <c r="CT11" s="1054">
        <f>(AF11+AN11+AV11+BD11+BL11+BT11+CB11++CJ11+CR11)/CS11</f>
        <v>0.89142857142857146</v>
      </c>
      <c r="CU11" s="9" t="s">
        <v>1267</v>
      </c>
    </row>
    <row r="12" spans="1:99" customFormat="1" ht="72.75" thickTop="1" x14ac:dyDescent="0.25">
      <c r="A12" s="330" t="s">
        <v>98</v>
      </c>
      <c r="B12" s="330" t="s">
        <v>100</v>
      </c>
      <c r="C12" s="330" t="s">
        <v>99</v>
      </c>
      <c r="D12" s="330" t="s">
        <v>660</v>
      </c>
      <c r="E12" s="330" t="s">
        <v>101</v>
      </c>
      <c r="F12" s="6" t="s">
        <v>661</v>
      </c>
      <c r="G12" s="488" t="s">
        <v>335</v>
      </c>
      <c r="H12" s="455" t="s">
        <v>1198</v>
      </c>
      <c r="I12" s="455" t="s">
        <v>1199</v>
      </c>
      <c r="J12" s="333"/>
      <c r="K12" s="314"/>
      <c r="L12" s="150"/>
      <c r="M12" s="188"/>
      <c r="N12" s="188"/>
      <c r="O12" s="330" t="s">
        <v>1268</v>
      </c>
      <c r="P12" s="8" t="s">
        <v>1269</v>
      </c>
      <c r="Q12" s="6" t="s">
        <v>51</v>
      </c>
      <c r="R12" s="6">
        <v>0</v>
      </c>
      <c r="S12" s="6">
        <v>90</v>
      </c>
      <c r="T12" s="8" t="s">
        <v>1270</v>
      </c>
      <c r="U12" s="8" t="s">
        <v>1271</v>
      </c>
      <c r="V12" s="6" t="s">
        <v>50</v>
      </c>
      <c r="W12" s="6">
        <v>0</v>
      </c>
      <c r="X12" s="6">
        <v>2</v>
      </c>
      <c r="Y12" s="1031"/>
      <c r="Z12" s="1031"/>
      <c r="AA12" s="150"/>
      <c r="AB12" s="6">
        <v>0</v>
      </c>
      <c r="AC12" s="1083">
        <v>90</v>
      </c>
      <c r="AD12" s="1053">
        <f>+AB12/AC12</f>
        <v>0</v>
      </c>
      <c r="AE12" s="332" t="s">
        <v>1228</v>
      </c>
      <c r="AF12" s="6">
        <v>0</v>
      </c>
      <c r="AG12" s="6">
        <v>2</v>
      </c>
      <c r="AH12" s="1053">
        <f>+AF12/AG12</f>
        <v>0</v>
      </c>
      <c r="AI12" s="8" t="s">
        <v>1228</v>
      </c>
      <c r="AJ12" s="6">
        <v>0</v>
      </c>
      <c r="AK12" s="1083">
        <v>90</v>
      </c>
      <c r="AL12" s="1053">
        <f>+AJ12/AK12</f>
        <v>0</v>
      </c>
      <c r="AM12" s="332" t="s">
        <v>1228</v>
      </c>
      <c r="AN12" s="6">
        <v>0</v>
      </c>
      <c r="AO12" s="6">
        <v>2</v>
      </c>
      <c r="AP12" s="1053">
        <f t="shared" si="0"/>
        <v>0</v>
      </c>
      <c r="AQ12" s="8" t="s">
        <v>1228</v>
      </c>
      <c r="AR12" s="6">
        <v>0</v>
      </c>
      <c r="AS12" s="1083">
        <v>90</v>
      </c>
      <c r="AT12" s="712">
        <f>+AR12/AS12</f>
        <v>0</v>
      </c>
      <c r="AU12" s="332" t="s">
        <v>1228</v>
      </c>
      <c r="AV12" s="6">
        <v>0</v>
      </c>
      <c r="AW12" s="6">
        <v>2</v>
      </c>
      <c r="AX12" s="712">
        <f t="shared" si="1"/>
        <v>0</v>
      </c>
      <c r="AY12" s="8" t="s">
        <v>1228</v>
      </c>
      <c r="AZ12" s="6">
        <v>0</v>
      </c>
      <c r="BA12" s="1083">
        <v>90</v>
      </c>
      <c r="BB12" s="308">
        <f>+AZ12/BA12</f>
        <v>0</v>
      </c>
      <c r="BC12" s="332" t="s">
        <v>1228</v>
      </c>
      <c r="BD12" s="6">
        <v>0</v>
      </c>
      <c r="BE12" s="6">
        <v>2</v>
      </c>
      <c r="BF12" s="308">
        <f t="shared" si="2"/>
        <v>0</v>
      </c>
      <c r="BG12" s="8" t="s">
        <v>1228</v>
      </c>
      <c r="BH12" s="1049">
        <v>0</v>
      </c>
      <c r="BI12" s="1083">
        <v>90</v>
      </c>
      <c r="BJ12" s="308">
        <f>+BH12/BI12</f>
        <v>0</v>
      </c>
      <c r="BK12" s="332" t="s">
        <v>1228</v>
      </c>
      <c r="BL12" s="1049">
        <v>0</v>
      </c>
      <c r="BM12" s="6">
        <v>2</v>
      </c>
      <c r="BN12" s="308">
        <f>+BL12/BM12</f>
        <v>0</v>
      </c>
      <c r="BO12" s="8" t="s">
        <v>1228</v>
      </c>
      <c r="BP12" s="6">
        <v>0</v>
      </c>
      <c r="BQ12" s="1083">
        <v>90</v>
      </c>
      <c r="BR12" s="1053">
        <f>+BP12/BQ12</f>
        <v>0</v>
      </c>
      <c r="BS12" s="332" t="s">
        <v>1228</v>
      </c>
      <c r="BT12" s="6"/>
      <c r="BU12" s="6">
        <v>2</v>
      </c>
      <c r="BV12" s="1053">
        <f>+BT12/BU12</f>
        <v>0</v>
      </c>
      <c r="BW12" s="8" t="s">
        <v>1228</v>
      </c>
      <c r="BX12" s="6">
        <v>0</v>
      </c>
      <c r="BY12" s="1083">
        <v>90</v>
      </c>
      <c r="BZ12" s="1053">
        <f>+BX12/BY12</f>
        <v>0</v>
      </c>
      <c r="CA12" s="332" t="s">
        <v>1228</v>
      </c>
      <c r="CB12" s="6"/>
      <c r="CC12" s="6"/>
      <c r="CD12" s="1053"/>
      <c r="CE12" s="8"/>
      <c r="CF12" s="6">
        <v>0</v>
      </c>
      <c r="CG12" s="1083">
        <v>90</v>
      </c>
      <c r="CH12" s="1053">
        <f>+CF12/CG12</f>
        <v>0</v>
      </c>
      <c r="CI12" s="332" t="s">
        <v>1228</v>
      </c>
      <c r="CJ12" s="6">
        <v>1</v>
      </c>
      <c r="CK12" s="6">
        <v>2</v>
      </c>
      <c r="CL12" s="914">
        <f>+CJ12/CK12</f>
        <v>0.5</v>
      </c>
      <c r="CM12" s="8" t="s">
        <v>1272</v>
      </c>
      <c r="CN12" s="6">
        <v>1</v>
      </c>
      <c r="CO12" s="1083">
        <v>90</v>
      </c>
      <c r="CP12" s="1053">
        <v>0</v>
      </c>
      <c r="CQ12" s="332" t="s">
        <v>1228</v>
      </c>
      <c r="CR12" s="6">
        <v>1</v>
      </c>
      <c r="CS12" s="6">
        <v>2</v>
      </c>
      <c r="CT12" s="914">
        <f>+CR12/CS12</f>
        <v>0.5</v>
      </c>
      <c r="CU12" s="8" t="s">
        <v>1273</v>
      </c>
    </row>
    <row r="13" spans="1:99" ht="12" x14ac:dyDescent="0.25">
      <c r="BD13" s="5">
        <v>115</v>
      </c>
      <c r="BL13" s="5">
        <v>153</v>
      </c>
      <c r="BM13" s="1084">
        <f>+BL13/BM11</f>
        <v>0.76500000000000001</v>
      </c>
      <c r="BT13" s="5">
        <v>202</v>
      </c>
      <c r="BU13" s="1084">
        <f>+BT13/BU11</f>
        <v>0.57714285714285718</v>
      </c>
      <c r="CB13" s="5">
        <f>+BT13+CB11</f>
        <v>260</v>
      </c>
      <c r="CC13" s="1084">
        <f>+CB13/CC11</f>
        <v>0.74285714285714288</v>
      </c>
    </row>
    <row r="15" spans="1:99" ht="15" x14ac:dyDescent="0.25">
      <c r="P15"/>
      <c r="AH15" s="5">
        <v>138</v>
      </c>
    </row>
    <row r="16" spans="1:99" ht="12" x14ac:dyDescent="0.25">
      <c r="AH16" s="5">
        <f>18+AH15</f>
        <v>156</v>
      </c>
    </row>
    <row r="17" spans="75:93" ht="12" x14ac:dyDescent="0.25"/>
    <row r="18" spans="75:93" ht="12" x14ac:dyDescent="0.25">
      <c r="BW18" s="5" t="s">
        <v>1068</v>
      </c>
      <c r="CE18" s="5" t="s">
        <v>1068</v>
      </c>
      <c r="CO18" s="5" t="s">
        <v>1068</v>
      </c>
    </row>
  </sheetData>
  <sheetProtection algorithmName="SHA-512" hashValue="bkUgsOkYQp0Hk3Z7IjhCQIBtSb617MC6JZJ5eVHIboQiWHyPoA8erw8eGSe5F/QS+i+sL5lja41KvQ1CBH5Gxg==" saltValue="xBZe16MxL3Z3yq2WVgi2Pg==" spinCount="100000" sheet="1" objects="1" scenarios="1" selectLockedCells="1" selectUnlockedCells="1"/>
  <mergeCells count="132">
    <mergeCell ref="CP10:CP11"/>
    <mergeCell ref="CQ10:CQ11"/>
    <mergeCell ref="CN4:CU4"/>
    <mergeCell ref="CF10:CF11"/>
    <mergeCell ref="CG10:CG11"/>
    <mergeCell ref="CH10:CH11"/>
    <mergeCell ref="CI10:CI11"/>
    <mergeCell ref="CN10:CN11"/>
    <mergeCell ref="CO10:CO11"/>
    <mergeCell ref="BR10:BR11"/>
    <mergeCell ref="BS10:BS11"/>
    <mergeCell ref="BX10:BX11"/>
    <mergeCell ref="BY10:BY11"/>
    <mergeCell ref="BZ10:BZ11"/>
    <mergeCell ref="CA10:CA11"/>
    <mergeCell ref="BH10:BH11"/>
    <mergeCell ref="BI10:BI11"/>
    <mergeCell ref="BJ10:BJ11"/>
    <mergeCell ref="BK10:BK11"/>
    <mergeCell ref="BP10:BP11"/>
    <mergeCell ref="BQ10:BQ11"/>
    <mergeCell ref="AT10:AT11"/>
    <mergeCell ref="AU10:AU11"/>
    <mergeCell ref="AZ10:AZ11"/>
    <mergeCell ref="BA10:BA11"/>
    <mergeCell ref="BB10:BB11"/>
    <mergeCell ref="BC10:BC11"/>
    <mergeCell ref="AJ10:AJ11"/>
    <mergeCell ref="AK10:AK11"/>
    <mergeCell ref="AL10:AL11"/>
    <mergeCell ref="AM10:AM11"/>
    <mergeCell ref="AR10:AR11"/>
    <mergeCell ref="AS10:AS11"/>
    <mergeCell ref="CQ7:CQ9"/>
    <mergeCell ref="A10:A11"/>
    <mergeCell ref="B10:B11"/>
    <mergeCell ref="C10:C11"/>
    <mergeCell ref="D10:D11"/>
    <mergeCell ref="E10:E11"/>
    <mergeCell ref="F10:F11"/>
    <mergeCell ref="G10:G11"/>
    <mergeCell ref="H10:H11"/>
    <mergeCell ref="I10:I11"/>
    <mergeCell ref="CG7:CG9"/>
    <mergeCell ref="CH7:CH9"/>
    <mergeCell ref="CI7:CI9"/>
    <mergeCell ref="CN7:CN9"/>
    <mergeCell ref="CO7:CO9"/>
    <mergeCell ref="CP7:CP9"/>
    <mergeCell ref="BS7:BS9"/>
    <mergeCell ref="BX7:BX9"/>
    <mergeCell ref="BY7:BY9"/>
    <mergeCell ref="BZ7:BZ9"/>
    <mergeCell ref="CA7:CA9"/>
    <mergeCell ref="CF7:CF9"/>
    <mergeCell ref="BI7:BI9"/>
    <mergeCell ref="BJ7:BJ9"/>
    <mergeCell ref="BK7:BK9"/>
    <mergeCell ref="BP7:BP9"/>
    <mergeCell ref="BQ7:BQ9"/>
    <mergeCell ref="BR7:BR9"/>
    <mergeCell ref="AU7:AU9"/>
    <mergeCell ref="AZ7:AZ9"/>
    <mergeCell ref="BA7:BA9"/>
    <mergeCell ref="BB7:BB9"/>
    <mergeCell ref="BC7:BC9"/>
    <mergeCell ref="BH7:BH9"/>
    <mergeCell ref="AK7:AK9"/>
    <mergeCell ref="AL7:AL9"/>
    <mergeCell ref="AM7:AM9"/>
    <mergeCell ref="AR7:AR9"/>
    <mergeCell ref="AS7:AS9"/>
    <mergeCell ref="AT7:AT9"/>
    <mergeCell ref="AA7:AA12"/>
    <mergeCell ref="AB7:AB9"/>
    <mergeCell ref="AC7:AC9"/>
    <mergeCell ref="AD7:AD9"/>
    <mergeCell ref="AE7:AE9"/>
    <mergeCell ref="AJ7:AJ9"/>
    <mergeCell ref="AB10:AB11"/>
    <mergeCell ref="AC10:AC11"/>
    <mergeCell ref="AD10:AD11"/>
    <mergeCell ref="AE10:AE11"/>
    <mergeCell ref="P7:P9"/>
    <mergeCell ref="Q7:Q9"/>
    <mergeCell ref="R7:R9"/>
    <mergeCell ref="S7:S9"/>
    <mergeCell ref="Y7:Y12"/>
    <mergeCell ref="Z7:Z12"/>
    <mergeCell ref="P10:P11"/>
    <mergeCell ref="Q10:Q11"/>
    <mergeCell ref="R10:R11"/>
    <mergeCell ref="S10:S11"/>
    <mergeCell ref="J7:J12"/>
    <mergeCell ref="K7:K12"/>
    <mergeCell ref="L7:L12"/>
    <mergeCell ref="M7:M12"/>
    <mergeCell ref="N7:N12"/>
    <mergeCell ref="O7:O9"/>
    <mergeCell ref="O10:O11"/>
    <mergeCell ref="CF5:CI5"/>
    <mergeCell ref="CJ5:CM5"/>
    <mergeCell ref="CN5:CQ5"/>
    <mergeCell ref="CR5:CU5"/>
    <mergeCell ref="A7:A9"/>
    <mergeCell ref="B7:B9"/>
    <mergeCell ref="C7:C9"/>
    <mergeCell ref="D7:D9"/>
    <mergeCell ref="E7:E9"/>
    <mergeCell ref="F7:F9"/>
    <mergeCell ref="BH5:BK5"/>
    <mergeCell ref="BL5:BO5"/>
    <mergeCell ref="BP5:BS5"/>
    <mergeCell ref="BT5:BW5"/>
    <mergeCell ref="BX5:CA5"/>
    <mergeCell ref="CB5:CE5"/>
    <mergeCell ref="AJ5:AM5"/>
    <mergeCell ref="AN5:AQ5"/>
    <mergeCell ref="AR5:AU5"/>
    <mergeCell ref="AV5:AY5"/>
    <mergeCell ref="AZ5:BC5"/>
    <mergeCell ref="BD5:BG5"/>
    <mergeCell ref="C2:O2"/>
    <mergeCell ref="M4:M5"/>
    <mergeCell ref="Y4:AA4"/>
    <mergeCell ref="AB4:AI4"/>
    <mergeCell ref="A5:C5"/>
    <mergeCell ref="D5:F5"/>
    <mergeCell ref="G5:I5"/>
    <mergeCell ref="J5:L5"/>
    <mergeCell ref="AB5:AE5"/>
    <mergeCell ref="AF5:AI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9A47C-1190-4429-AA77-21DB97938597}">
  <sheetPr>
    <tabColor rgb="FF92D050"/>
    <pageSetUpPr fitToPage="1"/>
  </sheetPr>
  <dimension ref="A1:AI70"/>
  <sheetViews>
    <sheetView showGridLines="0" view="pageBreakPreview" zoomScale="86" zoomScaleNormal="110" zoomScaleSheetLayoutView="86" workbookViewId="0">
      <selection activeCell="U8" sqref="U8"/>
    </sheetView>
  </sheetViews>
  <sheetFormatPr baseColWidth="10" defaultRowHeight="22.5" customHeight="1" x14ac:dyDescent="0.25"/>
  <cols>
    <col min="1" max="1" width="22.42578125" style="5" customWidth="1"/>
    <col min="2" max="2" width="31.85546875" style="5" customWidth="1"/>
    <col min="3" max="3" width="53.85546875" style="5" customWidth="1"/>
    <col min="4" max="4" width="21.28515625" style="5" customWidth="1"/>
    <col min="5" max="5" width="16" style="5" customWidth="1"/>
    <col min="6" max="6" width="53" style="5" customWidth="1"/>
    <col min="7" max="7" width="43.42578125" style="5" customWidth="1"/>
    <col min="8" max="8" width="17.140625" style="5" customWidth="1"/>
    <col min="9" max="9" width="16.140625" style="5" customWidth="1"/>
    <col min="10" max="10" width="29.140625" style="1" customWidth="1"/>
    <col min="11" max="11" width="11" style="5" customWidth="1"/>
    <col min="12" max="12" width="17.28515625" style="1" customWidth="1"/>
    <col min="13" max="13" width="16.85546875" style="5" customWidth="1"/>
    <col min="14" max="14" width="15.85546875" style="1" customWidth="1"/>
    <col min="15" max="15" width="31.140625" style="5" customWidth="1"/>
    <col min="16" max="16" width="35.7109375" style="5" customWidth="1"/>
    <col min="17" max="17" width="16.140625" style="5" customWidth="1"/>
    <col min="18" max="18" width="12.5703125" style="1" customWidth="1"/>
    <col min="19" max="19" width="17.5703125" style="40" customWidth="1"/>
    <col min="20" max="20" width="39.7109375" style="5" customWidth="1"/>
    <col min="21" max="21" width="33.85546875" style="5" customWidth="1"/>
    <col min="22" max="22" width="17.140625" style="1" customWidth="1"/>
    <col min="23" max="23" width="10.28515625" style="1" customWidth="1"/>
    <col min="24" max="24" width="14.5703125" style="1" customWidth="1"/>
    <col min="25" max="25" width="21.140625" style="5" customWidth="1"/>
    <col min="26" max="26" width="18.85546875" style="5" hidden="1" customWidth="1"/>
    <col min="27" max="27" width="15.42578125" style="5" hidden="1" customWidth="1"/>
    <col min="28" max="28" width="22.140625" style="5" customWidth="1"/>
    <col min="29" max="29" width="15.7109375" style="40" customWidth="1"/>
    <col min="30" max="30" width="23.5703125" style="40" customWidth="1"/>
    <col min="31" max="31" width="37" style="5" customWidth="1"/>
    <col min="32" max="32" width="19.7109375" style="5" customWidth="1"/>
    <col min="33" max="33" width="14.140625" style="40" customWidth="1"/>
    <col min="34" max="34" width="22.42578125" style="40" customWidth="1"/>
    <col min="35" max="35" width="40.5703125" style="5" customWidth="1"/>
    <col min="36" max="16384" width="11.42578125" style="5"/>
  </cols>
  <sheetData>
    <row r="1" spans="1:35" s="273" customFormat="1" ht="22.5" customHeight="1" x14ac:dyDescent="0.25">
      <c r="A1" s="17"/>
      <c r="B1" s="17"/>
      <c r="C1" s="17"/>
      <c r="D1" s="17"/>
      <c r="E1" s="17"/>
      <c r="F1" s="17"/>
      <c r="G1" s="17"/>
      <c r="H1" s="17"/>
      <c r="I1" s="17"/>
      <c r="J1" s="17"/>
      <c r="K1" s="17"/>
      <c r="L1" s="17"/>
      <c r="M1" s="17"/>
      <c r="N1" s="17"/>
      <c r="O1" s="17"/>
      <c r="P1" s="17"/>
      <c r="Q1" s="17"/>
      <c r="R1" s="17"/>
      <c r="S1" s="39"/>
      <c r="T1" s="17"/>
      <c r="U1" s="17"/>
      <c r="V1" s="17"/>
      <c r="W1" s="17"/>
      <c r="X1" s="17"/>
      <c r="Y1" s="17"/>
      <c r="Z1" s="17"/>
      <c r="AA1" s="17"/>
      <c r="AB1" s="17"/>
      <c r="AC1" s="39"/>
      <c r="AD1" s="39"/>
      <c r="AE1" s="17"/>
      <c r="AF1" s="17"/>
      <c r="AG1" s="1160" t="s">
        <v>0</v>
      </c>
      <c r="AH1" s="1160"/>
      <c r="AI1" s="1161">
        <v>43458</v>
      </c>
    </row>
    <row r="2" spans="1:35" s="273" customFormat="1" ht="33.75" customHeight="1" x14ac:dyDescent="0.25">
      <c r="A2" s="17"/>
      <c r="B2" s="17"/>
      <c r="C2" s="1162" t="s">
        <v>1</v>
      </c>
      <c r="D2" s="1162"/>
      <c r="E2" s="1162"/>
      <c r="F2" s="1162"/>
      <c r="G2" s="1162"/>
      <c r="H2" s="1162"/>
      <c r="I2" s="1162"/>
      <c r="J2" s="1162"/>
      <c r="K2" s="1162"/>
      <c r="L2" s="1162"/>
      <c r="M2" s="1162"/>
      <c r="N2" s="1162"/>
      <c r="O2" s="1162"/>
      <c r="P2" s="17"/>
      <c r="Q2" s="17"/>
      <c r="R2" s="17"/>
      <c r="S2" s="39"/>
      <c r="T2" s="17"/>
      <c r="U2" s="17"/>
      <c r="V2" s="17"/>
      <c r="W2" s="17"/>
      <c r="X2" s="17"/>
      <c r="Y2" s="17"/>
      <c r="Z2" s="17"/>
      <c r="AA2" s="17"/>
      <c r="AB2" s="17"/>
      <c r="AC2" s="39"/>
      <c r="AD2" s="39"/>
      <c r="AE2" s="17"/>
      <c r="AF2" s="17"/>
      <c r="AG2" s="1160" t="s">
        <v>2</v>
      </c>
      <c r="AH2" s="1160"/>
      <c r="AI2" s="274">
        <v>5</v>
      </c>
    </row>
    <row r="3" spans="1:35" s="273" customFormat="1" ht="35.25" customHeight="1" thickBot="1" x14ac:dyDescent="0.3">
      <c r="A3" s="17"/>
      <c r="B3" s="17"/>
      <c r="C3" s="17"/>
      <c r="D3" s="17"/>
      <c r="E3" s="17"/>
      <c r="F3" s="17"/>
      <c r="G3" s="17"/>
      <c r="H3" s="17"/>
      <c r="I3" s="17"/>
      <c r="J3" s="17"/>
      <c r="K3" s="17"/>
      <c r="L3" s="17"/>
      <c r="M3" s="17"/>
      <c r="N3" s="17"/>
      <c r="O3" s="17"/>
      <c r="P3" s="17"/>
      <c r="Q3" s="17"/>
      <c r="R3" s="17"/>
      <c r="S3" s="39"/>
      <c r="T3" s="17"/>
      <c r="U3" s="17"/>
      <c r="V3" s="17"/>
      <c r="W3" s="17"/>
      <c r="X3" s="17"/>
      <c r="Y3" s="17"/>
      <c r="Z3" s="17"/>
      <c r="AA3" s="17"/>
      <c r="AB3" s="17"/>
      <c r="AC3" s="39"/>
      <c r="AD3" s="39"/>
      <c r="AE3" s="17"/>
      <c r="AF3" s="17"/>
      <c r="AG3" s="1163" t="s">
        <v>3</v>
      </c>
      <c r="AH3" s="1163"/>
      <c r="AI3" s="1164" t="s">
        <v>4</v>
      </c>
    </row>
    <row r="4" spans="1:35" s="12" customFormat="1" ht="22.5" customHeight="1" x14ac:dyDescent="0.25">
      <c r="A4" s="14"/>
      <c r="B4" s="14"/>
      <c r="C4" s="14"/>
      <c r="D4" s="14"/>
      <c r="E4" s="14"/>
      <c r="F4" s="14"/>
      <c r="G4" s="14"/>
      <c r="H4" s="14"/>
      <c r="I4" s="14"/>
      <c r="J4" s="14"/>
      <c r="K4" s="14"/>
      <c r="L4" s="14"/>
      <c r="M4" s="259" t="s">
        <v>5</v>
      </c>
      <c r="N4" s="14"/>
      <c r="O4" s="14"/>
      <c r="P4" s="14"/>
      <c r="Q4" s="14"/>
      <c r="R4" s="14"/>
      <c r="S4" s="38"/>
      <c r="T4" s="14"/>
      <c r="U4" s="14"/>
      <c r="V4" s="14"/>
      <c r="W4" s="14"/>
      <c r="X4" s="14"/>
      <c r="Y4" s="14" t="s">
        <v>6</v>
      </c>
      <c r="Z4" s="14"/>
      <c r="AA4" s="29"/>
      <c r="AB4" s="261" t="s">
        <v>210</v>
      </c>
      <c r="AC4" s="262"/>
      <c r="AD4" s="262"/>
      <c r="AE4" s="262"/>
      <c r="AF4" s="262"/>
      <c r="AG4" s="262"/>
      <c r="AH4" s="262"/>
      <c r="AI4" s="263"/>
    </row>
    <row r="5" spans="1:35" s="13" customFormat="1" ht="22.5" customHeight="1" x14ac:dyDescent="0.25">
      <c r="A5" s="264" t="s">
        <v>7</v>
      </c>
      <c r="B5" s="264"/>
      <c r="C5" s="264"/>
      <c r="D5" s="265" t="s">
        <v>8</v>
      </c>
      <c r="E5" s="266"/>
      <c r="F5" s="267"/>
      <c r="G5" s="265" t="s">
        <v>9</v>
      </c>
      <c r="H5" s="266"/>
      <c r="I5" s="267"/>
      <c r="J5" s="265" t="s">
        <v>10</v>
      </c>
      <c r="K5" s="267"/>
      <c r="L5" s="70"/>
      <c r="M5" s="260"/>
      <c r="N5" s="70"/>
      <c r="O5" s="268" t="s">
        <v>28</v>
      </c>
      <c r="P5" s="269"/>
      <c r="Q5" s="269"/>
      <c r="R5" s="269"/>
      <c r="S5" s="270"/>
      <c r="T5" s="268" t="s">
        <v>11</v>
      </c>
      <c r="U5" s="269"/>
      <c r="V5" s="269"/>
      <c r="W5" s="269"/>
      <c r="X5" s="270"/>
      <c r="Y5" s="70"/>
      <c r="Z5" s="70"/>
      <c r="AA5" s="75" t="s">
        <v>12</v>
      </c>
      <c r="AB5" s="271" t="s">
        <v>13</v>
      </c>
      <c r="AC5" s="249"/>
      <c r="AD5" s="249"/>
      <c r="AE5" s="272"/>
      <c r="AF5" s="248" t="s">
        <v>14</v>
      </c>
      <c r="AG5" s="249"/>
      <c r="AH5" s="249"/>
      <c r="AI5" s="250"/>
    </row>
    <row r="6" spans="1:35" s="12" customFormat="1" ht="22.5" customHeight="1" thickBot="1" x14ac:dyDescent="0.3">
      <c r="A6" s="11" t="s">
        <v>15</v>
      </c>
      <c r="B6" s="11" t="s">
        <v>16</v>
      </c>
      <c r="C6" s="11" t="s">
        <v>17</v>
      </c>
      <c r="D6" s="11" t="s">
        <v>18</v>
      </c>
      <c r="E6" s="11" t="s">
        <v>19</v>
      </c>
      <c r="F6" s="11" t="s">
        <v>20</v>
      </c>
      <c r="G6" s="11" t="s">
        <v>21</v>
      </c>
      <c r="H6" s="11" t="s">
        <v>22</v>
      </c>
      <c r="I6" s="11" t="s">
        <v>23</v>
      </c>
      <c r="J6" s="11" t="s">
        <v>24</v>
      </c>
      <c r="K6" s="11" t="s">
        <v>25</v>
      </c>
      <c r="L6" s="15" t="s">
        <v>26</v>
      </c>
      <c r="M6" s="15" t="s">
        <v>5</v>
      </c>
      <c r="N6" s="15" t="s">
        <v>27</v>
      </c>
      <c r="O6" s="15" t="s">
        <v>28</v>
      </c>
      <c r="P6" s="15" t="s">
        <v>29</v>
      </c>
      <c r="Q6" s="15" t="s">
        <v>30</v>
      </c>
      <c r="R6" s="15" t="s">
        <v>31</v>
      </c>
      <c r="S6" s="15" t="s">
        <v>32</v>
      </c>
      <c r="T6" s="15" t="s">
        <v>11</v>
      </c>
      <c r="U6" s="15" t="s">
        <v>33</v>
      </c>
      <c r="V6" s="15" t="s">
        <v>34</v>
      </c>
      <c r="W6" s="15" t="s">
        <v>35</v>
      </c>
      <c r="X6" s="15" t="s">
        <v>36</v>
      </c>
      <c r="Y6" s="15" t="s">
        <v>37</v>
      </c>
      <c r="Z6" s="15" t="s">
        <v>38</v>
      </c>
      <c r="AA6" s="44" t="s">
        <v>39</v>
      </c>
      <c r="AB6" s="60" t="s">
        <v>40</v>
      </c>
      <c r="AC6" s="43" t="s">
        <v>41</v>
      </c>
      <c r="AD6" s="43" t="s">
        <v>42</v>
      </c>
      <c r="AE6" s="34" t="s">
        <v>43</v>
      </c>
      <c r="AF6" s="43" t="s">
        <v>40</v>
      </c>
      <c r="AG6" s="43" t="s">
        <v>41</v>
      </c>
      <c r="AH6" s="43" t="s">
        <v>42</v>
      </c>
      <c r="AI6" s="104" t="s">
        <v>43</v>
      </c>
    </row>
    <row r="7" spans="1:35" s="3" customFormat="1" ht="84" x14ac:dyDescent="0.25">
      <c r="A7" s="9" t="s">
        <v>98</v>
      </c>
      <c r="B7" s="9" t="s">
        <v>100</v>
      </c>
      <c r="C7" s="9" t="s">
        <v>99</v>
      </c>
      <c r="D7" s="10" t="s">
        <v>102</v>
      </c>
      <c r="E7" s="10" t="s">
        <v>45</v>
      </c>
      <c r="F7" s="10" t="s">
        <v>110</v>
      </c>
      <c r="G7" s="9" t="s">
        <v>115</v>
      </c>
      <c r="H7" s="10" t="s">
        <v>114</v>
      </c>
      <c r="I7" s="10" t="s">
        <v>116</v>
      </c>
      <c r="J7" s="251" t="s">
        <v>111</v>
      </c>
      <c r="K7" s="254" t="s">
        <v>44</v>
      </c>
      <c r="L7" s="105" t="s">
        <v>45</v>
      </c>
      <c r="M7" s="106" t="s">
        <v>46</v>
      </c>
      <c r="N7" s="74" t="s">
        <v>113</v>
      </c>
      <c r="O7" s="76" t="s">
        <v>203</v>
      </c>
      <c r="P7" s="76" t="s">
        <v>204</v>
      </c>
      <c r="Q7" s="71" t="s">
        <v>51</v>
      </c>
      <c r="R7" s="71">
        <v>0</v>
      </c>
      <c r="S7" s="41">
        <v>1</v>
      </c>
      <c r="T7" s="107"/>
      <c r="U7" s="107"/>
      <c r="V7" s="78"/>
      <c r="W7" s="78"/>
      <c r="X7" s="78"/>
      <c r="Y7" s="77">
        <v>809811280</v>
      </c>
      <c r="Z7" s="140">
        <v>50526291160</v>
      </c>
      <c r="AA7" s="258" t="s">
        <v>76</v>
      </c>
      <c r="AB7" s="54">
        <f>202/220</f>
        <v>0.91818181818181821</v>
      </c>
      <c r="AC7" s="1165">
        <f>+S7</f>
        <v>1</v>
      </c>
      <c r="AD7" s="108">
        <f>+(AB7/AC7)*(8.3%*9)</f>
        <v>0.68588181818181815</v>
      </c>
      <c r="AE7" s="63" t="s">
        <v>244</v>
      </c>
      <c r="AF7" s="1166"/>
      <c r="AG7" s="1167"/>
      <c r="AH7" s="1167"/>
      <c r="AI7" s="1168"/>
    </row>
    <row r="8" spans="1:35" s="16" customFormat="1" ht="35.25" customHeight="1" thickBot="1" x14ac:dyDescent="0.3">
      <c r="A8" s="31"/>
      <c r="B8" s="31"/>
      <c r="C8" s="31"/>
      <c r="D8" s="32"/>
      <c r="E8" s="32"/>
      <c r="F8" s="32"/>
      <c r="G8" s="31"/>
      <c r="H8" s="32"/>
      <c r="I8" s="32"/>
      <c r="J8" s="252"/>
      <c r="K8" s="255"/>
      <c r="L8" s="17"/>
      <c r="M8" s="33"/>
      <c r="N8" s="33"/>
      <c r="O8" s="35"/>
      <c r="P8" s="35"/>
      <c r="Q8" s="17"/>
      <c r="R8" s="17"/>
      <c r="S8" s="39"/>
      <c r="T8" s="36"/>
      <c r="U8" s="36"/>
      <c r="V8" s="17"/>
      <c r="W8" s="17"/>
      <c r="X8" s="17"/>
      <c r="Y8" s="37"/>
      <c r="Z8" s="257"/>
      <c r="AA8" s="258"/>
      <c r="AB8" s="1169" t="s">
        <v>118</v>
      </c>
      <c r="AC8" s="1170"/>
      <c r="AD8" s="1171">
        <f>AVERAGE(AD7)</f>
        <v>0.68588181818181815</v>
      </c>
      <c r="AE8" s="1172"/>
      <c r="AF8" s="1173"/>
      <c r="AG8" s="1174"/>
      <c r="AH8" s="1174"/>
      <c r="AI8" s="1175"/>
    </row>
    <row r="9" spans="1:35" s="4" customFormat="1" ht="36" customHeight="1" x14ac:dyDescent="0.25">
      <c r="A9" s="149" t="s">
        <v>98</v>
      </c>
      <c r="B9" s="149" t="s">
        <v>100</v>
      </c>
      <c r="C9" s="149" t="s">
        <v>99</v>
      </c>
      <c r="D9" s="149" t="s">
        <v>102</v>
      </c>
      <c r="E9" s="186" t="s">
        <v>45</v>
      </c>
      <c r="F9" s="149" t="s">
        <v>110</v>
      </c>
      <c r="G9" s="141" t="s">
        <v>115</v>
      </c>
      <c r="H9" s="143" t="s">
        <v>114</v>
      </c>
      <c r="I9" s="143" t="s">
        <v>116</v>
      </c>
      <c r="J9" s="252"/>
      <c r="K9" s="255"/>
      <c r="L9" s="244" t="s">
        <v>45</v>
      </c>
      <c r="M9" s="246" t="s">
        <v>46</v>
      </c>
      <c r="N9" s="169" t="s">
        <v>46</v>
      </c>
      <c r="O9" s="169" t="s">
        <v>47</v>
      </c>
      <c r="P9" s="169" t="s">
        <v>55</v>
      </c>
      <c r="Q9" s="170" t="s">
        <v>50</v>
      </c>
      <c r="R9" s="170">
        <v>0</v>
      </c>
      <c r="S9" s="171">
        <f>76+67+90+8+285</f>
        <v>526</v>
      </c>
      <c r="T9" s="30" t="s">
        <v>63</v>
      </c>
      <c r="U9" s="30" t="s">
        <v>58</v>
      </c>
      <c r="V9" s="69" t="s">
        <v>50</v>
      </c>
      <c r="W9" s="69">
        <v>0</v>
      </c>
      <c r="X9" s="69">
        <v>141</v>
      </c>
      <c r="Y9" s="240">
        <f>6649063775</f>
        <v>6649063775</v>
      </c>
      <c r="Z9" s="140"/>
      <c r="AA9" s="258"/>
      <c r="AB9" s="233">
        <v>311</v>
      </c>
      <c r="AC9" s="1176">
        <f>+S9</f>
        <v>526</v>
      </c>
      <c r="AD9" s="1177">
        <f>+AB9/AC9</f>
        <v>0.59125475285171103</v>
      </c>
      <c r="AE9" s="243" t="s">
        <v>214</v>
      </c>
      <c r="AF9" s="51">
        <v>84</v>
      </c>
      <c r="AG9" s="1178">
        <f>+X9</f>
        <v>141</v>
      </c>
      <c r="AH9" s="1179">
        <f>+AF9/X9</f>
        <v>0.5957446808510638</v>
      </c>
      <c r="AI9" s="64" t="s">
        <v>215</v>
      </c>
    </row>
    <row r="10" spans="1:35" s="3" customFormat="1" ht="49.5" customHeight="1" x14ac:dyDescent="0.25">
      <c r="A10" s="150"/>
      <c r="B10" s="150"/>
      <c r="C10" s="150"/>
      <c r="D10" s="150"/>
      <c r="E10" s="188"/>
      <c r="F10" s="150"/>
      <c r="G10" s="142"/>
      <c r="H10" s="144"/>
      <c r="I10" s="144"/>
      <c r="J10" s="252"/>
      <c r="K10" s="255"/>
      <c r="L10" s="245"/>
      <c r="M10" s="247"/>
      <c r="N10" s="169"/>
      <c r="O10" s="169"/>
      <c r="P10" s="169"/>
      <c r="Q10" s="170"/>
      <c r="R10" s="170"/>
      <c r="S10" s="171"/>
      <c r="T10" s="30" t="s">
        <v>62</v>
      </c>
      <c r="U10" s="30" t="s">
        <v>57</v>
      </c>
      <c r="V10" s="69" t="s">
        <v>50</v>
      </c>
      <c r="W10" s="69">
        <v>0</v>
      </c>
      <c r="X10" s="69">
        <v>553</v>
      </c>
      <c r="Y10" s="140"/>
      <c r="Z10" s="140"/>
      <c r="AA10" s="258"/>
      <c r="AB10" s="235"/>
      <c r="AC10" s="1180"/>
      <c r="AD10" s="1181"/>
      <c r="AE10" s="243"/>
      <c r="AF10" s="51">
        <v>254</v>
      </c>
      <c r="AG10" s="1178">
        <f>+X10</f>
        <v>553</v>
      </c>
      <c r="AH10" s="1179">
        <f>+AF10/X10</f>
        <v>0.45931283905967452</v>
      </c>
      <c r="AI10" s="64" t="s">
        <v>216</v>
      </c>
    </row>
    <row r="11" spans="1:35" s="4" customFormat="1" ht="42" customHeight="1" x14ac:dyDescent="0.25">
      <c r="A11" s="190" t="s">
        <v>98</v>
      </c>
      <c r="B11" s="190" t="s">
        <v>100</v>
      </c>
      <c r="C11" s="190" t="s">
        <v>99</v>
      </c>
      <c r="D11" s="190" t="s">
        <v>106</v>
      </c>
      <c r="E11" s="201" t="s">
        <v>54</v>
      </c>
      <c r="F11" s="190" t="s">
        <v>107</v>
      </c>
      <c r="G11" s="192" t="s">
        <v>115</v>
      </c>
      <c r="H11" s="194" t="s">
        <v>114</v>
      </c>
      <c r="I11" s="194" t="s">
        <v>116</v>
      </c>
      <c r="J11" s="252"/>
      <c r="K11" s="255"/>
      <c r="L11" s="238" t="s">
        <v>54</v>
      </c>
      <c r="M11" s="239" t="s">
        <v>46</v>
      </c>
      <c r="N11" s="136" t="s">
        <v>46</v>
      </c>
      <c r="O11" s="136" t="s">
        <v>48</v>
      </c>
      <c r="P11" s="136" t="s">
        <v>59</v>
      </c>
      <c r="Q11" s="138" t="s">
        <v>50</v>
      </c>
      <c r="R11" s="138">
        <v>0</v>
      </c>
      <c r="S11" s="208">
        <v>2636</v>
      </c>
      <c r="T11" s="76" t="s">
        <v>64</v>
      </c>
      <c r="U11" s="76" t="s">
        <v>60</v>
      </c>
      <c r="V11" s="71" t="s">
        <v>50</v>
      </c>
      <c r="W11" s="71">
        <v>0</v>
      </c>
      <c r="X11" s="71">
        <v>890</v>
      </c>
      <c r="Y11" s="140"/>
      <c r="Z11" s="140"/>
      <c r="AA11" s="258"/>
      <c r="AB11" s="209">
        <f>+(AB19+AB27+AB35+AB43+AB51)+547</f>
        <v>1904</v>
      </c>
      <c r="AC11" s="1176">
        <f>+S11</f>
        <v>2636</v>
      </c>
      <c r="AD11" s="1177">
        <f>+AB11/AC11</f>
        <v>0.72230652503793624</v>
      </c>
      <c r="AE11" s="183" t="s">
        <v>274</v>
      </c>
      <c r="AF11" s="45">
        <f>+AF19+AF27+AF35+AF43+AF51</f>
        <v>724</v>
      </c>
      <c r="AG11" s="1178">
        <f>+X11</f>
        <v>890</v>
      </c>
      <c r="AH11" s="1182">
        <f>+AF11/X11</f>
        <v>0.81348314606741579</v>
      </c>
      <c r="AI11" s="48" t="s">
        <v>252</v>
      </c>
    </row>
    <row r="12" spans="1:35" s="3" customFormat="1" ht="56.25" customHeight="1" x14ac:dyDescent="0.25">
      <c r="A12" s="191"/>
      <c r="B12" s="191"/>
      <c r="C12" s="191"/>
      <c r="D12" s="191"/>
      <c r="E12" s="202"/>
      <c r="F12" s="191"/>
      <c r="G12" s="193"/>
      <c r="H12" s="195"/>
      <c r="I12" s="195"/>
      <c r="J12" s="252"/>
      <c r="K12" s="255"/>
      <c r="L12" s="238"/>
      <c r="M12" s="239"/>
      <c r="N12" s="136"/>
      <c r="O12" s="136"/>
      <c r="P12" s="136"/>
      <c r="Q12" s="138"/>
      <c r="R12" s="138"/>
      <c r="S12" s="208"/>
      <c r="T12" s="76" t="s">
        <v>65</v>
      </c>
      <c r="U12" s="76" t="s">
        <v>61</v>
      </c>
      <c r="V12" s="71" t="s">
        <v>50</v>
      </c>
      <c r="W12" s="71">
        <v>0</v>
      </c>
      <c r="X12" s="71">
        <v>2248</v>
      </c>
      <c r="Y12" s="140"/>
      <c r="Z12" s="140"/>
      <c r="AA12" s="258"/>
      <c r="AB12" s="211"/>
      <c r="AC12" s="1180"/>
      <c r="AD12" s="1181"/>
      <c r="AE12" s="184"/>
      <c r="AF12" s="45">
        <f>+AF20+AF21+AF28+AF29+AF36+AF37+AF44+AF45+AF52+AF53</f>
        <v>1642</v>
      </c>
      <c r="AG12" s="1178">
        <f>+X12</f>
        <v>2248</v>
      </c>
      <c r="AH12" s="1182">
        <f>+AF12/X12</f>
        <v>0.7304270462633452</v>
      </c>
      <c r="AI12" s="48" t="s">
        <v>253</v>
      </c>
    </row>
    <row r="13" spans="1:35" s="4" customFormat="1" ht="66" customHeight="1" x14ac:dyDescent="0.25">
      <c r="A13" s="8" t="s">
        <v>98</v>
      </c>
      <c r="B13" s="8" t="s">
        <v>100</v>
      </c>
      <c r="C13" s="8" t="s">
        <v>99</v>
      </c>
      <c r="D13" s="8" t="s">
        <v>102</v>
      </c>
      <c r="E13" s="6" t="s">
        <v>45</v>
      </c>
      <c r="F13" s="8" t="s">
        <v>110</v>
      </c>
      <c r="G13" s="8" t="s">
        <v>115</v>
      </c>
      <c r="H13" s="19" t="s">
        <v>114</v>
      </c>
      <c r="I13" s="19" t="s">
        <v>116</v>
      </c>
      <c r="J13" s="252"/>
      <c r="K13" s="255"/>
      <c r="L13" s="110" t="s">
        <v>45</v>
      </c>
      <c r="M13" s="111" t="s">
        <v>46</v>
      </c>
      <c r="N13" s="73" t="s">
        <v>46</v>
      </c>
      <c r="O13" s="30" t="s">
        <v>49</v>
      </c>
      <c r="P13" s="30" t="s">
        <v>66</v>
      </c>
      <c r="Q13" s="69" t="s">
        <v>51</v>
      </c>
      <c r="R13" s="69">
        <v>75</v>
      </c>
      <c r="S13" s="42">
        <v>0.78</v>
      </c>
      <c r="T13" s="151"/>
      <c r="U13" s="152"/>
      <c r="V13" s="152"/>
      <c r="W13" s="152"/>
      <c r="X13" s="153"/>
      <c r="Y13" s="140"/>
      <c r="Z13" s="140"/>
      <c r="AA13" s="258"/>
      <c r="AB13" s="61">
        <f>(79/94)</f>
        <v>0.84042553191489366</v>
      </c>
      <c r="AC13" s="1183">
        <f>+S13</f>
        <v>0.78</v>
      </c>
      <c r="AD13" s="1224">
        <f>+(AB13/AC13)*(8.3%*9)</f>
        <v>0.80486906710310968</v>
      </c>
      <c r="AE13" s="84" t="s">
        <v>217</v>
      </c>
      <c r="AF13" s="1185"/>
      <c r="AG13" s="1186"/>
      <c r="AH13" s="1186"/>
      <c r="AI13" s="1187"/>
    </row>
    <row r="14" spans="1:35" s="16" customFormat="1" ht="35.25" customHeight="1" thickBot="1" x14ac:dyDescent="0.3">
      <c r="A14" s="31"/>
      <c r="B14" s="31"/>
      <c r="C14" s="31"/>
      <c r="D14" s="32"/>
      <c r="E14" s="32"/>
      <c r="F14" s="32"/>
      <c r="G14" s="31"/>
      <c r="H14" s="32"/>
      <c r="I14" s="32"/>
      <c r="J14" s="252"/>
      <c r="K14" s="255"/>
      <c r="L14" s="17"/>
      <c r="M14" s="33"/>
      <c r="N14" s="33"/>
      <c r="O14" s="35"/>
      <c r="P14" s="35"/>
      <c r="Q14" s="17"/>
      <c r="R14" s="17"/>
      <c r="S14" s="39"/>
      <c r="T14" s="36"/>
      <c r="U14" s="36"/>
      <c r="V14" s="17"/>
      <c r="W14" s="17"/>
      <c r="X14" s="17"/>
      <c r="Y14" s="37"/>
      <c r="Z14" s="140"/>
      <c r="AA14" s="258"/>
      <c r="AB14" s="1169" t="s">
        <v>118</v>
      </c>
      <c r="AC14" s="1170"/>
      <c r="AD14" s="1171">
        <f>AVERAGE(AD9:AD13)</f>
        <v>0.70614344833091902</v>
      </c>
      <c r="AE14" s="1172"/>
      <c r="AF14" s="1188" t="s">
        <v>117</v>
      </c>
      <c r="AG14" s="1170"/>
      <c r="AH14" s="1189">
        <f>AVERAGE(AH9:AH12)</f>
        <v>0.6497419280603749</v>
      </c>
      <c r="AI14" s="1175"/>
    </row>
    <row r="15" spans="1:35" s="4" customFormat="1" ht="39.75" customHeight="1" x14ac:dyDescent="0.25">
      <c r="A15" s="149" t="s">
        <v>98</v>
      </c>
      <c r="B15" s="149" t="s">
        <v>100</v>
      </c>
      <c r="C15" s="149" t="s">
        <v>99</v>
      </c>
      <c r="D15" s="149" t="s">
        <v>102</v>
      </c>
      <c r="E15" s="186" t="s">
        <v>45</v>
      </c>
      <c r="F15" s="149" t="s">
        <v>110</v>
      </c>
      <c r="G15" s="141" t="s">
        <v>115</v>
      </c>
      <c r="H15" s="143" t="s">
        <v>114</v>
      </c>
      <c r="I15" s="143"/>
      <c r="J15" s="252"/>
      <c r="K15" s="255"/>
      <c r="L15" s="203" t="s">
        <v>45</v>
      </c>
      <c r="M15" s="205" t="s">
        <v>46</v>
      </c>
      <c r="N15" s="170" t="s">
        <v>67</v>
      </c>
      <c r="O15" s="169" t="s">
        <v>47</v>
      </c>
      <c r="P15" s="169" t="s">
        <v>55</v>
      </c>
      <c r="Q15" s="170" t="s">
        <v>50</v>
      </c>
      <c r="R15" s="170">
        <v>0</v>
      </c>
      <c r="S15" s="171">
        <v>76</v>
      </c>
      <c r="T15" s="30" t="s">
        <v>56</v>
      </c>
      <c r="U15" s="30" t="s">
        <v>58</v>
      </c>
      <c r="V15" s="69" t="s">
        <v>50</v>
      </c>
      <c r="W15" s="69">
        <v>0</v>
      </c>
      <c r="X15" s="69">
        <v>40</v>
      </c>
      <c r="Y15" s="140">
        <v>15341231388</v>
      </c>
      <c r="Z15" s="140"/>
      <c r="AA15" s="258"/>
      <c r="AB15" s="1190">
        <v>33</v>
      </c>
      <c r="AC15" s="1191">
        <f>+S15</f>
        <v>76</v>
      </c>
      <c r="AD15" s="1192">
        <f>+AB15/AC15</f>
        <v>0.43421052631578949</v>
      </c>
      <c r="AE15" s="157" t="s">
        <v>275</v>
      </c>
      <c r="AF15" s="56">
        <v>29</v>
      </c>
      <c r="AG15" s="1193">
        <f t="shared" ref="AG15:AG21" si="0">+X15</f>
        <v>40</v>
      </c>
      <c r="AH15" s="1201">
        <f t="shared" ref="AH15:AH21" si="1">+AF15/X15</f>
        <v>0.72499999999999998</v>
      </c>
      <c r="AI15" s="47" t="s">
        <v>218</v>
      </c>
    </row>
    <row r="16" spans="1:35" s="3" customFormat="1" ht="35.25" customHeight="1" x14ac:dyDescent="0.25">
      <c r="A16" s="150"/>
      <c r="B16" s="150"/>
      <c r="C16" s="150"/>
      <c r="D16" s="150"/>
      <c r="E16" s="188"/>
      <c r="F16" s="150"/>
      <c r="G16" s="142"/>
      <c r="H16" s="144"/>
      <c r="I16" s="144"/>
      <c r="J16" s="252"/>
      <c r="K16" s="255"/>
      <c r="L16" s="204"/>
      <c r="M16" s="206"/>
      <c r="N16" s="170"/>
      <c r="O16" s="169"/>
      <c r="P16" s="169"/>
      <c r="Q16" s="170"/>
      <c r="R16" s="170"/>
      <c r="S16" s="171"/>
      <c r="T16" s="30" t="s">
        <v>52</v>
      </c>
      <c r="U16" s="30" t="s">
        <v>57</v>
      </c>
      <c r="V16" s="69" t="s">
        <v>50</v>
      </c>
      <c r="W16" s="69">
        <v>0</v>
      </c>
      <c r="X16" s="69">
        <v>80</v>
      </c>
      <c r="Y16" s="140"/>
      <c r="Z16" s="140"/>
      <c r="AA16" s="258"/>
      <c r="AB16" s="1194"/>
      <c r="AC16" s="1195"/>
      <c r="AD16" s="1196"/>
      <c r="AE16" s="200"/>
      <c r="AF16" s="56">
        <v>26</v>
      </c>
      <c r="AG16" s="1193">
        <f t="shared" si="0"/>
        <v>80</v>
      </c>
      <c r="AH16" s="1201">
        <f t="shared" si="1"/>
        <v>0.32500000000000001</v>
      </c>
      <c r="AI16" s="47" t="s">
        <v>219</v>
      </c>
    </row>
    <row r="17" spans="1:35" s="4" customFormat="1" ht="48" customHeight="1" x14ac:dyDescent="0.25">
      <c r="A17" s="190" t="s">
        <v>98</v>
      </c>
      <c r="B17" s="190" t="s">
        <v>100</v>
      </c>
      <c r="C17" s="190" t="s">
        <v>99</v>
      </c>
      <c r="D17" s="190" t="s">
        <v>102</v>
      </c>
      <c r="E17" s="201" t="s">
        <v>45</v>
      </c>
      <c r="F17" s="190" t="s">
        <v>110</v>
      </c>
      <c r="G17" s="192" t="s">
        <v>115</v>
      </c>
      <c r="H17" s="194" t="s">
        <v>114</v>
      </c>
      <c r="I17" s="194" t="s">
        <v>116</v>
      </c>
      <c r="J17" s="252"/>
      <c r="K17" s="255"/>
      <c r="L17" s="196" t="s">
        <v>45</v>
      </c>
      <c r="M17" s="198" t="s">
        <v>46</v>
      </c>
      <c r="N17" s="138" t="s">
        <v>67</v>
      </c>
      <c r="O17" s="136" t="s">
        <v>49</v>
      </c>
      <c r="P17" s="136" t="s">
        <v>66</v>
      </c>
      <c r="Q17" s="138" t="s">
        <v>51</v>
      </c>
      <c r="R17" s="138">
        <v>0</v>
      </c>
      <c r="S17" s="189">
        <v>0.78</v>
      </c>
      <c r="T17" s="76" t="s">
        <v>68</v>
      </c>
      <c r="U17" s="76" t="s">
        <v>72</v>
      </c>
      <c r="V17" s="71" t="s">
        <v>51</v>
      </c>
      <c r="W17" s="71">
        <v>0</v>
      </c>
      <c r="X17" s="22">
        <v>0.95</v>
      </c>
      <c r="Y17" s="140"/>
      <c r="Z17" s="140"/>
      <c r="AA17" s="258"/>
      <c r="AB17" s="236">
        <f>13/18</f>
        <v>0.72222222222222221</v>
      </c>
      <c r="AC17" s="1197">
        <f>+S17</f>
        <v>0.78</v>
      </c>
      <c r="AD17" s="241">
        <f>+(AB17/AC17)*(8.3%*9)</f>
        <v>0.69166666666666665</v>
      </c>
      <c r="AE17" s="183" t="s">
        <v>220</v>
      </c>
      <c r="AF17" s="46">
        <f>(17/21)</f>
        <v>0.80952380952380953</v>
      </c>
      <c r="AG17" s="1198">
        <f t="shared" si="0"/>
        <v>0.95</v>
      </c>
      <c r="AH17" s="1182">
        <f>+(AF17/X17)*(8.3%*9)</f>
        <v>0.63654135338345874</v>
      </c>
      <c r="AI17" s="48" t="s">
        <v>221</v>
      </c>
    </row>
    <row r="18" spans="1:35" s="3" customFormat="1" ht="51.75" customHeight="1" x14ac:dyDescent="0.25">
      <c r="A18" s="191"/>
      <c r="B18" s="191"/>
      <c r="C18" s="191"/>
      <c r="D18" s="191"/>
      <c r="E18" s="202"/>
      <c r="F18" s="191"/>
      <c r="G18" s="193"/>
      <c r="H18" s="195"/>
      <c r="I18" s="195"/>
      <c r="J18" s="252"/>
      <c r="K18" s="255"/>
      <c r="L18" s="197"/>
      <c r="M18" s="199"/>
      <c r="N18" s="138"/>
      <c r="O18" s="136"/>
      <c r="P18" s="136"/>
      <c r="Q18" s="138"/>
      <c r="R18" s="138"/>
      <c r="S18" s="189"/>
      <c r="T18" s="76" t="s">
        <v>69</v>
      </c>
      <c r="U18" s="76" t="s">
        <v>73</v>
      </c>
      <c r="V18" s="71" t="s">
        <v>51</v>
      </c>
      <c r="W18" s="71">
        <v>0</v>
      </c>
      <c r="X18" s="22">
        <v>0.95</v>
      </c>
      <c r="Y18" s="140"/>
      <c r="Z18" s="140"/>
      <c r="AA18" s="258"/>
      <c r="AB18" s="237"/>
      <c r="AC18" s="1180"/>
      <c r="AD18" s="242" t="e">
        <f t="shared" ref="AD18" si="2">+(AB18/AC18)*(8.3%*8)</f>
        <v>#DIV/0!</v>
      </c>
      <c r="AE18" s="184"/>
      <c r="AF18" s="46">
        <f>(3/12)</f>
        <v>0.25</v>
      </c>
      <c r="AG18" s="1183">
        <f t="shared" si="0"/>
        <v>0.95</v>
      </c>
      <c r="AH18" s="1184">
        <f>+(AF18/X18)*(8.3%*9)</f>
        <v>0.19657894736842105</v>
      </c>
      <c r="AI18" s="48" t="s">
        <v>222</v>
      </c>
    </row>
    <row r="19" spans="1:35" s="4" customFormat="1" ht="46.5" customHeight="1" x14ac:dyDescent="0.25">
      <c r="A19" s="149" t="s">
        <v>98</v>
      </c>
      <c r="B19" s="149" t="s">
        <v>100</v>
      </c>
      <c r="C19" s="149" t="s">
        <v>99</v>
      </c>
      <c r="D19" s="149" t="s">
        <v>106</v>
      </c>
      <c r="E19" s="186" t="s">
        <v>54</v>
      </c>
      <c r="F19" s="149" t="s">
        <v>107</v>
      </c>
      <c r="G19" s="141" t="s">
        <v>115</v>
      </c>
      <c r="H19" s="143" t="s">
        <v>114</v>
      </c>
      <c r="I19" s="143" t="s">
        <v>116</v>
      </c>
      <c r="J19" s="252"/>
      <c r="K19" s="255"/>
      <c r="L19" s="177" t="s">
        <v>54</v>
      </c>
      <c r="M19" s="179" t="s">
        <v>46</v>
      </c>
      <c r="N19" s="170" t="s">
        <v>67</v>
      </c>
      <c r="O19" s="169" t="s">
        <v>48</v>
      </c>
      <c r="P19" s="169" t="s">
        <v>59</v>
      </c>
      <c r="Q19" s="170" t="s">
        <v>50</v>
      </c>
      <c r="R19" s="170">
        <v>0</v>
      </c>
      <c r="S19" s="171">
        <v>423</v>
      </c>
      <c r="T19" s="30" t="s">
        <v>53</v>
      </c>
      <c r="U19" s="30" t="s">
        <v>60</v>
      </c>
      <c r="V19" s="69" t="s">
        <v>50</v>
      </c>
      <c r="W19" s="69">
        <v>0</v>
      </c>
      <c r="X19" s="69">
        <v>378</v>
      </c>
      <c r="Y19" s="140"/>
      <c r="Z19" s="140"/>
      <c r="AA19" s="258"/>
      <c r="AB19" s="233">
        <v>162</v>
      </c>
      <c r="AC19" s="1176">
        <f>+S19</f>
        <v>423</v>
      </c>
      <c r="AD19" s="1192">
        <f>+AB19/AC19</f>
        <v>0.38297872340425532</v>
      </c>
      <c r="AE19" s="157" t="s">
        <v>256</v>
      </c>
      <c r="AF19" s="51">
        <v>349</v>
      </c>
      <c r="AG19" s="1178">
        <f t="shared" si="0"/>
        <v>378</v>
      </c>
      <c r="AH19" s="1182">
        <f t="shared" si="1"/>
        <v>0.92328042328042326</v>
      </c>
      <c r="AI19" s="47" t="s">
        <v>257</v>
      </c>
    </row>
    <row r="20" spans="1:35" s="3" customFormat="1" ht="33" customHeight="1" x14ac:dyDescent="0.25">
      <c r="A20" s="185"/>
      <c r="B20" s="185"/>
      <c r="C20" s="185"/>
      <c r="D20" s="185"/>
      <c r="E20" s="187"/>
      <c r="F20" s="185"/>
      <c r="G20" s="175"/>
      <c r="H20" s="176"/>
      <c r="I20" s="176"/>
      <c r="J20" s="252"/>
      <c r="K20" s="255"/>
      <c r="L20" s="178"/>
      <c r="M20" s="180"/>
      <c r="N20" s="170"/>
      <c r="O20" s="169"/>
      <c r="P20" s="169"/>
      <c r="Q20" s="170"/>
      <c r="R20" s="170"/>
      <c r="S20" s="171"/>
      <c r="T20" s="30" t="s">
        <v>70</v>
      </c>
      <c r="U20" s="30" t="s">
        <v>74</v>
      </c>
      <c r="V20" s="69" t="s">
        <v>50</v>
      </c>
      <c r="W20" s="69">
        <v>0</v>
      </c>
      <c r="X20" s="69">
        <v>378</v>
      </c>
      <c r="Y20" s="140"/>
      <c r="Z20" s="140"/>
      <c r="AA20" s="258"/>
      <c r="AB20" s="234"/>
      <c r="AC20" s="1199"/>
      <c r="AD20" s="1200"/>
      <c r="AE20" s="228"/>
      <c r="AF20" s="51">
        <v>237</v>
      </c>
      <c r="AG20" s="1178">
        <f t="shared" si="0"/>
        <v>378</v>
      </c>
      <c r="AH20" s="1182">
        <f t="shared" si="1"/>
        <v>0.62698412698412698</v>
      </c>
      <c r="AI20" s="47" t="s">
        <v>258</v>
      </c>
    </row>
    <row r="21" spans="1:35" s="4" customFormat="1" ht="35.25" customHeight="1" thickBot="1" x14ac:dyDescent="0.3">
      <c r="A21" s="150"/>
      <c r="B21" s="150"/>
      <c r="C21" s="150"/>
      <c r="D21" s="150"/>
      <c r="E21" s="188"/>
      <c r="F21" s="150"/>
      <c r="G21" s="142"/>
      <c r="H21" s="144"/>
      <c r="I21" s="144"/>
      <c r="J21" s="252"/>
      <c r="K21" s="255"/>
      <c r="L21" s="229"/>
      <c r="M21" s="230"/>
      <c r="N21" s="170"/>
      <c r="O21" s="169"/>
      <c r="P21" s="169"/>
      <c r="Q21" s="170"/>
      <c r="R21" s="170"/>
      <c r="S21" s="171"/>
      <c r="T21" s="30" t="s">
        <v>71</v>
      </c>
      <c r="U21" s="30" t="s">
        <v>75</v>
      </c>
      <c r="V21" s="69" t="s">
        <v>50</v>
      </c>
      <c r="W21" s="69">
        <v>0</v>
      </c>
      <c r="X21" s="69">
        <v>67</v>
      </c>
      <c r="Y21" s="140"/>
      <c r="Z21" s="140"/>
      <c r="AA21" s="258"/>
      <c r="AB21" s="235"/>
      <c r="AC21" s="1180"/>
      <c r="AD21" s="1196"/>
      <c r="AE21" s="200"/>
      <c r="AF21" s="51">
        <v>65</v>
      </c>
      <c r="AG21" s="1178">
        <f t="shared" si="0"/>
        <v>67</v>
      </c>
      <c r="AH21" s="1182">
        <f t="shared" si="1"/>
        <v>0.97014925373134331</v>
      </c>
      <c r="AI21" s="47" t="s">
        <v>276</v>
      </c>
    </row>
    <row r="22" spans="1:35" s="16" customFormat="1" ht="35.25" customHeight="1" thickBot="1" x14ac:dyDescent="0.3">
      <c r="A22" s="31"/>
      <c r="B22" s="31"/>
      <c r="C22" s="31"/>
      <c r="D22" s="32"/>
      <c r="E22" s="32"/>
      <c r="F22" s="32"/>
      <c r="G22" s="31"/>
      <c r="H22" s="32"/>
      <c r="I22" s="32"/>
      <c r="J22" s="252"/>
      <c r="K22" s="255"/>
      <c r="L22" s="17"/>
      <c r="M22" s="33"/>
      <c r="N22" s="33"/>
      <c r="O22" s="35"/>
      <c r="P22" s="35"/>
      <c r="Q22" s="17"/>
      <c r="R22" s="17"/>
      <c r="S22" s="39"/>
      <c r="T22" s="36"/>
      <c r="U22" s="36"/>
      <c r="V22" s="17"/>
      <c r="W22" s="17"/>
      <c r="X22" s="17"/>
      <c r="Y22" s="37"/>
      <c r="Z22" s="140"/>
      <c r="AA22" s="258"/>
      <c r="AB22" s="1169" t="s">
        <v>118</v>
      </c>
      <c r="AC22" s="1170"/>
      <c r="AD22" s="114">
        <f>AVERAGE(AD15,AD17,AD19)</f>
        <v>0.50295197212890386</v>
      </c>
      <c r="AE22" s="1172"/>
      <c r="AF22" s="1188" t="s">
        <v>117</v>
      </c>
      <c r="AG22" s="1170"/>
      <c r="AH22" s="1171">
        <f>AVERAGE(AH15:AH21)</f>
        <v>0.62907630067825338</v>
      </c>
      <c r="AI22" s="1175"/>
    </row>
    <row r="23" spans="1:35" s="3" customFormat="1" ht="36" customHeight="1" x14ac:dyDescent="0.25">
      <c r="A23" s="190" t="s">
        <v>98</v>
      </c>
      <c r="B23" s="190" t="s">
        <v>100</v>
      </c>
      <c r="C23" s="190" t="s">
        <v>99</v>
      </c>
      <c r="D23" s="190" t="s">
        <v>102</v>
      </c>
      <c r="E23" s="201" t="s">
        <v>45</v>
      </c>
      <c r="F23" s="190" t="s">
        <v>110</v>
      </c>
      <c r="G23" s="192" t="s">
        <v>115</v>
      </c>
      <c r="H23" s="194" t="s">
        <v>114</v>
      </c>
      <c r="I23" s="194" t="s">
        <v>116</v>
      </c>
      <c r="J23" s="252"/>
      <c r="K23" s="255"/>
      <c r="L23" s="225" t="s">
        <v>45</v>
      </c>
      <c r="M23" s="226" t="s">
        <v>46</v>
      </c>
      <c r="N23" s="138" t="s">
        <v>77</v>
      </c>
      <c r="O23" s="136" t="s">
        <v>47</v>
      </c>
      <c r="P23" s="136" t="s">
        <v>55</v>
      </c>
      <c r="Q23" s="138" t="s">
        <v>50</v>
      </c>
      <c r="R23" s="138">
        <v>0</v>
      </c>
      <c r="S23" s="208">
        <v>67</v>
      </c>
      <c r="T23" s="76" t="s">
        <v>277</v>
      </c>
      <c r="U23" s="76" t="s">
        <v>58</v>
      </c>
      <c r="V23" s="71" t="s">
        <v>50</v>
      </c>
      <c r="W23" s="71">
        <v>0</v>
      </c>
      <c r="X23" s="71">
        <v>50</v>
      </c>
      <c r="Y23" s="140">
        <v>9080683866</v>
      </c>
      <c r="Z23" s="140"/>
      <c r="AA23" s="258"/>
      <c r="AB23" s="209">
        <v>34</v>
      </c>
      <c r="AC23" s="1176">
        <f>+S23</f>
        <v>67</v>
      </c>
      <c r="AD23" s="132">
        <f>+AB23/S23</f>
        <v>0.5074626865671642</v>
      </c>
      <c r="AE23" s="183" t="s">
        <v>223</v>
      </c>
      <c r="AF23" s="45">
        <v>30</v>
      </c>
      <c r="AG23" s="1178">
        <f t="shared" ref="AG23:AG29" si="3">+X23</f>
        <v>50</v>
      </c>
      <c r="AH23" s="1182">
        <f t="shared" ref="AH23:AH29" si="4">+AF23/X23</f>
        <v>0.6</v>
      </c>
      <c r="AI23" s="48" t="s">
        <v>224</v>
      </c>
    </row>
    <row r="24" spans="1:35" s="4" customFormat="1" ht="36" x14ac:dyDescent="0.25">
      <c r="A24" s="191"/>
      <c r="B24" s="191"/>
      <c r="C24" s="191"/>
      <c r="D24" s="191"/>
      <c r="E24" s="202"/>
      <c r="F24" s="191"/>
      <c r="G24" s="193"/>
      <c r="H24" s="195"/>
      <c r="I24" s="195"/>
      <c r="J24" s="252"/>
      <c r="K24" s="255"/>
      <c r="L24" s="197"/>
      <c r="M24" s="199"/>
      <c r="N24" s="138"/>
      <c r="O24" s="136"/>
      <c r="P24" s="136"/>
      <c r="Q24" s="138"/>
      <c r="R24" s="138"/>
      <c r="S24" s="208"/>
      <c r="T24" s="76" t="s">
        <v>52</v>
      </c>
      <c r="U24" s="76" t="s">
        <v>57</v>
      </c>
      <c r="V24" s="71" t="s">
        <v>50</v>
      </c>
      <c r="W24" s="71">
        <v>0</v>
      </c>
      <c r="X24" s="71">
        <v>70</v>
      </c>
      <c r="Y24" s="140"/>
      <c r="Z24" s="140"/>
      <c r="AA24" s="258"/>
      <c r="AB24" s="211"/>
      <c r="AC24" s="1180"/>
      <c r="AD24" s="133"/>
      <c r="AE24" s="184"/>
      <c r="AF24" s="45">
        <v>33</v>
      </c>
      <c r="AG24" s="1178">
        <f t="shared" si="3"/>
        <v>70</v>
      </c>
      <c r="AH24" s="1182">
        <f t="shared" si="4"/>
        <v>0.47142857142857142</v>
      </c>
      <c r="AI24" s="48" t="s">
        <v>278</v>
      </c>
    </row>
    <row r="25" spans="1:35" s="3" customFormat="1" ht="60" x14ac:dyDescent="0.25">
      <c r="A25" s="149" t="s">
        <v>98</v>
      </c>
      <c r="B25" s="149" t="s">
        <v>100</v>
      </c>
      <c r="C25" s="149" t="s">
        <v>99</v>
      </c>
      <c r="D25" s="149" t="s">
        <v>102</v>
      </c>
      <c r="E25" s="186" t="s">
        <v>45</v>
      </c>
      <c r="F25" s="149" t="s">
        <v>110</v>
      </c>
      <c r="G25" s="141" t="s">
        <v>115</v>
      </c>
      <c r="H25" s="143" t="s">
        <v>114</v>
      </c>
      <c r="I25" s="143" t="s">
        <v>116</v>
      </c>
      <c r="J25" s="252"/>
      <c r="K25" s="255"/>
      <c r="L25" s="177" t="s">
        <v>45</v>
      </c>
      <c r="M25" s="179" t="s">
        <v>46</v>
      </c>
      <c r="N25" s="170" t="s">
        <v>77</v>
      </c>
      <c r="O25" s="169" t="s">
        <v>49</v>
      </c>
      <c r="P25" s="169" t="s">
        <v>66</v>
      </c>
      <c r="Q25" s="170" t="s">
        <v>51</v>
      </c>
      <c r="R25" s="170">
        <v>0</v>
      </c>
      <c r="S25" s="224">
        <v>0.78</v>
      </c>
      <c r="T25" s="30" t="s">
        <v>68</v>
      </c>
      <c r="U25" s="30" t="s">
        <v>72</v>
      </c>
      <c r="V25" s="69" t="s">
        <v>51</v>
      </c>
      <c r="W25" s="69">
        <v>0</v>
      </c>
      <c r="X25" s="21">
        <v>0.95</v>
      </c>
      <c r="Y25" s="140"/>
      <c r="Z25" s="140"/>
      <c r="AA25" s="258"/>
      <c r="AB25" s="231">
        <f>(21/26)</f>
        <v>0.80769230769230771</v>
      </c>
      <c r="AC25" s="1197">
        <f>+S25</f>
        <v>0.78</v>
      </c>
      <c r="AD25" s="132">
        <f>+(AB25/AC25)*(8.3%*9)</f>
        <v>0.77352071005917156</v>
      </c>
      <c r="AE25" s="157" t="s">
        <v>227</v>
      </c>
      <c r="AF25" s="52">
        <f>(20/31)</f>
        <v>0.64516129032258063</v>
      </c>
      <c r="AG25" s="1198">
        <f t="shared" si="3"/>
        <v>0.95</v>
      </c>
      <c r="AH25" s="1182">
        <f>+(AF25/X25)*(8.3%*9)</f>
        <v>0.50730050933786075</v>
      </c>
      <c r="AI25" s="47" t="s">
        <v>225</v>
      </c>
    </row>
    <row r="26" spans="1:35" s="4" customFormat="1" ht="60" x14ac:dyDescent="0.25">
      <c r="A26" s="150"/>
      <c r="B26" s="150"/>
      <c r="C26" s="150"/>
      <c r="D26" s="150"/>
      <c r="E26" s="188"/>
      <c r="F26" s="150"/>
      <c r="G26" s="142"/>
      <c r="H26" s="144"/>
      <c r="I26" s="144"/>
      <c r="J26" s="252"/>
      <c r="K26" s="255"/>
      <c r="L26" s="204"/>
      <c r="M26" s="206"/>
      <c r="N26" s="170"/>
      <c r="O26" s="169"/>
      <c r="P26" s="169"/>
      <c r="Q26" s="170"/>
      <c r="R26" s="170"/>
      <c r="S26" s="224"/>
      <c r="T26" s="30" t="s">
        <v>69</v>
      </c>
      <c r="U26" s="30" t="s">
        <v>73</v>
      </c>
      <c r="V26" s="69" t="s">
        <v>51</v>
      </c>
      <c r="W26" s="69">
        <v>0</v>
      </c>
      <c r="X26" s="21">
        <v>0.95</v>
      </c>
      <c r="Y26" s="140"/>
      <c r="Z26" s="140"/>
      <c r="AA26" s="258"/>
      <c r="AB26" s="232"/>
      <c r="AC26" s="1180"/>
      <c r="AD26" s="133" t="e">
        <f t="shared" ref="AD26" si="5">+(AB26/AC26)*(8.3%*8)</f>
        <v>#DIV/0!</v>
      </c>
      <c r="AE26" s="200"/>
      <c r="AF26" s="52">
        <f>8/30</f>
        <v>0.26666666666666666</v>
      </c>
      <c r="AG26" s="1198">
        <f t="shared" si="3"/>
        <v>0.95</v>
      </c>
      <c r="AH26" s="1182">
        <f>+(AF26/X26)*(8.3%*9)</f>
        <v>0.20968421052631578</v>
      </c>
      <c r="AI26" s="47" t="s">
        <v>226</v>
      </c>
    </row>
    <row r="27" spans="1:35" s="3" customFormat="1" ht="36" x14ac:dyDescent="0.25">
      <c r="A27" s="190" t="s">
        <v>98</v>
      </c>
      <c r="B27" s="190" t="s">
        <v>100</v>
      </c>
      <c r="C27" s="190" t="s">
        <v>99</v>
      </c>
      <c r="D27" s="190" t="s">
        <v>106</v>
      </c>
      <c r="E27" s="201" t="s">
        <v>54</v>
      </c>
      <c r="F27" s="190" t="s">
        <v>107</v>
      </c>
      <c r="G27" s="192" t="s">
        <v>115</v>
      </c>
      <c r="H27" s="194" t="s">
        <v>114</v>
      </c>
      <c r="I27" s="194" t="s">
        <v>116</v>
      </c>
      <c r="J27" s="252"/>
      <c r="K27" s="255"/>
      <c r="L27" s="196" t="s">
        <v>54</v>
      </c>
      <c r="M27" s="198" t="s">
        <v>46</v>
      </c>
      <c r="N27" s="136" t="s">
        <v>77</v>
      </c>
      <c r="O27" s="136" t="s">
        <v>48</v>
      </c>
      <c r="P27" s="136" t="s">
        <v>59</v>
      </c>
      <c r="Q27" s="138" t="s">
        <v>50</v>
      </c>
      <c r="R27" s="138">
        <v>0</v>
      </c>
      <c r="S27" s="208">
        <v>223</v>
      </c>
      <c r="T27" s="76" t="s">
        <v>53</v>
      </c>
      <c r="U27" s="76" t="s">
        <v>60</v>
      </c>
      <c r="V27" s="71" t="s">
        <v>50</v>
      </c>
      <c r="W27" s="71">
        <v>0</v>
      </c>
      <c r="X27" s="71">
        <v>199</v>
      </c>
      <c r="Y27" s="140"/>
      <c r="Z27" s="140"/>
      <c r="AA27" s="258"/>
      <c r="AB27" s="209">
        <v>80</v>
      </c>
      <c r="AC27" s="1176">
        <f>+S27</f>
        <v>223</v>
      </c>
      <c r="AD27" s="132">
        <f>+AB27/S27</f>
        <v>0.35874439461883406</v>
      </c>
      <c r="AE27" s="183" t="s">
        <v>273</v>
      </c>
      <c r="AF27" s="45">
        <v>118</v>
      </c>
      <c r="AG27" s="1178">
        <f t="shared" si="3"/>
        <v>199</v>
      </c>
      <c r="AH27" s="1182">
        <f t="shared" si="4"/>
        <v>0.59296482412060303</v>
      </c>
      <c r="AI27" s="48" t="s">
        <v>259</v>
      </c>
    </row>
    <row r="28" spans="1:35" s="4" customFormat="1" ht="36" x14ac:dyDescent="0.25">
      <c r="A28" s="222"/>
      <c r="B28" s="222"/>
      <c r="C28" s="222"/>
      <c r="D28" s="222"/>
      <c r="E28" s="223"/>
      <c r="F28" s="222"/>
      <c r="G28" s="212"/>
      <c r="H28" s="213"/>
      <c r="I28" s="213"/>
      <c r="J28" s="252"/>
      <c r="K28" s="255"/>
      <c r="L28" s="214"/>
      <c r="M28" s="216"/>
      <c r="N28" s="136"/>
      <c r="O28" s="136"/>
      <c r="P28" s="136"/>
      <c r="Q28" s="138"/>
      <c r="R28" s="138"/>
      <c r="S28" s="208"/>
      <c r="T28" s="76" t="s">
        <v>70</v>
      </c>
      <c r="U28" s="76" t="s">
        <v>74</v>
      </c>
      <c r="V28" s="71" t="s">
        <v>50</v>
      </c>
      <c r="W28" s="71">
        <v>0</v>
      </c>
      <c r="X28" s="71">
        <v>199</v>
      </c>
      <c r="Y28" s="140"/>
      <c r="Z28" s="140"/>
      <c r="AA28" s="258"/>
      <c r="AB28" s="210"/>
      <c r="AC28" s="1199"/>
      <c r="AD28" s="227"/>
      <c r="AE28" s="207"/>
      <c r="AF28" s="45">
        <v>84</v>
      </c>
      <c r="AG28" s="1178">
        <f t="shared" si="3"/>
        <v>199</v>
      </c>
      <c r="AH28" s="1182">
        <f t="shared" si="4"/>
        <v>0.42211055276381909</v>
      </c>
      <c r="AI28" s="48" t="s">
        <v>260</v>
      </c>
    </row>
    <row r="29" spans="1:35" s="3" customFormat="1" ht="36.75" thickBot="1" x14ac:dyDescent="0.3">
      <c r="A29" s="191"/>
      <c r="B29" s="191"/>
      <c r="C29" s="191"/>
      <c r="D29" s="191"/>
      <c r="E29" s="202"/>
      <c r="F29" s="191"/>
      <c r="G29" s="193"/>
      <c r="H29" s="195"/>
      <c r="I29" s="195"/>
      <c r="J29" s="252"/>
      <c r="K29" s="255"/>
      <c r="L29" s="215"/>
      <c r="M29" s="217"/>
      <c r="N29" s="136"/>
      <c r="O29" s="136"/>
      <c r="P29" s="136"/>
      <c r="Q29" s="138"/>
      <c r="R29" s="138"/>
      <c r="S29" s="208"/>
      <c r="T29" s="76" t="s">
        <v>71</v>
      </c>
      <c r="U29" s="76" t="s">
        <v>75</v>
      </c>
      <c r="V29" s="71" t="s">
        <v>50</v>
      </c>
      <c r="W29" s="71">
        <v>0</v>
      </c>
      <c r="X29" s="71">
        <v>36</v>
      </c>
      <c r="Y29" s="140"/>
      <c r="Z29" s="140"/>
      <c r="AA29" s="258"/>
      <c r="AB29" s="211"/>
      <c r="AC29" s="1180"/>
      <c r="AD29" s="133"/>
      <c r="AE29" s="184"/>
      <c r="AF29" s="45">
        <v>21</v>
      </c>
      <c r="AG29" s="1178">
        <f t="shared" si="3"/>
        <v>36</v>
      </c>
      <c r="AH29" s="1182">
        <f t="shared" si="4"/>
        <v>0.58333333333333337</v>
      </c>
      <c r="AI29" s="48" t="s">
        <v>261</v>
      </c>
    </row>
    <row r="30" spans="1:35" s="16" customFormat="1" ht="35.25" customHeight="1" thickBot="1" x14ac:dyDescent="0.3">
      <c r="A30" s="31"/>
      <c r="B30" s="31"/>
      <c r="C30" s="31"/>
      <c r="D30" s="32"/>
      <c r="E30" s="32"/>
      <c r="F30" s="32"/>
      <c r="G30" s="31"/>
      <c r="H30" s="32"/>
      <c r="I30" s="32"/>
      <c r="J30" s="252"/>
      <c r="K30" s="255"/>
      <c r="L30" s="17"/>
      <c r="M30" s="33"/>
      <c r="N30" s="33"/>
      <c r="O30" s="35"/>
      <c r="P30" s="35"/>
      <c r="Q30" s="17"/>
      <c r="R30" s="17"/>
      <c r="S30" s="39"/>
      <c r="T30" s="36"/>
      <c r="U30" s="36"/>
      <c r="V30" s="17"/>
      <c r="W30" s="17"/>
      <c r="X30" s="17"/>
      <c r="Y30" s="37"/>
      <c r="Z30" s="140"/>
      <c r="AA30" s="258"/>
      <c r="AB30" s="1169" t="s">
        <v>118</v>
      </c>
      <c r="AC30" s="1170"/>
      <c r="AD30" s="109">
        <f>AVERAGE(AD23,AD25,AD27)</f>
        <v>0.54657593041505659</v>
      </c>
      <c r="AE30" s="1172"/>
      <c r="AF30" s="1188" t="s">
        <v>117</v>
      </c>
      <c r="AG30" s="1170"/>
      <c r="AH30" s="1171">
        <f>AVERAGE(AH23:AH29)</f>
        <v>0.48383171450150053</v>
      </c>
      <c r="AI30" s="1175"/>
    </row>
    <row r="31" spans="1:35" s="4" customFormat="1" ht="36" x14ac:dyDescent="0.25">
      <c r="A31" s="149" t="s">
        <v>98</v>
      </c>
      <c r="B31" s="149" t="s">
        <v>100</v>
      </c>
      <c r="C31" s="149" t="s">
        <v>99</v>
      </c>
      <c r="D31" s="149" t="s">
        <v>102</v>
      </c>
      <c r="E31" s="186" t="s">
        <v>45</v>
      </c>
      <c r="F31" s="149" t="s">
        <v>110</v>
      </c>
      <c r="G31" s="141" t="s">
        <v>115</v>
      </c>
      <c r="H31" s="143" t="s">
        <v>114</v>
      </c>
      <c r="I31" s="143" t="s">
        <v>116</v>
      </c>
      <c r="J31" s="252"/>
      <c r="K31" s="255"/>
      <c r="L31" s="203" t="s">
        <v>45</v>
      </c>
      <c r="M31" s="205" t="s">
        <v>46</v>
      </c>
      <c r="N31" s="170" t="s">
        <v>78</v>
      </c>
      <c r="O31" s="169" t="s">
        <v>47</v>
      </c>
      <c r="P31" s="169" t="s">
        <v>55</v>
      </c>
      <c r="Q31" s="170" t="s">
        <v>50</v>
      </c>
      <c r="R31" s="170">
        <v>0</v>
      </c>
      <c r="S31" s="171">
        <v>90</v>
      </c>
      <c r="T31" s="30" t="s">
        <v>52</v>
      </c>
      <c r="U31" s="30" t="s">
        <v>57</v>
      </c>
      <c r="V31" s="69" t="s">
        <v>50</v>
      </c>
      <c r="W31" s="69">
        <v>0</v>
      </c>
      <c r="X31" s="69">
        <v>95</v>
      </c>
      <c r="Y31" s="140">
        <v>5862138633</v>
      </c>
      <c r="Z31" s="140"/>
      <c r="AA31" s="258"/>
      <c r="AB31" s="172">
        <v>31</v>
      </c>
      <c r="AC31" s="1176">
        <f>+S31</f>
        <v>90</v>
      </c>
      <c r="AD31" s="132">
        <f>+AB31/S31</f>
        <v>0.34444444444444444</v>
      </c>
      <c r="AE31" s="157" t="s">
        <v>279</v>
      </c>
      <c r="AF31" s="57">
        <v>22</v>
      </c>
      <c r="AG31" s="1178">
        <f t="shared" ref="AG31:AG36" si="6">+X31</f>
        <v>95</v>
      </c>
      <c r="AH31" s="1182">
        <f t="shared" ref="AH31:AH37" si="7">+AF31/X31</f>
        <v>0.23157894736842105</v>
      </c>
      <c r="AI31" s="47" t="s">
        <v>228</v>
      </c>
    </row>
    <row r="32" spans="1:35" s="3" customFormat="1" ht="48" x14ac:dyDescent="0.25">
      <c r="A32" s="150"/>
      <c r="B32" s="150"/>
      <c r="C32" s="150"/>
      <c r="D32" s="150"/>
      <c r="E32" s="188"/>
      <c r="F32" s="150"/>
      <c r="G32" s="142"/>
      <c r="H32" s="144"/>
      <c r="I32" s="144"/>
      <c r="J32" s="252"/>
      <c r="K32" s="255"/>
      <c r="L32" s="204"/>
      <c r="M32" s="206"/>
      <c r="N32" s="170"/>
      <c r="O32" s="169"/>
      <c r="P32" s="169"/>
      <c r="Q32" s="170"/>
      <c r="R32" s="170"/>
      <c r="S32" s="171"/>
      <c r="T32" s="30" t="s">
        <v>56</v>
      </c>
      <c r="U32" s="30" t="s">
        <v>58</v>
      </c>
      <c r="V32" s="69" t="s">
        <v>50</v>
      </c>
      <c r="W32" s="69">
        <v>0</v>
      </c>
      <c r="X32" s="69">
        <v>35</v>
      </c>
      <c r="Y32" s="140"/>
      <c r="Z32" s="140"/>
      <c r="AA32" s="258"/>
      <c r="AB32" s="174"/>
      <c r="AC32" s="1180"/>
      <c r="AD32" s="133"/>
      <c r="AE32" s="200"/>
      <c r="AF32" s="57">
        <v>12</v>
      </c>
      <c r="AG32" s="1178">
        <f t="shared" si="6"/>
        <v>35</v>
      </c>
      <c r="AH32" s="1182">
        <f t="shared" si="7"/>
        <v>0.34285714285714286</v>
      </c>
      <c r="AI32" s="47" t="s">
        <v>229</v>
      </c>
    </row>
    <row r="33" spans="1:35" s="4" customFormat="1" ht="60" x14ac:dyDescent="0.25">
      <c r="A33" s="190" t="s">
        <v>98</v>
      </c>
      <c r="B33" s="190" t="s">
        <v>100</v>
      </c>
      <c r="C33" s="190" t="s">
        <v>99</v>
      </c>
      <c r="D33" s="190" t="s">
        <v>102</v>
      </c>
      <c r="E33" s="201" t="s">
        <v>45</v>
      </c>
      <c r="F33" s="190" t="s">
        <v>110</v>
      </c>
      <c r="G33" s="192" t="s">
        <v>115</v>
      </c>
      <c r="H33" s="194" t="s">
        <v>114</v>
      </c>
      <c r="I33" s="194" t="s">
        <v>116</v>
      </c>
      <c r="J33" s="252"/>
      <c r="K33" s="255"/>
      <c r="L33" s="196" t="s">
        <v>45</v>
      </c>
      <c r="M33" s="198" t="s">
        <v>46</v>
      </c>
      <c r="N33" s="138" t="s">
        <v>78</v>
      </c>
      <c r="O33" s="136" t="s">
        <v>49</v>
      </c>
      <c r="P33" s="136" t="s">
        <v>66</v>
      </c>
      <c r="Q33" s="138" t="s">
        <v>51</v>
      </c>
      <c r="R33" s="138">
        <v>0</v>
      </c>
      <c r="S33" s="189">
        <v>0.78</v>
      </c>
      <c r="T33" s="76" t="s">
        <v>68</v>
      </c>
      <c r="U33" s="76" t="s">
        <v>72</v>
      </c>
      <c r="V33" s="71" t="s">
        <v>51</v>
      </c>
      <c r="W33" s="71">
        <f>+(0/1)</f>
        <v>0</v>
      </c>
      <c r="X33" s="22">
        <v>0.95</v>
      </c>
      <c r="Y33" s="140"/>
      <c r="Z33" s="140"/>
      <c r="AA33" s="258"/>
      <c r="AB33" s="181">
        <f>(10/12)</f>
        <v>0.83333333333333337</v>
      </c>
      <c r="AC33" s="1197">
        <f>+S33</f>
        <v>0.78</v>
      </c>
      <c r="AD33" s="132">
        <f>+(AB33/AC33)*(8.3%*9)</f>
        <v>0.79807692307692302</v>
      </c>
      <c r="AE33" s="183" t="s">
        <v>230</v>
      </c>
      <c r="AF33" s="58">
        <f>(6/8)</f>
        <v>0.75</v>
      </c>
      <c r="AG33" s="1183">
        <f t="shared" si="6"/>
        <v>0.95</v>
      </c>
      <c r="AH33" s="1182">
        <f>+(AF33/X33)*(8.3%*9)</f>
        <v>0.58973684210526311</v>
      </c>
      <c r="AI33" s="48" t="s">
        <v>231</v>
      </c>
    </row>
    <row r="34" spans="1:35" s="3" customFormat="1" ht="60" x14ac:dyDescent="0.25">
      <c r="A34" s="191"/>
      <c r="B34" s="191"/>
      <c r="C34" s="191"/>
      <c r="D34" s="191"/>
      <c r="E34" s="202"/>
      <c r="F34" s="191"/>
      <c r="G34" s="193"/>
      <c r="H34" s="195"/>
      <c r="I34" s="195"/>
      <c r="J34" s="252"/>
      <c r="K34" s="255"/>
      <c r="L34" s="197"/>
      <c r="M34" s="199"/>
      <c r="N34" s="138"/>
      <c r="O34" s="136"/>
      <c r="P34" s="136"/>
      <c r="Q34" s="138"/>
      <c r="R34" s="138"/>
      <c r="S34" s="189"/>
      <c r="T34" s="76" t="s">
        <v>69</v>
      </c>
      <c r="U34" s="76" t="s">
        <v>73</v>
      </c>
      <c r="V34" s="71" t="s">
        <v>51</v>
      </c>
      <c r="W34" s="22">
        <f>+(1/1)</f>
        <v>1</v>
      </c>
      <c r="X34" s="22">
        <v>0.95</v>
      </c>
      <c r="Y34" s="140"/>
      <c r="Z34" s="140"/>
      <c r="AA34" s="258"/>
      <c r="AB34" s="182"/>
      <c r="AC34" s="1180"/>
      <c r="AD34" s="133" t="e">
        <f t="shared" ref="AD34" si="8">+(AB34/AC34)*(8.3%*8)</f>
        <v>#DIV/0!</v>
      </c>
      <c r="AE34" s="184"/>
      <c r="AF34" s="58">
        <f>(2/9)</f>
        <v>0.22222222222222221</v>
      </c>
      <c r="AG34" s="1183">
        <f t="shared" si="6"/>
        <v>0.95</v>
      </c>
      <c r="AH34" s="1182">
        <f>+(AF34/X34)*(8.3%*9)</f>
        <v>0.17473684210526313</v>
      </c>
      <c r="AI34" s="48" t="s">
        <v>232</v>
      </c>
    </row>
    <row r="35" spans="1:35" s="4" customFormat="1" ht="36" x14ac:dyDescent="0.25">
      <c r="A35" s="149" t="s">
        <v>98</v>
      </c>
      <c r="B35" s="149" t="s">
        <v>100</v>
      </c>
      <c r="C35" s="149" t="s">
        <v>99</v>
      </c>
      <c r="D35" s="149" t="s">
        <v>106</v>
      </c>
      <c r="E35" s="186" t="s">
        <v>54</v>
      </c>
      <c r="F35" s="149" t="s">
        <v>107</v>
      </c>
      <c r="G35" s="141" t="s">
        <v>115</v>
      </c>
      <c r="H35" s="143" t="s">
        <v>114</v>
      </c>
      <c r="I35" s="143" t="s">
        <v>116</v>
      </c>
      <c r="J35" s="252"/>
      <c r="K35" s="255"/>
      <c r="L35" s="177" t="s">
        <v>54</v>
      </c>
      <c r="M35" s="179" t="s">
        <v>46</v>
      </c>
      <c r="N35" s="170" t="s">
        <v>78</v>
      </c>
      <c r="O35" s="169" t="s">
        <v>48</v>
      </c>
      <c r="P35" s="169" t="s">
        <v>59</v>
      </c>
      <c r="Q35" s="170" t="s">
        <v>50</v>
      </c>
      <c r="R35" s="170">
        <v>0</v>
      </c>
      <c r="S35" s="171">
        <v>95</v>
      </c>
      <c r="T35" s="30" t="s">
        <v>53</v>
      </c>
      <c r="U35" s="30" t="s">
        <v>60</v>
      </c>
      <c r="V35" s="69" t="s">
        <v>50</v>
      </c>
      <c r="W35" s="69">
        <v>0</v>
      </c>
      <c r="X35" s="69">
        <v>96</v>
      </c>
      <c r="Y35" s="140"/>
      <c r="Z35" s="140"/>
      <c r="AA35" s="258"/>
      <c r="AB35" s="172">
        <v>71</v>
      </c>
      <c r="AC35" s="1176">
        <f>+S35</f>
        <v>95</v>
      </c>
      <c r="AD35" s="132">
        <f>+AB35/S35</f>
        <v>0.74736842105263157</v>
      </c>
      <c r="AE35" s="157" t="s">
        <v>262</v>
      </c>
      <c r="AF35" s="51">
        <v>84</v>
      </c>
      <c r="AG35" s="1178">
        <f t="shared" si="6"/>
        <v>96</v>
      </c>
      <c r="AH35" s="1182">
        <f t="shared" si="7"/>
        <v>0.875</v>
      </c>
      <c r="AI35" s="47" t="s">
        <v>263</v>
      </c>
    </row>
    <row r="36" spans="1:35" s="3" customFormat="1" ht="36" x14ac:dyDescent="0.25">
      <c r="A36" s="185"/>
      <c r="B36" s="185"/>
      <c r="C36" s="185"/>
      <c r="D36" s="185"/>
      <c r="E36" s="187"/>
      <c r="F36" s="185"/>
      <c r="G36" s="175"/>
      <c r="H36" s="176"/>
      <c r="I36" s="176"/>
      <c r="J36" s="252"/>
      <c r="K36" s="255"/>
      <c r="L36" s="178"/>
      <c r="M36" s="180"/>
      <c r="N36" s="170"/>
      <c r="O36" s="169"/>
      <c r="P36" s="169"/>
      <c r="Q36" s="170"/>
      <c r="R36" s="170"/>
      <c r="S36" s="171"/>
      <c r="T36" s="30" t="s">
        <v>70</v>
      </c>
      <c r="U36" s="30" t="s">
        <v>74</v>
      </c>
      <c r="V36" s="69" t="s">
        <v>50</v>
      </c>
      <c r="W36" s="69">
        <v>0</v>
      </c>
      <c r="X36" s="69">
        <v>96</v>
      </c>
      <c r="Y36" s="140"/>
      <c r="Z36" s="140"/>
      <c r="AA36" s="258"/>
      <c r="AB36" s="173"/>
      <c r="AC36" s="1199"/>
      <c r="AD36" s="227"/>
      <c r="AE36" s="228"/>
      <c r="AF36" s="51">
        <v>67</v>
      </c>
      <c r="AG36" s="1178">
        <f t="shared" si="6"/>
        <v>96</v>
      </c>
      <c r="AH36" s="1182">
        <f t="shared" si="7"/>
        <v>0.69791666666666663</v>
      </c>
      <c r="AI36" s="47" t="s">
        <v>264</v>
      </c>
    </row>
    <row r="37" spans="1:35" s="4" customFormat="1" ht="36.75" thickBot="1" x14ac:dyDescent="0.3">
      <c r="A37" s="150"/>
      <c r="B37" s="150"/>
      <c r="C37" s="150"/>
      <c r="D37" s="150"/>
      <c r="E37" s="188"/>
      <c r="F37" s="150"/>
      <c r="G37" s="142"/>
      <c r="H37" s="144"/>
      <c r="I37" s="144"/>
      <c r="J37" s="252"/>
      <c r="K37" s="255"/>
      <c r="L37" s="229"/>
      <c r="M37" s="230"/>
      <c r="N37" s="170"/>
      <c r="O37" s="169"/>
      <c r="P37" s="169"/>
      <c r="Q37" s="170"/>
      <c r="R37" s="170"/>
      <c r="S37" s="171"/>
      <c r="T37" s="30" t="s">
        <v>71</v>
      </c>
      <c r="U37" s="30" t="s">
        <v>75</v>
      </c>
      <c r="V37" s="69" t="s">
        <v>50</v>
      </c>
      <c r="W37" s="69">
        <v>0</v>
      </c>
      <c r="X37" s="69">
        <v>15</v>
      </c>
      <c r="Y37" s="140"/>
      <c r="Z37" s="140"/>
      <c r="AA37" s="258"/>
      <c r="AB37" s="174"/>
      <c r="AC37" s="1180"/>
      <c r="AD37" s="133"/>
      <c r="AE37" s="200"/>
      <c r="AF37" s="51">
        <v>12</v>
      </c>
      <c r="AG37" s="1178">
        <v>15</v>
      </c>
      <c r="AH37" s="1182">
        <f t="shared" si="7"/>
        <v>0.8</v>
      </c>
      <c r="AI37" s="47" t="s">
        <v>265</v>
      </c>
    </row>
    <row r="38" spans="1:35" s="16" customFormat="1" ht="35.25" customHeight="1" thickBot="1" x14ac:dyDescent="0.3">
      <c r="A38" s="31"/>
      <c r="B38" s="31"/>
      <c r="C38" s="31"/>
      <c r="D38" s="32"/>
      <c r="E38" s="32"/>
      <c r="F38" s="32"/>
      <c r="G38" s="31"/>
      <c r="H38" s="32"/>
      <c r="I38" s="32"/>
      <c r="J38" s="252"/>
      <c r="K38" s="255"/>
      <c r="L38" s="17"/>
      <c r="M38" s="33"/>
      <c r="N38" s="33"/>
      <c r="O38" s="35"/>
      <c r="P38" s="35"/>
      <c r="Q38" s="17"/>
      <c r="R38" s="17"/>
      <c r="S38" s="39"/>
      <c r="T38" s="36"/>
      <c r="U38" s="36"/>
      <c r="V38" s="17"/>
      <c r="W38" s="17"/>
      <c r="X38" s="17"/>
      <c r="Y38" s="37"/>
      <c r="Z38" s="140"/>
      <c r="AA38" s="258"/>
      <c r="AB38" s="1169" t="s">
        <v>118</v>
      </c>
      <c r="AC38" s="1170"/>
      <c r="AD38" s="109">
        <f>AVERAGE(AD31,AD33,AD35)</f>
        <v>0.62996326285799975</v>
      </c>
      <c r="AE38" s="1172"/>
      <c r="AF38" s="1188" t="s">
        <v>117</v>
      </c>
      <c r="AG38" s="1170"/>
      <c r="AH38" s="1171">
        <f>AVERAGE(AH31:AH37)</f>
        <v>0.53026092015753667</v>
      </c>
      <c r="AI38" s="1175"/>
    </row>
    <row r="39" spans="1:35" s="3" customFormat="1" ht="36" x14ac:dyDescent="0.25">
      <c r="A39" s="190" t="s">
        <v>98</v>
      </c>
      <c r="B39" s="190" t="s">
        <v>100</v>
      </c>
      <c r="C39" s="190" t="s">
        <v>99</v>
      </c>
      <c r="D39" s="190" t="s">
        <v>102</v>
      </c>
      <c r="E39" s="201" t="s">
        <v>45</v>
      </c>
      <c r="F39" s="190" t="s">
        <v>110</v>
      </c>
      <c r="G39" s="192" t="s">
        <v>115</v>
      </c>
      <c r="H39" s="194" t="s">
        <v>114</v>
      </c>
      <c r="I39" s="194" t="s">
        <v>116</v>
      </c>
      <c r="J39" s="252"/>
      <c r="K39" s="255"/>
      <c r="L39" s="225" t="s">
        <v>45</v>
      </c>
      <c r="M39" s="226" t="s">
        <v>46</v>
      </c>
      <c r="N39" s="138" t="s">
        <v>79</v>
      </c>
      <c r="O39" s="136" t="s">
        <v>47</v>
      </c>
      <c r="P39" s="136" t="s">
        <v>55</v>
      </c>
      <c r="Q39" s="138" t="s">
        <v>50</v>
      </c>
      <c r="R39" s="138">
        <v>0</v>
      </c>
      <c r="S39" s="208">
        <v>16</v>
      </c>
      <c r="T39" s="76" t="s">
        <v>52</v>
      </c>
      <c r="U39" s="76" t="s">
        <v>57</v>
      </c>
      <c r="V39" s="71" t="s">
        <v>50</v>
      </c>
      <c r="W39" s="71">
        <v>0</v>
      </c>
      <c r="X39" s="71">
        <v>16</v>
      </c>
      <c r="Y39" s="140">
        <v>4043550754</v>
      </c>
      <c r="Z39" s="140"/>
      <c r="AA39" s="258"/>
      <c r="AB39" s="209">
        <v>16</v>
      </c>
      <c r="AC39" s="1176">
        <f>+S39</f>
        <v>16</v>
      </c>
      <c r="AD39" s="154">
        <f>+AB39/S39</f>
        <v>1</v>
      </c>
      <c r="AE39" s="183" t="s">
        <v>233</v>
      </c>
      <c r="AF39" s="45">
        <v>11</v>
      </c>
      <c r="AG39" s="1178">
        <f t="shared" ref="AG39:AG45" si="9">+X39</f>
        <v>16</v>
      </c>
      <c r="AH39" s="1182">
        <f t="shared" ref="AH39:AH45" si="10">+AF39/X39</f>
        <v>0.6875</v>
      </c>
      <c r="AI39" s="48" t="s">
        <v>234</v>
      </c>
    </row>
    <row r="40" spans="1:35" s="4" customFormat="1" ht="36" x14ac:dyDescent="0.25">
      <c r="A40" s="191"/>
      <c r="B40" s="191"/>
      <c r="C40" s="191"/>
      <c r="D40" s="191"/>
      <c r="E40" s="202"/>
      <c r="F40" s="191"/>
      <c r="G40" s="193"/>
      <c r="H40" s="195"/>
      <c r="I40" s="195"/>
      <c r="J40" s="252"/>
      <c r="K40" s="255"/>
      <c r="L40" s="197"/>
      <c r="M40" s="199"/>
      <c r="N40" s="138"/>
      <c r="O40" s="136"/>
      <c r="P40" s="136"/>
      <c r="Q40" s="138"/>
      <c r="R40" s="138"/>
      <c r="S40" s="208"/>
      <c r="T40" s="76" t="s">
        <v>56</v>
      </c>
      <c r="U40" s="76" t="s">
        <v>58</v>
      </c>
      <c r="V40" s="71" t="s">
        <v>50</v>
      </c>
      <c r="W40" s="71">
        <v>0</v>
      </c>
      <c r="X40" s="71">
        <v>6</v>
      </c>
      <c r="Y40" s="140"/>
      <c r="Z40" s="140"/>
      <c r="AA40" s="258"/>
      <c r="AB40" s="211"/>
      <c r="AC40" s="1180"/>
      <c r="AD40" s="156"/>
      <c r="AE40" s="184"/>
      <c r="AF40" s="45">
        <v>9</v>
      </c>
      <c r="AG40" s="1178">
        <f t="shared" si="9"/>
        <v>6</v>
      </c>
      <c r="AH40" s="1182">
        <f t="shared" si="10"/>
        <v>1.5</v>
      </c>
      <c r="AI40" s="48" t="s">
        <v>235</v>
      </c>
    </row>
    <row r="41" spans="1:35" s="3" customFormat="1" ht="53.25" customHeight="1" x14ac:dyDescent="0.25">
      <c r="A41" s="149" t="s">
        <v>98</v>
      </c>
      <c r="B41" s="149" t="s">
        <v>100</v>
      </c>
      <c r="C41" s="149" t="s">
        <v>99</v>
      </c>
      <c r="D41" s="149" t="s">
        <v>102</v>
      </c>
      <c r="E41" s="186" t="s">
        <v>45</v>
      </c>
      <c r="F41" s="149" t="s">
        <v>110</v>
      </c>
      <c r="G41" s="141" t="s">
        <v>115</v>
      </c>
      <c r="H41" s="143" t="s">
        <v>114</v>
      </c>
      <c r="I41" s="143" t="s">
        <v>116</v>
      </c>
      <c r="J41" s="252"/>
      <c r="K41" s="255"/>
      <c r="L41" s="177" t="s">
        <v>45</v>
      </c>
      <c r="M41" s="179" t="s">
        <v>46</v>
      </c>
      <c r="N41" s="170" t="s">
        <v>79</v>
      </c>
      <c r="O41" s="169" t="s">
        <v>49</v>
      </c>
      <c r="P41" s="169" t="s">
        <v>66</v>
      </c>
      <c r="Q41" s="170" t="s">
        <v>51</v>
      </c>
      <c r="R41" s="170">
        <v>0</v>
      </c>
      <c r="S41" s="224">
        <v>0.78</v>
      </c>
      <c r="T41" s="30" t="s">
        <v>68</v>
      </c>
      <c r="U41" s="30" t="s">
        <v>72</v>
      </c>
      <c r="V41" s="69" t="s">
        <v>51</v>
      </c>
      <c r="W41" s="69">
        <v>0</v>
      </c>
      <c r="X41" s="21">
        <v>0.95</v>
      </c>
      <c r="Y41" s="140"/>
      <c r="Z41" s="140"/>
      <c r="AA41" s="258"/>
      <c r="AB41" s="218">
        <f>(5/6)</f>
        <v>0.83333333333333337</v>
      </c>
      <c r="AC41" s="1197">
        <f>+S41</f>
        <v>0.78</v>
      </c>
      <c r="AD41" s="154">
        <f>+(AB41/AC41)*(8.3%*9)</f>
        <v>0.79807692307692302</v>
      </c>
      <c r="AE41" s="220" t="s">
        <v>254</v>
      </c>
      <c r="AF41" s="62">
        <f>+(5/7)</f>
        <v>0.7142857142857143</v>
      </c>
      <c r="AG41" s="1183">
        <f t="shared" si="9"/>
        <v>0.95</v>
      </c>
      <c r="AH41" s="1182">
        <f>+(AF41/X41)*(8.3%*9)</f>
        <v>0.56165413533834596</v>
      </c>
      <c r="AI41" s="65" t="s">
        <v>236</v>
      </c>
    </row>
    <row r="42" spans="1:35" s="4" customFormat="1" ht="42.75" customHeight="1" x14ac:dyDescent="0.25">
      <c r="A42" s="150"/>
      <c r="B42" s="150"/>
      <c r="C42" s="150"/>
      <c r="D42" s="150"/>
      <c r="E42" s="188"/>
      <c r="F42" s="150"/>
      <c r="G42" s="142"/>
      <c r="H42" s="144"/>
      <c r="I42" s="144"/>
      <c r="J42" s="252"/>
      <c r="K42" s="255"/>
      <c r="L42" s="204"/>
      <c r="M42" s="206"/>
      <c r="N42" s="170"/>
      <c r="O42" s="169"/>
      <c r="P42" s="169"/>
      <c r="Q42" s="170"/>
      <c r="R42" s="170"/>
      <c r="S42" s="224"/>
      <c r="T42" s="30" t="s">
        <v>69</v>
      </c>
      <c r="U42" s="30" t="s">
        <v>73</v>
      </c>
      <c r="V42" s="69" t="s">
        <v>51</v>
      </c>
      <c r="W42" s="69">
        <v>0</v>
      </c>
      <c r="X42" s="21">
        <v>0.95</v>
      </c>
      <c r="Y42" s="140"/>
      <c r="Z42" s="140"/>
      <c r="AA42" s="258"/>
      <c r="AB42" s="219"/>
      <c r="AC42" s="1180"/>
      <c r="AD42" s="156" t="e">
        <f t="shared" ref="AD42" si="11">+(AB42/AC42)*(8.3%*8)</f>
        <v>#DIV/0!</v>
      </c>
      <c r="AE42" s="221"/>
      <c r="AF42" s="62">
        <f>+(0/4)</f>
        <v>0</v>
      </c>
      <c r="AG42" s="1183">
        <f t="shared" si="9"/>
        <v>0.95</v>
      </c>
      <c r="AH42" s="1182">
        <f>+(AF42/X42)*(8.3%*9)</f>
        <v>0</v>
      </c>
      <c r="AI42" s="65" t="s">
        <v>237</v>
      </c>
    </row>
    <row r="43" spans="1:35" s="3" customFormat="1" ht="46.5" customHeight="1" x14ac:dyDescent="0.25">
      <c r="A43" s="190" t="s">
        <v>98</v>
      </c>
      <c r="B43" s="190" t="s">
        <v>100</v>
      </c>
      <c r="C43" s="190" t="s">
        <v>99</v>
      </c>
      <c r="D43" s="190" t="s">
        <v>106</v>
      </c>
      <c r="E43" s="201" t="s">
        <v>54</v>
      </c>
      <c r="F43" s="190" t="s">
        <v>107</v>
      </c>
      <c r="G43" s="192" t="s">
        <v>115</v>
      </c>
      <c r="H43" s="194" t="s">
        <v>114</v>
      </c>
      <c r="I43" s="194" t="s">
        <v>116</v>
      </c>
      <c r="J43" s="252"/>
      <c r="K43" s="255"/>
      <c r="L43" s="196" t="s">
        <v>54</v>
      </c>
      <c r="M43" s="198" t="s">
        <v>46</v>
      </c>
      <c r="N43" s="136" t="s">
        <v>79</v>
      </c>
      <c r="O43" s="136" t="s">
        <v>48</v>
      </c>
      <c r="P43" s="136" t="s">
        <v>59</v>
      </c>
      <c r="Q43" s="138" t="s">
        <v>50</v>
      </c>
      <c r="R43" s="138">
        <v>0</v>
      </c>
      <c r="S43" s="208">
        <v>100</v>
      </c>
      <c r="T43" s="76" t="s">
        <v>53</v>
      </c>
      <c r="U43" s="76" t="s">
        <v>60</v>
      </c>
      <c r="V43" s="71" t="s">
        <v>50</v>
      </c>
      <c r="W43" s="71">
        <v>0</v>
      </c>
      <c r="X43" s="71">
        <v>85</v>
      </c>
      <c r="Y43" s="140"/>
      <c r="Z43" s="140"/>
      <c r="AA43" s="258"/>
      <c r="AB43" s="209">
        <v>41</v>
      </c>
      <c r="AC43" s="1176">
        <f>+S43</f>
        <v>100</v>
      </c>
      <c r="AD43" s="154">
        <f>+AB43/S43</f>
        <v>0.41</v>
      </c>
      <c r="AE43" s="183" t="s">
        <v>266</v>
      </c>
      <c r="AF43" s="45">
        <v>69</v>
      </c>
      <c r="AG43" s="1178">
        <f t="shared" si="9"/>
        <v>85</v>
      </c>
      <c r="AH43" s="1182">
        <f t="shared" si="10"/>
        <v>0.81176470588235294</v>
      </c>
      <c r="AI43" s="48" t="s">
        <v>267</v>
      </c>
    </row>
    <row r="44" spans="1:35" s="4" customFormat="1" ht="36.75" customHeight="1" x14ac:dyDescent="0.25">
      <c r="A44" s="222"/>
      <c r="B44" s="222"/>
      <c r="C44" s="222"/>
      <c r="D44" s="222"/>
      <c r="E44" s="223"/>
      <c r="F44" s="222"/>
      <c r="G44" s="212"/>
      <c r="H44" s="213"/>
      <c r="I44" s="213"/>
      <c r="J44" s="252"/>
      <c r="K44" s="255"/>
      <c r="L44" s="214"/>
      <c r="M44" s="216"/>
      <c r="N44" s="136"/>
      <c r="O44" s="136"/>
      <c r="P44" s="136"/>
      <c r="Q44" s="138"/>
      <c r="R44" s="138"/>
      <c r="S44" s="208"/>
      <c r="T44" s="76" t="s">
        <v>70</v>
      </c>
      <c r="U44" s="76" t="s">
        <v>74</v>
      </c>
      <c r="V44" s="71" t="s">
        <v>50</v>
      </c>
      <c r="W44" s="71">
        <v>0</v>
      </c>
      <c r="X44" s="71">
        <v>85</v>
      </c>
      <c r="Y44" s="140"/>
      <c r="Z44" s="140"/>
      <c r="AA44" s="258"/>
      <c r="AB44" s="210"/>
      <c r="AC44" s="1199"/>
      <c r="AD44" s="155"/>
      <c r="AE44" s="207"/>
      <c r="AF44" s="45">
        <v>42</v>
      </c>
      <c r="AG44" s="1178">
        <f t="shared" si="9"/>
        <v>85</v>
      </c>
      <c r="AH44" s="1182">
        <f t="shared" si="10"/>
        <v>0.49411764705882355</v>
      </c>
      <c r="AI44" s="48" t="s">
        <v>268</v>
      </c>
    </row>
    <row r="45" spans="1:35" s="3" customFormat="1" ht="36.75" customHeight="1" thickBot="1" x14ac:dyDescent="0.3">
      <c r="A45" s="191"/>
      <c r="B45" s="191"/>
      <c r="C45" s="191"/>
      <c r="D45" s="191"/>
      <c r="E45" s="202"/>
      <c r="F45" s="191"/>
      <c r="G45" s="193"/>
      <c r="H45" s="195"/>
      <c r="I45" s="195"/>
      <c r="J45" s="252"/>
      <c r="K45" s="255"/>
      <c r="L45" s="215"/>
      <c r="M45" s="217"/>
      <c r="N45" s="136"/>
      <c r="O45" s="136"/>
      <c r="P45" s="136"/>
      <c r="Q45" s="138"/>
      <c r="R45" s="138"/>
      <c r="S45" s="208"/>
      <c r="T45" s="76" t="s">
        <v>71</v>
      </c>
      <c r="U45" s="76" t="s">
        <v>75</v>
      </c>
      <c r="V45" s="71" t="s">
        <v>50</v>
      </c>
      <c r="W45" s="71">
        <v>0</v>
      </c>
      <c r="X45" s="71">
        <v>20</v>
      </c>
      <c r="Y45" s="140"/>
      <c r="Z45" s="140"/>
      <c r="AA45" s="258"/>
      <c r="AB45" s="211"/>
      <c r="AC45" s="1180"/>
      <c r="AD45" s="156"/>
      <c r="AE45" s="184"/>
      <c r="AF45" s="45">
        <v>23</v>
      </c>
      <c r="AG45" s="1178">
        <f t="shared" si="9"/>
        <v>20</v>
      </c>
      <c r="AH45" s="1182">
        <f t="shared" si="10"/>
        <v>1.1499999999999999</v>
      </c>
      <c r="AI45" s="48" t="s">
        <v>255</v>
      </c>
    </row>
    <row r="46" spans="1:35" s="16" customFormat="1" ht="35.25" customHeight="1" thickBot="1" x14ac:dyDescent="0.3">
      <c r="A46" s="31"/>
      <c r="B46" s="31"/>
      <c r="C46" s="31"/>
      <c r="D46" s="32"/>
      <c r="E46" s="32"/>
      <c r="F46" s="32"/>
      <c r="G46" s="31"/>
      <c r="H46" s="32"/>
      <c r="I46" s="32"/>
      <c r="J46" s="252"/>
      <c r="K46" s="255"/>
      <c r="L46" s="17"/>
      <c r="M46" s="33"/>
      <c r="N46" s="33"/>
      <c r="O46" s="35"/>
      <c r="P46" s="35"/>
      <c r="Q46" s="17"/>
      <c r="R46" s="17"/>
      <c r="S46" s="39"/>
      <c r="T46" s="36"/>
      <c r="U46" s="36"/>
      <c r="V46" s="17"/>
      <c r="W46" s="17"/>
      <c r="X46" s="17"/>
      <c r="Y46" s="37"/>
      <c r="Z46" s="140"/>
      <c r="AA46" s="258"/>
      <c r="AB46" s="1169" t="s">
        <v>118</v>
      </c>
      <c r="AC46" s="1170"/>
      <c r="AD46" s="109">
        <f>AVERAGE(AD39,AD41,AD43)</f>
        <v>0.73602564102564105</v>
      </c>
      <c r="AE46" s="1172"/>
      <c r="AF46" s="1188" t="s">
        <v>117</v>
      </c>
      <c r="AG46" s="1170"/>
      <c r="AH46" s="1171">
        <f>AVERAGE(AH39:AH45)</f>
        <v>0.74357664118278877</v>
      </c>
      <c r="AI46" s="1175"/>
    </row>
    <row r="47" spans="1:35" s="4" customFormat="1" ht="36.75" customHeight="1" x14ac:dyDescent="0.25">
      <c r="A47" s="149" t="s">
        <v>98</v>
      </c>
      <c r="B47" s="149" t="s">
        <v>100</v>
      </c>
      <c r="C47" s="149" t="s">
        <v>99</v>
      </c>
      <c r="D47" s="149" t="s">
        <v>102</v>
      </c>
      <c r="E47" s="186" t="s">
        <v>45</v>
      </c>
      <c r="F47" s="149" t="s">
        <v>110</v>
      </c>
      <c r="G47" s="141" t="s">
        <v>115</v>
      </c>
      <c r="H47" s="143" t="s">
        <v>114</v>
      </c>
      <c r="I47" s="143" t="s">
        <v>116</v>
      </c>
      <c r="J47" s="252"/>
      <c r="K47" s="255"/>
      <c r="L47" s="203" t="s">
        <v>45</v>
      </c>
      <c r="M47" s="205" t="s">
        <v>46</v>
      </c>
      <c r="N47" s="169" t="s">
        <v>80</v>
      </c>
      <c r="O47" s="169" t="s">
        <v>47</v>
      </c>
      <c r="P47" s="169" t="s">
        <v>55</v>
      </c>
      <c r="Q47" s="170" t="s">
        <v>50</v>
      </c>
      <c r="R47" s="170">
        <v>0</v>
      </c>
      <c r="S47" s="171">
        <v>285</v>
      </c>
      <c r="T47" s="30" t="s">
        <v>52</v>
      </c>
      <c r="U47" s="30" t="s">
        <v>57</v>
      </c>
      <c r="V47" s="69" t="s">
        <v>50</v>
      </c>
      <c r="W47" s="69">
        <v>0</v>
      </c>
      <c r="X47" s="69">
        <v>300</v>
      </c>
      <c r="Y47" s="140">
        <v>4216114587</v>
      </c>
      <c r="Z47" s="140"/>
      <c r="AA47" s="258"/>
      <c r="AB47" s="172">
        <v>194</v>
      </c>
      <c r="AC47" s="1176">
        <f>+S47</f>
        <v>285</v>
      </c>
      <c r="AD47" s="154">
        <f>+AB47/S47</f>
        <v>0.68070175438596492</v>
      </c>
      <c r="AE47" s="157" t="s">
        <v>238</v>
      </c>
      <c r="AF47" s="57">
        <v>161</v>
      </c>
      <c r="AG47" s="1178">
        <f t="shared" ref="AG47:AG53" si="12">+X47</f>
        <v>300</v>
      </c>
      <c r="AH47" s="1182">
        <f t="shared" ref="AH47:AH53" si="13">+AF47/X47</f>
        <v>0.53666666666666663</v>
      </c>
      <c r="AI47" s="47" t="s">
        <v>239</v>
      </c>
    </row>
    <row r="48" spans="1:35" s="3" customFormat="1" ht="36.75" customHeight="1" x14ac:dyDescent="0.25">
      <c r="A48" s="150"/>
      <c r="B48" s="150"/>
      <c r="C48" s="150"/>
      <c r="D48" s="150"/>
      <c r="E48" s="188"/>
      <c r="F48" s="150"/>
      <c r="G48" s="142"/>
      <c r="H48" s="144"/>
      <c r="I48" s="144"/>
      <c r="J48" s="252"/>
      <c r="K48" s="255"/>
      <c r="L48" s="204"/>
      <c r="M48" s="206"/>
      <c r="N48" s="169"/>
      <c r="O48" s="169"/>
      <c r="P48" s="169"/>
      <c r="Q48" s="170"/>
      <c r="R48" s="170"/>
      <c r="S48" s="171"/>
      <c r="T48" s="30" t="s">
        <v>56</v>
      </c>
      <c r="U48" s="30" t="s">
        <v>58</v>
      </c>
      <c r="V48" s="69" t="s">
        <v>50</v>
      </c>
      <c r="W48" s="69">
        <v>0</v>
      </c>
      <c r="X48" s="69">
        <v>10</v>
      </c>
      <c r="Y48" s="140"/>
      <c r="Z48" s="140"/>
      <c r="AA48" s="258"/>
      <c r="AB48" s="174"/>
      <c r="AC48" s="1180"/>
      <c r="AD48" s="156"/>
      <c r="AE48" s="200"/>
      <c r="AF48" s="57">
        <v>4</v>
      </c>
      <c r="AG48" s="1178">
        <f t="shared" si="12"/>
        <v>10</v>
      </c>
      <c r="AH48" s="1182">
        <f t="shared" si="13"/>
        <v>0.4</v>
      </c>
      <c r="AI48" s="47" t="s">
        <v>240</v>
      </c>
    </row>
    <row r="49" spans="1:35" s="4" customFormat="1" ht="60" x14ac:dyDescent="0.25">
      <c r="A49" s="190" t="s">
        <v>98</v>
      </c>
      <c r="B49" s="190" t="s">
        <v>100</v>
      </c>
      <c r="C49" s="190" t="s">
        <v>99</v>
      </c>
      <c r="D49" s="190" t="s">
        <v>102</v>
      </c>
      <c r="E49" s="201" t="s">
        <v>45</v>
      </c>
      <c r="F49" s="190" t="s">
        <v>110</v>
      </c>
      <c r="G49" s="192" t="s">
        <v>115</v>
      </c>
      <c r="H49" s="194" t="s">
        <v>114</v>
      </c>
      <c r="I49" s="194" t="s">
        <v>116</v>
      </c>
      <c r="J49" s="252"/>
      <c r="K49" s="255"/>
      <c r="L49" s="196" t="s">
        <v>45</v>
      </c>
      <c r="M49" s="198" t="s">
        <v>46</v>
      </c>
      <c r="N49" s="136" t="s">
        <v>80</v>
      </c>
      <c r="O49" s="136" t="s">
        <v>49</v>
      </c>
      <c r="P49" s="136" t="s">
        <v>66</v>
      </c>
      <c r="Q49" s="138" t="s">
        <v>51</v>
      </c>
      <c r="R49" s="138">
        <v>0</v>
      </c>
      <c r="S49" s="189">
        <v>0.78</v>
      </c>
      <c r="T49" s="76" t="s">
        <v>68</v>
      </c>
      <c r="U49" s="76" t="s">
        <v>72</v>
      </c>
      <c r="V49" s="71" t="s">
        <v>51</v>
      </c>
      <c r="W49" s="71">
        <v>0</v>
      </c>
      <c r="X49" s="22">
        <v>0.95</v>
      </c>
      <c r="Y49" s="140"/>
      <c r="Z49" s="140"/>
      <c r="AA49" s="258"/>
      <c r="AB49" s="181">
        <f>(30/32)</f>
        <v>0.9375</v>
      </c>
      <c r="AC49" s="1197">
        <f>+S49</f>
        <v>0.78</v>
      </c>
      <c r="AD49" s="154">
        <f>+(AB49/AC49)*(8.3%*9)</f>
        <v>0.89783653846153844</v>
      </c>
      <c r="AE49" s="183" t="s">
        <v>241</v>
      </c>
      <c r="AF49" s="58">
        <f>(4/6)</f>
        <v>0.66666666666666663</v>
      </c>
      <c r="AG49" s="1183">
        <f t="shared" si="12"/>
        <v>0.95</v>
      </c>
      <c r="AH49" s="1182">
        <f>+(AF49/X49)*(8.3%*9)</f>
        <v>0.52421052631578946</v>
      </c>
      <c r="AI49" s="48" t="s">
        <v>242</v>
      </c>
    </row>
    <row r="50" spans="1:35" s="3" customFormat="1" ht="60" x14ac:dyDescent="0.25">
      <c r="A50" s="191"/>
      <c r="B50" s="191"/>
      <c r="C50" s="191"/>
      <c r="D50" s="191"/>
      <c r="E50" s="202"/>
      <c r="F50" s="191"/>
      <c r="G50" s="193"/>
      <c r="H50" s="195"/>
      <c r="I50" s="195"/>
      <c r="J50" s="252"/>
      <c r="K50" s="255"/>
      <c r="L50" s="197"/>
      <c r="M50" s="199"/>
      <c r="N50" s="136"/>
      <c r="O50" s="136"/>
      <c r="P50" s="136"/>
      <c r="Q50" s="138"/>
      <c r="R50" s="138"/>
      <c r="S50" s="189"/>
      <c r="T50" s="76" t="s">
        <v>69</v>
      </c>
      <c r="U50" s="76" t="s">
        <v>73</v>
      </c>
      <c r="V50" s="71" t="s">
        <v>51</v>
      </c>
      <c r="W50" s="71">
        <v>0</v>
      </c>
      <c r="X50" s="22">
        <v>0.95</v>
      </c>
      <c r="Y50" s="140"/>
      <c r="Z50" s="140"/>
      <c r="AA50" s="258"/>
      <c r="AB50" s="182"/>
      <c r="AC50" s="1180"/>
      <c r="AD50" s="156" t="e">
        <f t="shared" ref="AD50" si="14">+(AB50/AC50)*(8.3%*8)</f>
        <v>#DIV/0!</v>
      </c>
      <c r="AE50" s="184"/>
      <c r="AF50" s="58">
        <f>(22/29)</f>
        <v>0.75862068965517238</v>
      </c>
      <c r="AG50" s="1183">
        <f t="shared" si="12"/>
        <v>0.95</v>
      </c>
      <c r="AH50" s="1182">
        <f>+(AF50/X50)*(8.3%*9)</f>
        <v>0.59651542649727762</v>
      </c>
      <c r="AI50" s="48" t="s">
        <v>243</v>
      </c>
    </row>
    <row r="51" spans="1:35" s="4" customFormat="1" ht="24" x14ac:dyDescent="0.25">
      <c r="A51" s="149" t="s">
        <v>98</v>
      </c>
      <c r="B51" s="149" t="s">
        <v>100</v>
      </c>
      <c r="C51" s="149" t="s">
        <v>99</v>
      </c>
      <c r="D51" s="149" t="s">
        <v>106</v>
      </c>
      <c r="E51" s="186" t="s">
        <v>54</v>
      </c>
      <c r="F51" s="149" t="s">
        <v>107</v>
      </c>
      <c r="G51" s="141" t="s">
        <v>115</v>
      </c>
      <c r="H51" s="143" t="s">
        <v>114</v>
      </c>
      <c r="I51" s="143" t="s">
        <v>116</v>
      </c>
      <c r="J51" s="252"/>
      <c r="K51" s="255"/>
      <c r="L51" s="177" t="s">
        <v>54</v>
      </c>
      <c r="M51" s="179" t="s">
        <v>46</v>
      </c>
      <c r="N51" s="169" t="s">
        <v>80</v>
      </c>
      <c r="O51" s="169" t="s">
        <v>48</v>
      </c>
      <c r="P51" s="169" t="s">
        <v>59</v>
      </c>
      <c r="Q51" s="170" t="s">
        <v>50</v>
      </c>
      <c r="R51" s="170">
        <v>0</v>
      </c>
      <c r="S51" s="171">
        <v>1283</v>
      </c>
      <c r="T51" s="30" t="s">
        <v>53</v>
      </c>
      <c r="U51" s="30" t="s">
        <v>60</v>
      </c>
      <c r="V51" s="69" t="s">
        <v>50</v>
      </c>
      <c r="W51" s="69">
        <v>0</v>
      </c>
      <c r="X51" s="69">
        <v>105</v>
      </c>
      <c r="Y51" s="140"/>
      <c r="Z51" s="140"/>
      <c r="AA51" s="258"/>
      <c r="AB51" s="172">
        <v>1003</v>
      </c>
      <c r="AC51" s="1176">
        <f>+S51</f>
        <v>1283</v>
      </c>
      <c r="AD51" s="154">
        <f>+AB51/S51</f>
        <v>0.78176149649259552</v>
      </c>
      <c r="AE51" s="157" t="s">
        <v>269</v>
      </c>
      <c r="AF51" s="51">
        <v>104</v>
      </c>
      <c r="AG51" s="1178">
        <f t="shared" si="12"/>
        <v>105</v>
      </c>
      <c r="AH51" s="1182">
        <f t="shared" si="13"/>
        <v>0.99047619047619051</v>
      </c>
      <c r="AI51" s="47" t="s">
        <v>270</v>
      </c>
    </row>
    <row r="52" spans="1:35" s="3" customFormat="1" ht="36" x14ac:dyDescent="0.25">
      <c r="A52" s="185"/>
      <c r="B52" s="185"/>
      <c r="C52" s="185"/>
      <c r="D52" s="185"/>
      <c r="E52" s="187"/>
      <c r="F52" s="185"/>
      <c r="G52" s="175"/>
      <c r="H52" s="176"/>
      <c r="I52" s="176"/>
      <c r="J52" s="252"/>
      <c r="K52" s="255"/>
      <c r="L52" s="178"/>
      <c r="M52" s="180"/>
      <c r="N52" s="169"/>
      <c r="O52" s="169"/>
      <c r="P52" s="169"/>
      <c r="Q52" s="170"/>
      <c r="R52" s="170"/>
      <c r="S52" s="171"/>
      <c r="T52" s="30" t="s">
        <v>70</v>
      </c>
      <c r="U52" s="30" t="s">
        <v>74</v>
      </c>
      <c r="V52" s="69" t="s">
        <v>50</v>
      </c>
      <c r="W52" s="69">
        <v>0</v>
      </c>
      <c r="X52" s="69">
        <v>105</v>
      </c>
      <c r="Y52" s="140"/>
      <c r="Z52" s="140"/>
      <c r="AA52" s="258"/>
      <c r="AB52" s="173"/>
      <c r="AC52" s="1199"/>
      <c r="AD52" s="155"/>
      <c r="AE52" s="158"/>
      <c r="AF52" s="51">
        <v>83</v>
      </c>
      <c r="AG52" s="1178">
        <f t="shared" si="12"/>
        <v>105</v>
      </c>
      <c r="AH52" s="1182">
        <f t="shared" si="13"/>
        <v>0.79047619047619044</v>
      </c>
      <c r="AI52" s="47" t="s">
        <v>271</v>
      </c>
    </row>
    <row r="53" spans="1:35" s="4" customFormat="1" ht="36" x14ac:dyDescent="0.25">
      <c r="A53" s="150"/>
      <c r="B53" s="150"/>
      <c r="C53" s="150"/>
      <c r="D53" s="150"/>
      <c r="E53" s="188"/>
      <c r="F53" s="150"/>
      <c r="G53" s="142"/>
      <c r="H53" s="144"/>
      <c r="I53" s="144"/>
      <c r="J53" s="252"/>
      <c r="K53" s="255"/>
      <c r="L53" s="178"/>
      <c r="M53" s="180"/>
      <c r="N53" s="169"/>
      <c r="O53" s="169"/>
      <c r="P53" s="169"/>
      <c r="Q53" s="170"/>
      <c r="R53" s="170"/>
      <c r="S53" s="171"/>
      <c r="T53" s="30" t="s">
        <v>71</v>
      </c>
      <c r="U53" s="30" t="s">
        <v>75</v>
      </c>
      <c r="V53" s="69" t="s">
        <v>50</v>
      </c>
      <c r="W53" s="69">
        <v>0</v>
      </c>
      <c r="X53" s="69">
        <v>1245</v>
      </c>
      <c r="Y53" s="140"/>
      <c r="Z53" s="140"/>
      <c r="AA53" s="258"/>
      <c r="AB53" s="174"/>
      <c r="AC53" s="1180"/>
      <c r="AD53" s="156"/>
      <c r="AE53" s="159"/>
      <c r="AF53" s="51">
        <v>1008</v>
      </c>
      <c r="AG53" s="1178">
        <f t="shared" si="12"/>
        <v>1245</v>
      </c>
      <c r="AH53" s="1182">
        <f t="shared" si="13"/>
        <v>0.80963855421686748</v>
      </c>
      <c r="AI53" s="47" t="s">
        <v>272</v>
      </c>
    </row>
    <row r="54" spans="1:35" s="16" customFormat="1" ht="35.25" customHeight="1" thickBot="1" x14ac:dyDescent="0.3">
      <c r="A54" s="31"/>
      <c r="B54" s="31"/>
      <c r="C54" s="31"/>
      <c r="D54" s="32"/>
      <c r="E54" s="32"/>
      <c r="F54" s="32"/>
      <c r="G54" s="31"/>
      <c r="H54" s="32"/>
      <c r="I54" s="32"/>
      <c r="J54" s="252"/>
      <c r="K54" s="255"/>
      <c r="L54" s="17"/>
      <c r="M54" s="33"/>
      <c r="N54" s="33"/>
      <c r="O54" s="35"/>
      <c r="P54" s="35"/>
      <c r="Q54" s="17"/>
      <c r="R54" s="17"/>
      <c r="S54" s="39"/>
      <c r="T54" s="36"/>
      <c r="U54" s="36"/>
      <c r="V54" s="17"/>
      <c r="W54" s="17"/>
      <c r="X54" s="17"/>
      <c r="Y54" s="37"/>
      <c r="Z54" s="140"/>
      <c r="AA54" s="258"/>
      <c r="AB54" s="1169" t="s">
        <v>118</v>
      </c>
      <c r="AC54" s="1170"/>
      <c r="AD54" s="109">
        <f>AVERAGE(AD47,AD49,AD51)</f>
        <v>0.78676659644669966</v>
      </c>
      <c r="AE54" s="1172"/>
      <c r="AF54" s="1188" t="s">
        <v>117</v>
      </c>
      <c r="AG54" s="1170"/>
      <c r="AH54" s="1171">
        <f>AVERAGE(AH47:AH53)</f>
        <v>0.66399765066414029</v>
      </c>
      <c r="AI54" s="1175"/>
    </row>
    <row r="55" spans="1:35" s="28" customFormat="1" ht="60" x14ac:dyDescent="0.25">
      <c r="A55" s="23" t="s">
        <v>98</v>
      </c>
      <c r="B55" s="23" t="s">
        <v>100</v>
      </c>
      <c r="C55" s="23" t="s">
        <v>99</v>
      </c>
      <c r="D55" s="24" t="s">
        <v>108</v>
      </c>
      <c r="E55" s="24" t="s">
        <v>101</v>
      </c>
      <c r="F55" s="25" t="s">
        <v>109</v>
      </c>
      <c r="G55" s="26" t="s">
        <v>115</v>
      </c>
      <c r="H55" s="27" t="s">
        <v>114</v>
      </c>
      <c r="I55" s="27" t="s">
        <v>116</v>
      </c>
      <c r="J55" s="252"/>
      <c r="K55" s="255"/>
      <c r="L55" s="117"/>
      <c r="M55" s="118" t="s">
        <v>46</v>
      </c>
      <c r="N55" s="71" t="s">
        <v>93</v>
      </c>
      <c r="O55" s="76" t="s">
        <v>81</v>
      </c>
      <c r="P55" s="76" t="s">
        <v>87</v>
      </c>
      <c r="Q55" s="71" t="s">
        <v>50</v>
      </c>
      <c r="R55" s="71">
        <v>0</v>
      </c>
      <c r="S55" s="72">
        <v>2880</v>
      </c>
      <c r="T55" s="160"/>
      <c r="U55" s="161"/>
      <c r="V55" s="161"/>
      <c r="W55" s="161"/>
      <c r="X55" s="162"/>
      <c r="Y55" s="140">
        <v>2964670591</v>
      </c>
      <c r="Z55" s="140"/>
      <c r="AA55" s="258"/>
      <c r="AB55" s="53">
        <v>2133</v>
      </c>
      <c r="AC55" s="1193">
        <f>+S55</f>
        <v>2880</v>
      </c>
      <c r="AD55" s="119">
        <f>+AB55/S55</f>
        <v>0.74062499999999998</v>
      </c>
      <c r="AE55" s="49" t="s">
        <v>246</v>
      </c>
      <c r="AF55" s="1202"/>
      <c r="AG55" s="1203"/>
      <c r="AH55" s="1203"/>
      <c r="AI55" s="1204"/>
    </row>
    <row r="56" spans="1:35" s="28" customFormat="1" ht="75.75" customHeight="1" x14ac:dyDescent="0.25">
      <c r="A56" s="23" t="s">
        <v>98</v>
      </c>
      <c r="B56" s="23" t="s">
        <v>100</v>
      </c>
      <c r="C56" s="23" t="s">
        <v>99</v>
      </c>
      <c r="D56" s="24" t="s">
        <v>108</v>
      </c>
      <c r="E56" s="24" t="s">
        <v>101</v>
      </c>
      <c r="F56" s="25" t="s">
        <v>109</v>
      </c>
      <c r="G56" s="26" t="s">
        <v>115</v>
      </c>
      <c r="H56" s="27" t="s">
        <v>114</v>
      </c>
      <c r="I56" s="27" t="s">
        <v>116</v>
      </c>
      <c r="J56" s="252"/>
      <c r="K56" s="255"/>
      <c r="L56" s="120"/>
      <c r="M56" s="121" t="s">
        <v>46</v>
      </c>
      <c r="N56" s="71" t="s">
        <v>93</v>
      </c>
      <c r="O56" s="76" t="s">
        <v>82</v>
      </c>
      <c r="P56" s="76" t="s">
        <v>88</v>
      </c>
      <c r="Q56" s="71" t="s">
        <v>50</v>
      </c>
      <c r="R56" s="71">
        <v>0</v>
      </c>
      <c r="S56" s="72">
        <v>985</v>
      </c>
      <c r="T56" s="163"/>
      <c r="U56" s="164"/>
      <c r="V56" s="164"/>
      <c r="W56" s="164"/>
      <c r="X56" s="165"/>
      <c r="Y56" s="140"/>
      <c r="Z56" s="140"/>
      <c r="AA56" s="258"/>
      <c r="AB56" s="53">
        <v>673</v>
      </c>
      <c r="AC56" s="1193">
        <f t="shared" ref="AC56:AC60" si="15">+S56</f>
        <v>985</v>
      </c>
      <c r="AD56" s="119">
        <f>+AB56/S56</f>
        <v>0.68324873096446703</v>
      </c>
      <c r="AE56" s="49" t="s">
        <v>247</v>
      </c>
      <c r="AF56" s="1205"/>
      <c r="AG56" s="1206"/>
      <c r="AH56" s="1206"/>
      <c r="AI56" s="1207"/>
    </row>
    <row r="57" spans="1:35" s="28" customFormat="1" ht="84" x14ac:dyDescent="0.25">
      <c r="A57" s="23" t="s">
        <v>98</v>
      </c>
      <c r="B57" s="23" t="s">
        <v>100</v>
      </c>
      <c r="C57" s="23" t="s">
        <v>99</v>
      </c>
      <c r="D57" s="24" t="s">
        <v>108</v>
      </c>
      <c r="E57" s="24" t="s">
        <v>101</v>
      </c>
      <c r="F57" s="25" t="s">
        <v>109</v>
      </c>
      <c r="G57" s="26" t="s">
        <v>115</v>
      </c>
      <c r="H57" s="27" t="s">
        <v>114</v>
      </c>
      <c r="I57" s="27" t="s">
        <v>116</v>
      </c>
      <c r="J57" s="252"/>
      <c r="K57" s="255"/>
      <c r="L57" s="120"/>
      <c r="M57" s="121" t="s">
        <v>46</v>
      </c>
      <c r="N57" s="71" t="s">
        <v>93</v>
      </c>
      <c r="O57" s="76" t="s">
        <v>83</v>
      </c>
      <c r="P57" s="76" t="s">
        <v>89</v>
      </c>
      <c r="Q57" s="71" t="s">
        <v>51</v>
      </c>
      <c r="R57" s="71">
        <v>0</v>
      </c>
      <c r="S57" s="41">
        <v>0.9</v>
      </c>
      <c r="T57" s="163"/>
      <c r="U57" s="164"/>
      <c r="V57" s="164"/>
      <c r="W57" s="164"/>
      <c r="X57" s="165"/>
      <c r="Y57" s="140"/>
      <c r="Z57" s="140"/>
      <c r="AA57" s="258"/>
      <c r="AB57" s="54">
        <f>(264/686)</f>
        <v>0.38483965014577259</v>
      </c>
      <c r="AC57" s="1165">
        <f t="shared" si="15"/>
        <v>0.9</v>
      </c>
      <c r="AD57" s="119">
        <f>+(AB57/AC57)*(8.3%*9)</f>
        <v>0.31941690962099123</v>
      </c>
      <c r="AE57" s="49" t="s">
        <v>248</v>
      </c>
      <c r="AF57" s="1205"/>
      <c r="AG57" s="1206"/>
      <c r="AH57" s="1206"/>
      <c r="AI57" s="1207"/>
    </row>
    <row r="58" spans="1:35" s="28" customFormat="1" ht="96" x14ac:dyDescent="0.25">
      <c r="A58" s="23" t="s">
        <v>98</v>
      </c>
      <c r="B58" s="23" t="s">
        <v>100</v>
      </c>
      <c r="C58" s="23" t="s">
        <v>99</v>
      </c>
      <c r="D58" s="24" t="s">
        <v>108</v>
      </c>
      <c r="E58" s="24" t="s">
        <v>101</v>
      </c>
      <c r="F58" s="25" t="s">
        <v>109</v>
      </c>
      <c r="G58" s="26" t="s">
        <v>115</v>
      </c>
      <c r="H58" s="27" t="s">
        <v>114</v>
      </c>
      <c r="I58" s="27" t="s">
        <v>116</v>
      </c>
      <c r="J58" s="252"/>
      <c r="K58" s="255"/>
      <c r="L58" s="120"/>
      <c r="M58" s="121" t="s">
        <v>46</v>
      </c>
      <c r="N58" s="71" t="s">
        <v>93</v>
      </c>
      <c r="O58" s="76" t="s">
        <v>84</v>
      </c>
      <c r="P58" s="76" t="s">
        <v>90</v>
      </c>
      <c r="Q58" s="71" t="s">
        <v>51</v>
      </c>
      <c r="R58" s="71">
        <v>0</v>
      </c>
      <c r="S58" s="41">
        <v>0.95</v>
      </c>
      <c r="T58" s="163"/>
      <c r="U58" s="164"/>
      <c r="V58" s="164"/>
      <c r="W58" s="164"/>
      <c r="X58" s="165"/>
      <c r="Y58" s="140"/>
      <c r="Z58" s="140"/>
      <c r="AA58" s="258"/>
      <c r="AB58" s="54">
        <f>(837/2039)</f>
        <v>0.41049534085335948</v>
      </c>
      <c r="AC58" s="1165">
        <f t="shared" si="15"/>
        <v>0.95</v>
      </c>
      <c r="AD58" s="119">
        <f>+(AB58/AC58)*(8.3%*9)</f>
        <v>0.32277896801837846</v>
      </c>
      <c r="AE58" s="49" t="s">
        <v>249</v>
      </c>
      <c r="AF58" s="1205"/>
      <c r="AG58" s="1206"/>
      <c r="AH58" s="1206"/>
      <c r="AI58" s="1207"/>
    </row>
    <row r="59" spans="1:35" s="28" customFormat="1" ht="84" x14ac:dyDescent="0.25">
      <c r="A59" s="23" t="s">
        <v>98</v>
      </c>
      <c r="B59" s="23" t="s">
        <v>100</v>
      </c>
      <c r="C59" s="23" t="s">
        <v>99</v>
      </c>
      <c r="D59" s="24" t="s">
        <v>108</v>
      </c>
      <c r="E59" s="24" t="s">
        <v>101</v>
      </c>
      <c r="F59" s="25" t="s">
        <v>109</v>
      </c>
      <c r="G59" s="26" t="s">
        <v>115</v>
      </c>
      <c r="H59" s="27" t="s">
        <v>114</v>
      </c>
      <c r="I59" s="27" t="s">
        <v>116</v>
      </c>
      <c r="J59" s="252"/>
      <c r="K59" s="255"/>
      <c r="L59" s="120"/>
      <c r="M59" s="121" t="s">
        <v>46</v>
      </c>
      <c r="N59" s="71" t="s">
        <v>93</v>
      </c>
      <c r="O59" s="76" t="s">
        <v>85</v>
      </c>
      <c r="P59" s="76" t="s">
        <v>91</v>
      </c>
      <c r="Q59" s="71" t="s">
        <v>51</v>
      </c>
      <c r="R59" s="71">
        <v>0</v>
      </c>
      <c r="S59" s="41">
        <v>1</v>
      </c>
      <c r="T59" s="163"/>
      <c r="U59" s="164"/>
      <c r="V59" s="164"/>
      <c r="W59" s="164"/>
      <c r="X59" s="165"/>
      <c r="Y59" s="140"/>
      <c r="Z59" s="140"/>
      <c r="AA59" s="258"/>
      <c r="AB59" s="54">
        <f>(20/105)</f>
        <v>0.19047619047619047</v>
      </c>
      <c r="AC59" s="1165">
        <f t="shared" si="15"/>
        <v>1</v>
      </c>
      <c r="AD59" s="119">
        <f>+(AB59/AC59)*(8.3%*9)</f>
        <v>0.14228571428571427</v>
      </c>
      <c r="AE59" s="49" t="s">
        <v>250</v>
      </c>
      <c r="AF59" s="1205"/>
      <c r="AG59" s="1206"/>
      <c r="AH59" s="1206"/>
      <c r="AI59" s="1207"/>
    </row>
    <row r="60" spans="1:35" s="28" customFormat="1" ht="60.75" thickBot="1" x14ac:dyDescent="0.3">
      <c r="A60" s="23" t="s">
        <v>98</v>
      </c>
      <c r="B60" s="23" t="s">
        <v>100</v>
      </c>
      <c r="C60" s="23" t="s">
        <v>99</v>
      </c>
      <c r="D60" s="24" t="s">
        <v>108</v>
      </c>
      <c r="E60" s="24" t="s">
        <v>101</v>
      </c>
      <c r="F60" s="25" t="s">
        <v>109</v>
      </c>
      <c r="G60" s="26" t="s">
        <v>115</v>
      </c>
      <c r="H60" s="27" t="s">
        <v>114</v>
      </c>
      <c r="I60" s="27" t="s">
        <v>116</v>
      </c>
      <c r="J60" s="252"/>
      <c r="K60" s="255"/>
      <c r="L60" s="122"/>
      <c r="M60" s="123" t="s">
        <v>46</v>
      </c>
      <c r="N60" s="71" t="s">
        <v>93</v>
      </c>
      <c r="O60" s="76" t="s">
        <v>86</v>
      </c>
      <c r="P60" s="76" t="s">
        <v>92</v>
      </c>
      <c r="Q60" s="71" t="s">
        <v>51</v>
      </c>
      <c r="R60" s="71">
        <v>0</v>
      </c>
      <c r="S60" s="41">
        <v>0.7</v>
      </c>
      <c r="T60" s="166"/>
      <c r="U60" s="167"/>
      <c r="V60" s="167"/>
      <c r="W60" s="167"/>
      <c r="X60" s="168"/>
      <c r="Y60" s="140"/>
      <c r="Z60" s="140"/>
      <c r="AA60" s="258"/>
      <c r="AB60" s="54"/>
      <c r="AC60" s="1165">
        <f t="shared" si="15"/>
        <v>0.7</v>
      </c>
      <c r="AD60" s="119">
        <f>+AB60/S60</f>
        <v>0</v>
      </c>
      <c r="AE60" s="49" t="s">
        <v>251</v>
      </c>
      <c r="AF60" s="1208"/>
      <c r="AG60" s="1209"/>
      <c r="AH60" s="1209"/>
      <c r="AI60" s="1210"/>
    </row>
    <row r="61" spans="1:35" s="16" customFormat="1" ht="35.25" customHeight="1" thickBot="1" x14ac:dyDescent="0.3">
      <c r="A61" s="31"/>
      <c r="B61" s="31"/>
      <c r="C61" s="31"/>
      <c r="D61" s="32"/>
      <c r="E61" s="32"/>
      <c r="F61" s="32"/>
      <c r="G61" s="31"/>
      <c r="H61" s="32"/>
      <c r="I61" s="32"/>
      <c r="J61" s="252"/>
      <c r="K61" s="255"/>
      <c r="L61" s="17"/>
      <c r="M61" s="33"/>
      <c r="N61" s="33"/>
      <c r="O61" s="35"/>
      <c r="P61" s="35"/>
      <c r="Q61" s="17"/>
      <c r="R61" s="17"/>
      <c r="S61" s="39"/>
      <c r="T61" s="36"/>
      <c r="U61" s="36"/>
      <c r="V61" s="17"/>
      <c r="W61" s="17"/>
      <c r="X61" s="17"/>
      <c r="Y61" s="37"/>
      <c r="Z61" s="140"/>
      <c r="AA61" s="258"/>
      <c r="AB61" s="1169" t="s">
        <v>118</v>
      </c>
      <c r="AC61" s="1170"/>
      <c r="AD61" s="109">
        <f>AVERAGE(AD55:AD59)</f>
        <v>0.44167106457791022</v>
      </c>
      <c r="AE61" s="1172"/>
      <c r="AF61" s="1211"/>
      <c r="AG61" s="1211"/>
      <c r="AH61" s="1212"/>
      <c r="AI61" s="1175"/>
    </row>
    <row r="62" spans="1:35" s="3" customFormat="1" ht="69.75" customHeight="1" thickBot="1" x14ac:dyDescent="0.3">
      <c r="A62" s="9" t="s">
        <v>98</v>
      </c>
      <c r="B62" s="9" t="s">
        <v>100</v>
      </c>
      <c r="C62" s="9" t="s">
        <v>112</v>
      </c>
      <c r="D62" s="10" t="s">
        <v>106</v>
      </c>
      <c r="E62" s="7" t="s">
        <v>45</v>
      </c>
      <c r="F62" s="10" t="s">
        <v>107</v>
      </c>
      <c r="G62" s="9" t="s">
        <v>115</v>
      </c>
      <c r="H62" s="18" t="s">
        <v>114</v>
      </c>
      <c r="I62" s="18" t="s">
        <v>116</v>
      </c>
      <c r="J62" s="252"/>
      <c r="K62" s="255"/>
      <c r="L62" s="124" t="s">
        <v>45</v>
      </c>
      <c r="M62" s="125" t="s">
        <v>46</v>
      </c>
      <c r="N62" s="69" t="s">
        <v>94</v>
      </c>
      <c r="O62" s="30" t="s">
        <v>206</v>
      </c>
      <c r="P62" s="30" t="s">
        <v>205</v>
      </c>
      <c r="Q62" s="69" t="s">
        <v>51</v>
      </c>
      <c r="R62" s="69">
        <v>0</v>
      </c>
      <c r="S62" s="42">
        <v>0.95</v>
      </c>
      <c r="T62" s="151"/>
      <c r="U62" s="152"/>
      <c r="V62" s="152"/>
      <c r="W62" s="152"/>
      <c r="X62" s="153"/>
      <c r="Y62" s="20">
        <v>1196221561</v>
      </c>
      <c r="Z62" s="140"/>
      <c r="AA62" s="258"/>
      <c r="AB62" s="55">
        <f>(497/515)</f>
        <v>0.96504854368932036</v>
      </c>
      <c r="AC62" s="1183">
        <f>+S62</f>
        <v>0.95</v>
      </c>
      <c r="AD62" s="113">
        <f>+(AB62/AC62)*(8.3%*9)</f>
        <v>0.75883290751149723</v>
      </c>
      <c r="AE62" s="66" t="s">
        <v>245</v>
      </c>
      <c r="AF62" s="1185"/>
      <c r="AG62" s="1186"/>
      <c r="AH62" s="1186"/>
      <c r="AI62" s="1187"/>
    </row>
    <row r="63" spans="1:35" s="16" customFormat="1" ht="35.25" customHeight="1" thickBot="1" x14ac:dyDescent="0.3">
      <c r="A63" s="31"/>
      <c r="B63" s="31"/>
      <c r="C63" s="31"/>
      <c r="D63" s="32"/>
      <c r="E63" s="32"/>
      <c r="F63" s="32"/>
      <c r="G63" s="31"/>
      <c r="H63" s="32"/>
      <c r="I63" s="32"/>
      <c r="J63" s="252"/>
      <c r="K63" s="255"/>
      <c r="L63" s="17"/>
      <c r="M63" s="33"/>
      <c r="N63" s="33"/>
      <c r="O63" s="35"/>
      <c r="P63" s="35"/>
      <c r="Q63" s="17"/>
      <c r="R63" s="17"/>
      <c r="S63" s="39"/>
      <c r="T63" s="36"/>
      <c r="U63" s="36"/>
      <c r="V63" s="17"/>
      <c r="W63" s="17"/>
      <c r="X63" s="17"/>
      <c r="Y63" s="37"/>
      <c r="Z63" s="140"/>
      <c r="AA63" s="258"/>
      <c r="AB63" s="1169" t="s">
        <v>118</v>
      </c>
      <c r="AC63" s="1170"/>
      <c r="AD63" s="109">
        <f>AVERAGE(AD62)</f>
        <v>0.75883290751149723</v>
      </c>
      <c r="AE63" s="1213"/>
      <c r="AF63" s="1213"/>
      <c r="AG63" s="1213"/>
      <c r="AH63" s="1213"/>
      <c r="AI63" s="1214"/>
    </row>
    <row r="64" spans="1:35" s="4" customFormat="1" ht="48" customHeight="1" x14ac:dyDescent="0.25">
      <c r="A64" s="149" t="s">
        <v>98</v>
      </c>
      <c r="B64" s="149" t="s">
        <v>100</v>
      </c>
      <c r="C64" s="149" t="s">
        <v>99</v>
      </c>
      <c r="D64" s="149" t="s">
        <v>104</v>
      </c>
      <c r="E64" s="149" t="s">
        <v>103</v>
      </c>
      <c r="F64" s="149" t="s">
        <v>105</v>
      </c>
      <c r="G64" s="141" t="s">
        <v>115</v>
      </c>
      <c r="H64" s="143" t="s">
        <v>114</v>
      </c>
      <c r="I64" s="143" t="s">
        <v>116</v>
      </c>
      <c r="J64" s="252"/>
      <c r="K64" s="255"/>
      <c r="L64" s="145"/>
      <c r="M64" s="147" t="s">
        <v>46</v>
      </c>
      <c r="N64" s="138" t="s">
        <v>97</v>
      </c>
      <c r="O64" s="136" t="s">
        <v>122</v>
      </c>
      <c r="P64" s="137" t="s">
        <v>207</v>
      </c>
      <c r="Q64" s="138" t="s">
        <v>121</v>
      </c>
      <c r="R64" s="138">
        <v>0</v>
      </c>
      <c r="S64" s="139">
        <v>17</v>
      </c>
      <c r="T64" s="76" t="s">
        <v>208</v>
      </c>
      <c r="U64" s="76" t="s">
        <v>209</v>
      </c>
      <c r="V64" s="71" t="s">
        <v>50</v>
      </c>
      <c r="W64" s="71">
        <v>0</v>
      </c>
      <c r="X64" s="50">
        <v>80</v>
      </c>
      <c r="Y64" s="140">
        <v>362804725</v>
      </c>
      <c r="Z64" s="140"/>
      <c r="AA64" s="258"/>
      <c r="AB64" s="130">
        <v>5</v>
      </c>
      <c r="AC64" s="1215">
        <f>+S64</f>
        <v>17</v>
      </c>
      <c r="AD64" s="132">
        <f>+AB64/S64</f>
        <v>0.29411764705882354</v>
      </c>
      <c r="AE64" s="134" t="s">
        <v>211</v>
      </c>
      <c r="AF64" s="45">
        <v>80</v>
      </c>
      <c r="AG64" s="1216">
        <f>+X64</f>
        <v>80</v>
      </c>
      <c r="AH64" s="1183">
        <f>+AF64/X64</f>
        <v>1</v>
      </c>
      <c r="AI64" s="67" t="s">
        <v>213</v>
      </c>
    </row>
    <row r="65" spans="1:35" s="3" customFormat="1" ht="106.5" customHeight="1" thickBot="1" x14ac:dyDescent="0.3">
      <c r="A65" s="150"/>
      <c r="B65" s="150"/>
      <c r="C65" s="150"/>
      <c r="D65" s="150"/>
      <c r="E65" s="150"/>
      <c r="F65" s="150"/>
      <c r="G65" s="142"/>
      <c r="H65" s="144"/>
      <c r="I65" s="144"/>
      <c r="J65" s="253"/>
      <c r="K65" s="256"/>
      <c r="L65" s="146"/>
      <c r="M65" s="148"/>
      <c r="N65" s="138"/>
      <c r="O65" s="136"/>
      <c r="P65" s="137"/>
      <c r="Q65" s="138"/>
      <c r="R65" s="138"/>
      <c r="S65" s="139"/>
      <c r="T65" s="76" t="s">
        <v>95</v>
      </c>
      <c r="U65" s="76" t="s">
        <v>96</v>
      </c>
      <c r="V65" s="71" t="s">
        <v>51</v>
      </c>
      <c r="W65" s="71">
        <v>0</v>
      </c>
      <c r="X65" s="22">
        <v>1</v>
      </c>
      <c r="Y65" s="140"/>
      <c r="Z65" s="140"/>
      <c r="AA65" s="258"/>
      <c r="AB65" s="131"/>
      <c r="AC65" s="1217"/>
      <c r="AD65" s="133"/>
      <c r="AE65" s="135"/>
      <c r="AF65" s="59">
        <f>(358/358)</f>
        <v>1</v>
      </c>
      <c r="AG65" s="1183">
        <f>+X65</f>
        <v>1</v>
      </c>
      <c r="AH65" s="112">
        <f>+(AF65/AG65)*(8.3%*9)</f>
        <v>0.747</v>
      </c>
      <c r="AI65" s="68" t="s">
        <v>212</v>
      </c>
    </row>
    <row r="66" spans="1:35" s="16" customFormat="1" ht="35.25" customHeight="1" thickBot="1" x14ac:dyDescent="0.3">
      <c r="A66" s="31"/>
      <c r="B66" s="31"/>
      <c r="C66" s="31"/>
      <c r="D66" s="32"/>
      <c r="E66" s="32"/>
      <c r="F66" s="32"/>
      <c r="G66" s="31"/>
      <c r="H66" s="32"/>
      <c r="I66" s="32"/>
      <c r="J66" s="1"/>
      <c r="K66" s="5"/>
      <c r="L66" s="17"/>
      <c r="M66" s="33"/>
      <c r="N66" s="33"/>
      <c r="O66" s="35"/>
      <c r="P66" s="35"/>
      <c r="Q66" s="17"/>
      <c r="R66" s="17"/>
      <c r="S66" s="39"/>
      <c r="T66" s="36"/>
      <c r="U66" s="36"/>
      <c r="V66" s="17"/>
      <c r="W66" s="17"/>
      <c r="X66" s="17"/>
      <c r="Y66" s="37"/>
      <c r="Z66" s="5"/>
      <c r="AA66" s="5"/>
      <c r="AB66" s="1218" t="s">
        <v>118</v>
      </c>
      <c r="AC66" s="1219"/>
      <c r="AD66" s="126">
        <f>AVERAGE(AD64:AD65)</f>
        <v>0.29411764705882354</v>
      </c>
      <c r="AE66" s="1220"/>
      <c r="AF66" s="1221" t="s">
        <v>117</v>
      </c>
      <c r="AG66" s="1219"/>
      <c r="AH66" s="1222">
        <f>AVERAGE(AH65)</f>
        <v>0.747</v>
      </c>
      <c r="AI66" s="1223"/>
    </row>
    <row r="70" spans="1:35" ht="43.5" customHeight="1" thickBot="1" x14ac:dyDescent="0.3">
      <c r="AB70" s="128" t="s">
        <v>119</v>
      </c>
      <c r="AC70" s="129"/>
      <c r="AD70" s="127">
        <f>AVERAGE(AD66,AD63,AD61,AD54,AD46,AD38,AD30,AD22,AD14,AD8)</f>
        <v>0.60889302885352703</v>
      </c>
      <c r="AF70" s="128" t="s">
        <v>120</v>
      </c>
      <c r="AG70" s="129"/>
      <c r="AH70" s="127">
        <f>AVERAGE(AH66,AH54,AH46,AH38,AH30,AH22,AH14)</f>
        <v>0.63535502217779916</v>
      </c>
    </row>
  </sheetData>
  <sheetProtection algorithmName="SHA-512" hashValue="81T0ZZGKvn8nliaUTWpzT9FZ5REMQMwTvCcanjTq1xKJqy8lNIaj5ZRit9JuDIVmNi6pspqcv4DMu9+kmqnDVA==" saltValue="FAZ2GyiyUOgzE8lznj2/CA==" spinCount="100000" sheet="1" objects="1" scenarios="1" selectLockedCells="1" selectUnlockedCells="1"/>
  <autoFilter ref="A6:AI66" xr:uid="{E8D07449-5057-45EB-9F16-EEBF8D87459D}"/>
  <mergeCells count="428">
    <mergeCell ref="C2:O2"/>
    <mergeCell ref="M4:M5"/>
    <mergeCell ref="AB4:AI4"/>
    <mergeCell ref="A5:C5"/>
    <mergeCell ref="D5:F5"/>
    <mergeCell ref="G5:I5"/>
    <mergeCell ref="J5:K5"/>
    <mergeCell ref="O5:S5"/>
    <mergeCell ref="T5:X5"/>
    <mergeCell ref="AB5:AE5"/>
    <mergeCell ref="AF5:AI5"/>
    <mergeCell ref="J7:J65"/>
    <mergeCell ref="K7:K65"/>
    <mergeCell ref="Z7:Z65"/>
    <mergeCell ref="AA7:AA65"/>
    <mergeCell ref="AB8:AC8"/>
    <mergeCell ref="O9:O10"/>
    <mergeCell ref="P9:P10"/>
    <mergeCell ref="Q9:Q10"/>
    <mergeCell ref="R9:R10"/>
    <mergeCell ref="AC9:AC10"/>
    <mergeCell ref="AD9:AD10"/>
    <mergeCell ref="AE9:AE10"/>
    <mergeCell ref="AC11:AC12"/>
    <mergeCell ref="AD11:AD12"/>
    <mergeCell ref="AE11:AE12"/>
    <mergeCell ref="T13:X13"/>
    <mergeCell ref="G9:G10"/>
    <mergeCell ref="H9:H10"/>
    <mergeCell ref="I9:I10"/>
    <mergeCell ref="L9:L10"/>
    <mergeCell ref="M9:M10"/>
    <mergeCell ref="N9:N10"/>
    <mergeCell ref="A11:A12"/>
    <mergeCell ref="B11:B12"/>
    <mergeCell ref="C11:C12"/>
    <mergeCell ref="D11:D12"/>
    <mergeCell ref="E11:E12"/>
    <mergeCell ref="F11:F12"/>
    <mergeCell ref="S9:S10"/>
    <mergeCell ref="Y9:Y13"/>
    <mergeCell ref="AB9:AB10"/>
    <mergeCell ref="A9:A10"/>
    <mergeCell ref="B9:B10"/>
    <mergeCell ref="C9:C10"/>
    <mergeCell ref="D9:D10"/>
    <mergeCell ref="E9:E10"/>
    <mergeCell ref="F9:F10"/>
    <mergeCell ref="O11:O12"/>
    <mergeCell ref="P11:P12"/>
    <mergeCell ref="Q11:Q12"/>
    <mergeCell ref="R11:R12"/>
    <mergeCell ref="S11:S12"/>
    <mergeCell ref="AB11:AB12"/>
    <mergeCell ref="G11:G12"/>
    <mergeCell ref="H11:H12"/>
    <mergeCell ref="I11:I12"/>
    <mergeCell ref="L11:L12"/>
    <mergeCell ref="M11:M12"/>
    <mergeCell ref="N11:N12"/>
    <mergeCell ref="N15:N16"/>
    <mergeCell ref="O15:O16"/>
    <mergeCell ref="AF13:AI13"/>
    <mergeCell ref="AB14:AC14"/>
    <mergeCell ref="AF14:AG14"/>
    <mergeCell ref="A15:A16"/>
    <mergeCell ref="B15:B16"/>
    <mergeCell ref="C15:C16"/>
    <mergeCell ref="D15:D16"/>
    <mergeCell ref="E15:E16"/>
    <mergeCell ref="F15:F16"/>
    <mergeCell ref="G15:G16"/>
    <mergeCell ref="AC15:AC16"/>
    <mergeCell ref="AD15:AD16"/>
    <mergeCell ref="AE15:AE16"/>
    <mergeCell ref="A17:A18"/>
    <mergeCell ref="B17:B18"/>
    <mergeCell ref="C17:C18"/>
    <mergeCell ref="D17:D18"/>
    <mergeCell ref="E17:E18"/>
    <mergeCell ref="F17:F18"/>
    <mergeCell ref="G17:G18"/>
    <mergeCell ref="P15:P16"/>
    <mergeCell ref="Q15:Q16"/>
    <mergeCell ref="R15:R16"/>
    <mergeCell ref="S15:S16"/>
    <mergeCell ref="Y15:Y21"/>
    <mergeCell ref="AB15:AB16"/>
    <mergeCell ref="P17:P18"/>
    <mergeCell ref="Q17:Q18"/>
    <mergeCell ref="R17:R18"/>
    <mergeCell ref="S17:S18"/>
    <mergeCell ref="H15:H16"/>
    <mergeCell ref="I15:I16"/>
    <mergeCell ref="L15:L16"/>
    <mergeCell ref="M15:M16"/>
    <mergeCell ref="AB17:AB18"/>
    <mergeCell ref="AC17:AC18"/>
    <mergeCell ref="AD17:AD18"/>
    <mergeCell ref="AE17:AE18"/>
    <mergeCell ref="A19:A21"/>
    <mergeCell ref="B19:B21"/>
    <mergeCell ref="C19:C21"/>
    <mergeCell ref="D19:D21"/>
    <mergeCell ref="E19:E21"/>
    <mergeCell ref="F19:F21"/>
    <mergeCell ref="H17:H18"/>
    <mergeCell ref="I17:I18"/>
    <mergeCell ref="L17:L18"/>
    <mergeCell ref="M17:M18"/>
    <mergeCell ref="N17:N18"/>
    <mergeCell ref="O17:O18"/>
    <mergeCell ref="AC19:AC21"/>
    <mergeCell ref="AD19:AD21"/>
    <mergeCell ref="AE19:AE21"/>
    <mergeCell ref="AB22:AC22"/>
    <mergeCell ref="AF22:AG22"/>
    <mergeCell ref="A23:A24"/>
    <mergeCell ref="B23:B24"/>
    <mergeCell ref="C23:C24"/>
    <mergeCell ref="D23:D24"/>
    <mergeCell ref="E23:E24"/>
    <mergeCell ref="O19:O21"/>
    <mergeCell ref="P19:P21"/>
    <mergeCell ref="Q19:Q21"/>
    <mergeCell ref="R19:R21"/>
    <mergeCell ref="S19:S21"/>
    <mergeCell ref="AB19:AB21"/>
    <mergeCell ref="G19:G21"/>
    <mergeCell ref="H19:H21"/>
    <mergeCell ref="I19:I21"/>
    <mergeCell ref="L19:L21"/>
    <mergeCell ref="M19:M21"/>
    <mergeCell ref="N19:N21"/>
    <mergeCell ref="AC23:AC24"/>
    <mergeCell ref="AD23:AD24"/>
    <mergeCell ref="AE23:AE24"/>
    <mergeCell ref="A25:A26"/>
    <mergeCell ref="B25:B26"/>
    <mergeCell ref="C25:C26"/>
    <mergeCell ref="D25:D26"/>
    <mergeCell ref="E25:E26"/>
    <mergeCell ref="N23:N24"/>
    <mergeCell ref="O23:O24"/>
    <mergeCell ref="P23:P24"/>
    <mergeCell ref="Q23:Q24"/>
    <mergeCell ref="R23:R24"/>
    <mergeCell ref="S23:S24"/>
    <mergeCell ref="F23:F24"/>
    <mergeCell ref="G23:G24"/>
    <mergeCell ref="H23:H24"/>
    <mergeCell ref="I23:I24"/>
    <mergeCell ref="L23:L24"/>
    <mergeCell ref="M23:M24"/>
    <mergeCell ref="AB25:AB26"/>
    <mergeCell ref="AC25:AC26"/>
    <mergeCell ref="AD25:AD26"/>
    <mergeCell ref="AE25:AE26"/>
    <mergeCell ref="A27:A29"/>
    <mergeCell ref="B27:B29"/>
    <mergeCell ref="C27:C29"/>
    <mergeCell ref="D27:D29"/>
    <mergeCell ref="E27:E29"/>
    <mergeCell ref="F27:F29"/>
    <mergeCell ref="N25:N26"/>
    <mergeCell ref="O25:O26"/>
    <mergeCell ref="P25:P26"/>
    <mergeCell ref="Q25:Q26"/>
    <mergeCell ref="R25:R26"/>
    <mergeCell ref="S25:S26"/>
    <mergeCell ref="F25:F26"/>
    <mergeCell ref="G25:G26"/>
    <mergeCell ref="H25:H26"/>
    <mergeCell ref="I25:I26"/>
    <mergeCell ref="L25:L26"/>
    <mergeCell ref="M25:M26"/>
    <mergeCell ref="Y23:Y29"/>
    <mergeCell ref="AB23:AB24"/>
    <mergeCell ref="AC27:AC29"/>
    <mergeCell ref="AD27:AD29"/>
    <mergeCell ref="AE27:AE29"/>
    <mergeCell ref="AB30:AC30"/>
    <mergeCell ref="AF30:AG30"/>
    <mergeCell ref="A31:A32"/>
    <mergeCell ref="B31:B32"/>
    <mergeCell ref="C31:C32"/>
    <mergeCell ref="D31:D32"/>
    <mergeCell ref="E31:E32"/>
    <mergeCell ref="O27:O29"/>
    <mergeCell ref="P27:P29"/>
    <mergeCell ref="Q27:Q29"/>
    <mergeCell ref="R27:R29"/>
    <mergeCell ref="S27:S29"/>
    <mergeCell ref="AB27:AB29"/>
    <mergeCell ref="G27:G29"/>
    <mergeCell ref="H27:H29"/>
    <mergeCell ref="I27:I29"/>
    <mergeCell ref="L27:L29"/>
    <mergeCell ref="M27:M29"/>
    <mergeCell ref="N27:N29"/>
    <mergeCell ref="AC31:AC32"/>
    <mergeCell ref="AD31:AD32"/>
    <mergeCell ref="AE31:AE32"/>
    <mergeCell ref="A33:A34"/>
    <mergeCell ref="B33:B34"/>
    <mergeCell ref="C33:C34"/>
    <mergeCell ref="D33:D34"/>
    <mergeCell ref="E33:E34"/>
    <mergeCell ref="N31:N32"/>
    <mergeCell ref="O31:O32"/>
    <mergeCell ref="P31:P32"/>
    <mergeCell ref="Q31:Q32"/>
    <mergeCell ref="R31:R32"/>
    <mergeCell ref="S31:S32"/>
    <mergeCell ref="F31:F32"/>
    <mergeCell ref="G31:G32"/>
    <mergeCell ref="H31:H32"/>
    <mergeCell ref="I31:I32"/>
    <mergeCell ref="L31:L32"/>
    <mergeCell ref="M31:M32"/>
    <mergeCell ref="AB33:AB34"/>
    <mergeCell ref="AC33:AC34"/>
    <mergeCell ref="AD33:AD34"/>
    <mergeCell ref="AE33:AE34"/>
    <mergeCell ref="A35:A37"/>
    <mergeCell ref="B35:B37"/>
    <mergeCell ref="C35:C37"/>
    <mergeCell ref="D35:D37"/>
    <mergeCell ref="E35:E37"/>
    <mergeCell ref="F35:F37"/>
    <mergeCell ref="N33:N34"/>
    <mergeCell ref="O33:O34"/>
    <mergeCell ref="P33:P34"/>
    <mergeCell ref="Q33:Q34"/>
    <mergeCell ref="R33:R34"/>
    <mergeCell ref="S33:S34"/>
    <mergeCell ref="F33:F34"/>
    <mergeCell ref="G33:G34"/>
    <mergeCell ref="H33:H34"/>
    <mergeCell ref="I33:I34"/>
    <mergeCell ref="L33:L34"/>
    <mergeCell ref="M33:M34"/>
    <mergeCell ref="Y31:Y37"/>
    <mergeCell ref="AB31:AB32"/>
    <mergeCell ref="AC35:AC37"/>
    <mergeCell ref="AD35:AD37"/>
    <mergeCell ref="AE35:AE37"/>
    <mergeCell ref="AB38:AC38"/>
    <mergeCell ref="AF38:AG38"/>
    <mergeCell ref="A39:A40"/>
    <mergeCell ref="B39:B40"/>
    <mergeCell ref="C39:C40"/>
    <mergeCell ref="D39:D40"/>
    <mergeCell ref="E39:E40"/>
    <mergeCell ref="O35:O37"/>
    <mergeCell ref="P35:P37"/>
    <mergeCell ref="Q35:Q37"/>
    <mergeCell ref="R35:R37"/>
    <mergeCell ref="S35:S37"/>
    <mergeCell ref="AB35:AB37"/>
    <mergeCell ref="G35:G37"/>
    <mergeCell ref="H35:H37"/>
    <mergeCell ref="I35:I37"/>
    <mergeCell ref="L35:L37"/>
    <mergeCell ref="M35:M37"/>
    <mergeCell ref="N35:N37"/>
    <mergeCell ref="AC39:AC40"/>
    <mergeCell ref="AD39:AD40"/>
    <mergeCell ref="AE39:AE40"/>
    <mergeCell ref="A41:A42"/>
    <mergeCell ref="B41:B42"/>
    <mergeCell ref="C41:C42"/>
    <mergeCell ref="D41:D42"/>
    <mergeCell ref="E41:E42"/>
    <mergeCell ref="N39:N40"/>
    <mergeCell ref="O39:O40"/>
    <mergeCell ref="P39:P40"/>
    <mergeCell ref="Q39:Q40"/>
    <mergeCell ref="R39:R40"/>
    <mergeCell ref="S39:S40"/>
    <mergeCell ref="F39:F40"/>
    <mergeCell ref="G39:G40"/>
    <mergeCell ref="H39:H40"/>
    <mergeCell ref="I39:I40"/>
    <mergeCell ref="L39:L40"/>
    <mergeCell ref="M39:M40"/>
    <mergeCell ref="AB41:AB42"/>
    <mergeCell ref="AC41:AC42"/>
    <mergeCell ref="AD41:AD42"/>
    <mergeCell ref="AE41:AE42"/>
    <mergeCell ref="A43:A45"/>
    <mergeCell ref="B43:B45"/>
    <mergeCell ref="C43:C45"/>
    <mergeCell ref="D43:D45"/>
    <mergeCell ref="E43:E45"/>
    <mergeCell ref="F43:F45"/>
    <mergeCell ref="N41:N42"/>
    <mergeCell ref="O41:O42"/>
    <mergeCell ref="P41:P42"/>
    <mergeCell ref="Q41:Q42"/>
    <mergeCell ref="R41:R42"/>
    <mergeCell ref="S41:S42"/>
    <mergeCell ref="F41:F42"/>
    <mergeCell ref="G41:G42"/>
    <mergeCell ref="H41:H42"/>
    <mergeCell ref="I41:I42"/>
    <mergeCell ref="L41:L42"/>
    <mergeCell ref="M41:M42"/>
    <mergeCell ref="Y39:Y45"/>
    <mergeCell ref="AB39:AB40"/>
    <mergeCell ref="AC43:AC45"/>
    <mergeCell ref="AD43:AD45"/>
    <mergeCell ref="AE43:AE45"/>
    <mergeCell ref="AB46:AC46"/>
    <mergeCell ref="AF46:AG46"/>
    <mergeCell ref="A47:A48"/>
    <mergeCell ref="B47:B48"/>
    <mergeCell ref="C47:C48"/>
    <mergeCell ref="D47:D48"/>
    <mergeCell ref="E47:E48"/>
    <mergeCell ref="O43:O45"/>
    <mergeCell ref="P43:P45"/>
    <mergeCell ref="Q43:Q45"/>
    <mergeCell ref="R43:R45"/>
    <mergeCell ref="S43:S45"/>
    <mergeCell ref="AB43:AB45"/>
    <mergeCell ref="G43:G45"/>
    <mergeCell ref="H43:H45"/>
    <mergeCell ref="I43:I45"/>
    <mergeCell ref="L43:L45"/>
    <mergeCell ref="M43:M45"/>
    <mergeCell ref="N43:N45"/>
    <mergeCell ref="AC47:AC48"/>
    <mergeCell ref="AD47:AD48"/>
    <mergeCell ref="AE47:AE48"/>
    <mergeCell ref="A49:A50"/>
    <mergeCell ref="B49:B50"/>
    <mergeCell ref="C49:C50"/>
    <mergeCell ref="D49:D50"/>
    <mergeCell ref="E49:E50"/>
    <mergeCell ref="N47:N48"/>
    <mergeCell ref="O47:O48"/>
    <mergeCell ref="P47:P48"/>
    <mergeCell ref="Q47:Q48"/>
    <mergeCell ref="R47:R48"/>
    <mergeCell ref="S47:S48"/>
    <mergeCell ref="F47:F48"/>
    <mergeCell ref="G47:G48"/>
    <mergeCell ref="H47:H48"/>
    <mergeCell ref="I47:I48"/>
    <mergeCell ref="L47:L48"/>
    <mergeCell ref="M47:M48"/>
    <mergeCell ref="AB49:AB50"/>
    <mergeCell ref="AC49:AC50"/>
    <mergeCell ref="AD49:AD50"/>
    <mergeCell ref="AE49:AE50"/>
    <mergeCell ref="A51:A53"/>
    <mergeCell ref="B51:B53"/>
    <mergeCell ref="C51:C53"/>
    <mergeCell ref="D51:D53"/>
    <mergeCell ref="E51:E53"/>
    <mergeCell ref="F51:F53"/>
    <mergeCell ref="N49:N50"/>
    <mergeCell ref="O49:O50"/>
    <mergeCell ref="P49:P50"/>
    <mergeCell ref="Q49:Q50"/>
    <mergeCell ref="R49:R50"/>
    <mergeCell ref="S49:S50"/>
    <mergeCell ref="F49:F50"/>
    <mergeCell ref="G49:G50"/>
    <mergeCell ref="H49:H50"/>
    <mergeCell ref="I49:I50"/>
    <mergeCell ref="L49:L50"/>
    <mergeCell ref="M49:M50"/>
    <mergeCell ref="Y47:Y53"/>
    <mergeCell ref="AB47:AB48"/>
    <mergeCell ref="O51:O53"/>
    <mergeCell ref="P51:P53"/>
    <mergeCell ref="Q51:Q53"/>
    <mergeCell ref="R51:R53"/>
    <mergeCell ref="S51:S53"/>
    <mergeCell ref="AB51:AB53"/>
    <mergeCell ref="G51:G53"/>
    <mergeCell ref="H51:H53"/>
    <mergeCell ref="I51:I53"/>
    <mergeCell ref="L51:L53"/>
    <mergeCell ref="M51:M53"/>
    <mergeCell ref="N51:N53"/>
    <mergeCell ref="AB61:AC61"/>
    <mergeCell ref="AF61:AG61"/>
    <mergeCell ref="T62:X62"/>
    <mergeCell ref="AF62:AI62"/>
    <mergeCell ref="AB63:AC63"/>
    <mergeCell ref="AE63:AI63"/>
    <mergeCell ref="AC51:AC53"/>
    <mergeCell ref="AD51:AD53"/>
    <mergeCell ref="AE51:AE53"/>
    <mergeCell ref="AB54:AC54"/>
    <mergeCell ref="AF54:AG54"/>
    <mergeCell ref="T55:X60"/>
    <mergeCell ref="Y55:Y60"/>
    <mergeCell ref="AF55:AI60"/>
    <mergeCell ref="G64:G65"/>
    <mergeCell ref="H64:H65"/>
    <mergeCell ref="I64:I65"/>
    <mergeCell ref="L64:L65"/>
    <mergeCell ref="M64:M65"/>
    <mergeCell ref="N64:N65"/>
    <mergeCell ref="A64:A65"/>
    <mergeCell ref="B64:B65"/>
    <mergeCell ref="C64:C65"/>
    <mergeCell ref="D64:D65"/>
    <mergeCell ref="E64:E65"/>
    <mergeCell ref="F64:F65"/>
    <mergeCell ref="AB70:AC70"/>
    <mergeCell ref="AF70:AG70"/>
    <mergeCell ref="AB64:AB65"/>
    <mergeCell ref="AC64:AC65"/>
    <mergeCell ref="AD64:AD65"/>
    <mergeCell ref="AE64:AE65"/>
    <mergeCell ref="AB66:AC66"/>
    <mergeCell ref="AF66:AG66"/>
    <mergeCell ref="O64:O65"/>
    <mergeCell ref="P64:P65"/>
    <mergeCell ref="Q64:Q65"/>
    <mergeCell ref="R64:R65"/>
    <mergeCell ref="S64:S65"/>
    <mergeCell ref="Y64:Y65"/>
  </mergeCells>
  <pageMargins left="0.70866141732283472" right="0.70866141732283472" top="0.74803149606299213" bottom="0.74803149606299213" header="0.31496062992125984" footer="0.31496062992125984"/>
  <pageSetup scale="11" fitToHeight="0"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C0DBC-ECDC-481D-9902-3AE108EBC802}">
  <sheetPr>
    <tabColor rgb="FF92D050"/>
  </sheetPr>
  <dimension ref="A1:EO33"/>
  <sheetViews>
    <sheetView workbookViewId="0">
      <selection activeCell="CN4" sqref="CN4:CU4"/>
    </sheetView>
  </sheetViews>
  <sheetFormatPr baseColWidth="10" defaultColWidth="11.42578125" defaultRowHeight="22.5" customHeight="1" x14ac:dyDescent="0.2"/>
  <cols>
    <col min="1" max="1" width="22.42578125" style="5" customWidth="1"/>
    <col min="2" max="2" width="27.140625" style="5" customWidth="1"/>
    <col min="3" max="3" width="30.7109375" style="5" customWidth="1"/>
    <col min="4" max="4" width="21.28515625" style="5" customWidth="1"/>
    <col min="5" max="5" width="16" style="5" customWidth="1"/>
    <col min="6" max="6" width="53" style="5" customWidth="1"/>
    <col min="7" max="7" width="43.42578125" style="5" customWidth="1"/>
    <col min="8" max="8" width="17.140625" style="5" customWidth="1"/>
    <col min="9" max="9" width="16.140625" style="5" customWidth="1"/>
    <col min="10" max="10" width="21.140625" style="5" customWidth="1"/>
    <col min="11" max="11" width="18.7109375" style="5" customWidth="1"/>
    <col min="12" max="12" width="17.28515625" style="5" customWidth="1"/>
    <col min="13" max="13" width="16.85546875" style="5" customWidth="1"/>
    <col min="14" max="14" width="15.85546875" style="5" customWidth="1"/>
    <col min="15" max="15" width="58.42578125" style="5" bestFit="1" customWidth="1"/>
    <col min="16" max="16" width="45.42578125" style="5" bestFit="1" customWidth="1"/>
    <col min="17" max="17" width="15.85546875" style="5" bestFit="1" customWidth="1"/>
    <col min="18" max="18" width="9.28515625" style="5" bestFit="1" customWidth="1"/>
    <col min="19" max="19" width="16.28515625" style="5" bestFit="1" customWidth="1"/>
    <col min="20" max="20" width="49.140625" style="5" bestFit="1" customWidth="1"/>
    <col min="21" max="21" width="50.28515625" style="640" bestFit="1" customWidth="1"/>
    <col min="22" max="22" width="17.140625" style="5" customWidth="1"/>
    <col min="23" max="23" width="10.28515625" style="5" customWidth="1"/>
    <col min="24" max="24" width="14.42578125" style="5" bestFit="1" customWidth="1"/>
    <col min="25" max="25" width="19.85546875" style="5" customWidth="1"/>
    <col min="26" max="26" width="21" style="5" customWidth="1"/>
    <col min="27" max="27" width="20.28515625" style="5" customWidth="1"/>
    <col min="28" max="28" width="9.5703125" style="1" hidden="1" customWidth="1"/>
    <col min="29" max="29" width="5.140625" style="5" hidden="1" customWidth="1"/>
    <col min="30" max="30" width="16.140625" style="5" hidden="1" customWidth="1"/>
    <col min="31" max="31" width="38.85546875" style="5" hidden="1" customWidth="1"/>
    <col min="32" max="32" width="9.5703125" style="5" hidden="1" customWidth="1"/>
    <col min="33" max="33" width="8.140625" style="5" hidden="1" customWidth="1"/>
    <col min="34" max="34" width="16.140625" style="5" hidden="1" customWidth="1"/>
    <col min="35" max="35" width="17.7109375" style="5" hidden="1" customWidth="1"/>
    <col min="36" max="37" width="11.42578125" style="5" hidden="1" customWidth="1"/>
    <col min="38" max="38" width="16.7109375" style="5" hidden="1" customWidth="1"/>
    <col min="39" max="39" width="50.140625" style="5" hidden="1" customWidth="1"/>
    <col min="40" max="41" width="11.42578125" style="5" hidden="1" customWidth="1"/>
    <col min="42" max="42" width="20" style="5" hidden="1" customWidth="1"/>
    <col min="43" max="43" width="62.42578125" style="5" hidden="1" customWidth="1"/>
    <col min="44" max="45" width="11.42578125" style="5" hidden="1" customWidth="1"/>
    <col min="46" max="46" width="16.7109375" style="5" hidden="1" customWidth="1"/>
    <col min="47" max="47" width="50.140625" style="5" hidden="1" customWidth="1"/>
    <col min="48" max="49" width="11.42578125" style="5" hidden="1" customWidth="1"/>
    <col min="50" max="50" width="20" style="5" hidden="1" customWidth="1"/>
    <col min="51" max="51" width="62.42578125" style="5" hidden="1" customWidth="1"/>
    <col min="52" max="53" width="11.42578125" style="5" hidden="1" customWidth="1"/>
    <col min="54" max="54" width="16.7109375" style="5" hidden="1" customWidth="1"/>
    <col min="55" max="55" width="50.140625" style="5" hidden="1" customWidth="1"/>
    <col min="56" max="57" width="11.42578125" style="5" hidden="1" customWidth="1"/>
    <col min="58" max="58" width="20" style="5" hidden="1" customWidth="1"/>
    <col min="59" max="59" width="62.42578125" style="5" hidden="1" customWidth="1"/>
    <col min="60" max="61" width="11.42578125" style="5" hidden="1" customWidth="1"/>
    <col min="62" max="62" width="16.7109375" style="641" hidden="1" customWidth="1"/>
    <col min="63" max="63" width="50.140625" style="5" hidden="1" customWidth="1"/>
    <col min="64" max="65" width="11.42578125" style="5" hidden="1" customWidth="1"/>
    <col min="66" max="66" width="20" style="5" hidden="1" customWidth="1"/>
    <col min="67" max="67" width="62.42578125" style="5" hidden="1" customWidth="1"/>
    <col min="68" max="69" width="11.42578125" style="5" hidden="1" customWidth="1"/>
    <col min="70" max="70" width="16.7109375" style="641" hidden="1" customWidth="1"/>
    <col min="71" max="71" width="50.140625" style="5" hidden="1" customWidth="1"/>
    <col min="72" max="73" width="11.42578125" style="5" hidden="1" customWidth="1"/>
    <col min="74" max="74" width="20" style="5" hidden="1" customWidth="1"/>
    <col min="75" max="75" width="78.140625" style="5" hidden="1" customWidth="1"/>
    <col min="76" max="77" width="11.42578125" style="5" hidden="1" customWidth="1"/>
    <col min="78" max="78" width="16.7109375" style="641" hidden="1" customWidth="1"/>
    <col min="79" max="79" width="55.7109375" style="5" hidden="1" customWidth="1"/>
    <col min="80" max="81" width="11.42578125" style="5" hidden="1" customWidth="1"/>
    <col min="82" max="82" width="20" style="5" hidden="1" customWidth="1"/>
    <col min="83" max="83" width="78.140625" style="5" hidden="1" customWidth="1"/>
    <col min="84" max="85" width="0" style="5" hidden="1" customWidth="1"/>
    <col min="86" max="86" width="16.7109375" style="641" hidden="1" customWidth="1"/>
    <col min="87" max="87" width="55.7109375" style="5" hidden="1" customWidth="1"/>
    <col min="88" max="89" width="0" style="5" hidden="1" customWidth="1"/>
    <col min="90" max="90" width="20" style="5" hidden="1" customWidth="1"/>
    <col min="91" max="91" width="80.5703125" style="5" hidden="1" customWidth="1"/>
    <col min="92" max="93" width="11.42578125" style="5"/>
    <col min="94" max="94" width="16.7109375" style="641" customWidth="1"/>
    <col min="95" max="95" width="55.7109375" style="5" customWidth="1"/>
    <col min="96" max="97" width="11.42578125" style="5"/>
    <col min="98" max="98" width="20" style="5" customWidth="1"/>
    <col min="99" max="99" width="80.5703125" style="5" customWidth="1"/>
    <col min="100" max="16384" width="11.42578125" style="5"/>
  </cols>
  <sheetData>
    <row r="1" spans="1:145" s="273" customFormat="1" ht="22.5" customHeight="1" x14ac:dyDescent="0.25">
      <c r="A1" s="17"/>
      <c r="B1" s="17"/>
      <c r="C1" s="17"/>
      <c r="D1" s="17"/>
      <c r="E1" s="17"/>
      <c r="F1" s="17"/>
      <c r="G1" s="17"/>
      <c r="H1" s="17"/>
      <c r="I1" s="17"/>
      <c r="J1" s="17"/>
      <c r="K1" s="17"/>
      <c r="L1" s="17"/>
      <c r="M1" s="17"/>
      <c r="N1" s="17"/>
      <c r="O1" s="17"/>
      <c r="P1" s="17"/>
      <c r="Q1" s="17"/>
      <c r="R1" s="17"/>
      <c r="S1" s="39"/>
      <c r="T1" s="17"/>
      <c r="U1" s="17"/>
      <c r="V1" s="17"/>
      <c r="W1" s="17"/>
      <c r="X1" s="17"/>
      <c r="Y1" s="17"/>
      <c r="Z1" s="17"/>
      <c r="AA1" s="17"/>
      <c r="AB1" s="17"/>
      <c r="AC1" s="39"/>
      <c r="AD1" s="39"/>
      <c r="AE1" s="17"/>
      <c r="AF1" s="17"/>
      <c r="AG1" s="1160" t="s">
        <v>0</v>
      </c>
      <c r="AH1" s="1160"/>
      <c r="AI1" s="1161">
        <v>43458</v>
      </c>
    </row>
    <row r="2" spans="1:145" s="273" customFormat="1" ht="33.75" customHeight="1" x14ac:dyDescent="0.25">
      <c r="A2" s="17"/>
      <c r="B2" s="17"/>
      <c r="C2" s="1162" t="s">
        <v>1</v>
      </c>
      <c r="D2" s="1162"/>
      <c r="E2" s="1162"/>
      <c r="F2" s="1162"/>
      <c r="G2" s="1162"/>
      <c r="H2" s="1162"/>
      <c r="I2" s="1162"/>
      <c r="J2" s="1162"/>
      <c r="K2" s="1162"/>
      <c r="L2" s="1162"/>
      <c r="M2" s="1162"/>
      <c r="N2" s="1162"/>
      <c r="O2" s="1162"/>
      <c r="P2" s="17"/>
      <c r="Q2" s="17"/>
      <c r="R2" s="17"/>
      <c r="S2" s="39"/>
      <c r="T2" s="17"/>
      <c r="U2" s="17"/>
      <c r="V2" s="17"/>
      <c r="W2" s="17"/>
      <c r="X2" s="17"/>
      <c r="Y2" s="17"/>
      <c r="Z2" s="17"/>
      <c r="AA2" s="17"/>
      <c r="AB2" s="17"/>
      <c r="AC2" s="39"/>
      <c r="AD2" s="39"/>
      <c r="AE2" s="17"/>
      <c r="AF2" s="17"/>
      <c r="AG2" s="1160" t="s">
        <v>2</v>
      </c>
      <c r="AH2" s="1160"/>
      <c r="AI2" s="274">
        <v>5</v>
      </c>
    </row>
    <row r="3" spans="1:145" s="273" customFormat="1" ht="35.25" customHeight="1" x14ac:dyDescent="0.25">
      <c r="A3" s="17"/>
      <c r="B3" s="17"/>
      <c r="C3" s="17"/>
      <c r="D3" s="17"/>
      <c r="E3" s="17"/>
      <c r="F3" s="17"/>
      <c r="G3" s="17"/>
      <c r="H3" s="17"/>
      <c r="I3" s="17"/>
      <c r="J3" s="17"/>
      <c r="K3" s="17"/>
      <c r="L3" s="17"/>
      <c r="M3" s="17"/>
      <c r="N3" s="17"/>
      <c r="O3" s="17"/>
      <c r="P3" s="17"/>
      <c r="Q3" s="17"/>
      <c r="R3" s="17"/>
      <c r="S3" s="39"/>
      <c r="T3" s="17"/>
      <c r="U3" s="17"/>
      <c r="V3" s="17"/>
      <c r="W3" s="17"/>
      <c r="X3" s="17"/>
      <c r="Y3" s="17"/>
      <c r="Z3" s="17"/>
      <c r="AA3" s="17"/>
      <c r="AB3" s="17"/>
      <c r="AC3" s="39"/>
      <c r="AD3" s="39"/>
      <c r="AE3" s="17"/>
      <c r="AF3" s="17"/>
      <c r="AG3" s="1163" t="s">
        <v>3</v>
      </c>
      <c r="AH3" s="1163"/>
      <c r="AI3" s="1164" t="s">
        <v>4</v>
      </c>
    </row>
    <row r="4" spans="1:145" s="383" customFormat="1" ht="12.75" thickBot="1" x14ac:dyDescent="0.3">
      <c r="A4" s="351"/>
      <c r="B4" s="351"/>
      <c r="C4" s="351"/>
      <c r="D4" s="351"/>
      <c r="E4" s="351"/>
      <c r="F4" s="351"/>
      <c r="G4" s="351"/>
      <c r="H4" s="351"/>
      <c r="I4" s="351"/>
      <c r="J4" s="351"/>
      <c r="K4" s="351"/>
      <c r="L4" s="351"/>
      <c r="M4" s="259" t="s">
        <v>5</v>
      </c>
      <c r="N4" s="351"/>
      <c r="O4" s="351"/>
      <c r="P4" s="351"/>
      <c r="Q4" s="351"/>
      <c r="R4" s="351"/>
      <c r="S4" s="351"/>
      <c r="T4" s="351"/>
      <c r="U4" s="352"/>
      <c r="V4" s="351"/>
      <c r="W4" s="351"/>
      <c r="X4" s="351"/>
      <c r="Y4" s="353" t="s">
        <v>6</v>
      </c>
      <c r="Z4" s="354"/>
      <c r="AA4" s="351"/>
      <c r="AB4" s="355" t="s">
        <v>419</v>
      </c>
      <c r="AC4" s="356"/>
      <c r="AD4" s="356"/>
      <c r="AE4" s="356"/>
      <c r="AF4" s="356"/>
      <c r="AG4" s="356"/>
      <c r="AH4" s="356"/>
      <c r="AI4" s="357"/>
      <c r="AJ4" s="358" t="s">
        <v>420</v>
      </c>
      <c r="AK4" s="359"/>
      <c r="AL4" s="359"/>
      <c r="AM4" s="359"/>
      <c r="AN4" s="359"/>
      <c r="AO4" s="359"/>
      <c r="AP4" s="359"/>
      <c r="AQ4" s="360"/>
      <c r="AR4" s="361" t="s">
        <v>421</v>
      </c>
      <c r="AS4" s="362"/>
      <c r="AT4" s="362"/>
      <c r="AU4" s="362"/>
      <c r="AV4" s="362"/>
      <c r="AW4" s="362"/>
      <c r="AX4" s="362"/>
      <c r="AY4" s="363"/>
      <c r="AZ4" s="364" t="s">
        <v>422</v>
      </c>
      <c r="BA4" s="365"/>
      <c r="BB4" s="365"/>
      <c r="BC4" s="365"/>
      <c r="BD4" s="365"/>
      <c r="BE4" s="365"/>
      <c r="BF4" s="365"/>
      <c r="BG4" s="366"/>
      <c r="BH4" s="367" t="s">
        <v>423</v>
      </c>
      <c r="BI4" s="368"/>
      <c r="BJ4" s="368"/>
      <c r="BK4" s="368"/>
      <c r="BL4" s="368"/>
      <c r="BM4" s="368"/>
      <c r="BN4" s="368"/>
      <c r="BO4" s="369"/>
      <c r="BP4" s="370" t="s">
        <v>424</v>
      </c>
      <c r="BQ4" s="371"/>
      <c r="BR4" s="371"/>
      <c r="BS4" s="371"/>
      <c r="BT4" s="371"/>
      <c r="BU4" s="371"/>
      <c r="BV4" s="371"/>
      <c r="BW4" s="372"/>
      <c r="BX4" s="373" t="s">
        <v>425</v>
      </c>
      <c r="BY4" s="374"/>
      <c r="BZ4" s="374"/>
      <c r="CA4" s="374"/>
      <c r="CB4" s="374"/>
      <c r="CC4" s="374"/>
      <c r="CD4" s="374"/>
      <c r="CE4" s="375"/>
      <c r="CF4" s="376" t="s">
        <v>426</v>
      </c>
      <c r="CG4" s="377"/>
      <c r="CH4" s="377"/>
      <c r="CI4" s="377"/>
      <c r="CJ4" s="377"/>
      <c r="CK4" s="377"/>
      <c r="CL4" s="377"/>
      <c r="CM4" s="378"/>
      <c r="CN4" s="379" t="s">
        <v>427</v>
      </c>
      <c r="CO4" s="380"/>
      <c r="CP4" s="380"/>
      <c r="CQ4" s="380"/>
      <c r="CR4" s="380"/>
      <c r="CS4" s="380"/>
      <c r="CT4" s="380"/>
      <c r="CU4" s="381"/>
      <c r="CV4" s="382"/>
      <c r="CW4" s="382"/>
      <c r="CX4" s="382"/>
      <c r="CY4" s="382"/>
      <c r="CZ4" s="382"/>
      <c r="DA4" s="382"/>
      <c r="DB4" s="382"/>
      <c r="DC4" s="382"/>
      <c r="DD4" s="382"/>
      <c r="DE4" s="382"/>
      <c r="DF4" s="382"/>
      <c r="DG4" s="382"/>
      <c r="DH4" s="382"/>
      <c r="DI4" s="382"/>
      <c r="DJ4" s="382"/>
      <c r="DK4" s="382"/>
      <c r="DL4" s="382"/>
      <c r="DM4" s="382"/>
      <c r="DN4" s="382"/>
      <c r="DO4" s="382"/>
      <c r="DP4" s="382"/>
      <c r="DQ4" s="382"/>
      <c r="DR4" s="382"/>
      <c r="DS4" s="382"/>
      <c r="DT4" s="382"/>
      <c r="DU4" s="382"/>
      <c r="DV4" s="382"/>
      <c r="DW4" s="382"/>
      <c r="DX4" s="382"/>
      <c r="DY4" s="382"/>
      <c r="DZ4" s="382"/>
      <c r="EA4" s="382"/>
      <c r="EB4" s="382"/>
      <c r="EC4" s="382"/>
      <c r="ED4" s="382"/>
      <c r="EE4" s="382"/>
      <c r="EF4" s="382"/>
      <c r="EG4" s="382"/>
      <c r="EH4" s="382"/>
      <c r="EI4" s="382"/>
      <c r="EJ4" s="382"/>
      <c r="EK4" s="382"/>
      <c r="EL4" s="382"/>
      <c r="EM4" s="382"/>
      <c r="EN4" s="382"/>
      <c r="EO4" s="382"/>
    </row>
    <row r="5" spans="1:145" s="395" customFormat="1" ht="12" x14ac:dyDescent="0.25">
      <c r="A5" s="384" t="s">
        <v>7</v>
      </c>
      <c r="B5" s="384"/>
      <c r="C5" s="384"/>
      <c r="D5" s="385" t="s">
        <v>8</v>
      </c>
      <c r="E5" s="386"/>
      <c r="F5" s="387"/>
      <c r="G5" s="385" t="s">
        <v>9</v>
      </c>
      <c r="H5" s="386"/>
      <c r="I5" s="387"/>
      <c r="J5" s="385" t="s">
        <v>10</v>
      </c>
      <c r="K5" s="386"/>
      <c r="L5" s="387"/>
      <c r="M5" s="260"/>
      <c r="N5" s="388"/>
      <c r="O5" s="388"/>
      <c r="P5" s="388"/>
      <c r="Q5" s="388"/>
      <c r="R5" s="388"/>
      <c r="S5" s="388"/>
      <c r="T5" s="385" t="s">
        <v>11</v>
      </c>
      <c r="U5" s="386"/>
      <c r="V5" s="386"/>
      <c r="W5" s="386"/>
      <c r="X5" s="387"/>
      <c r="Y5" s="388"/>
      <c r="Z5" s="388"/>
      <c r="AA5" s="388" t="s">
        <v>12</v>
      </c>
      <c r="AB5" s="389" t="s">
        <v>13</v>
      </c>
      <c r="AC5" s="390"/>
      <c r="AD5" s="390"/>
      <c r="AE5" s="391"/>
      <c r="AF5" s="389" t="s">
        <v>14</v>
      </c>
      <c r="AG5" s="390"/>
      <c r="AH5" s="390"/>
      <c r="AI5" s="390"/>
      <c r="AJ5" s="392" t="s">
        <v>13</v>
      </c>
      <c r="AK5" s="393"/>
      <c r="AL5" s="393"/>
      <c r="AM5" s="394"/>
      <c r="AN5" s="392" t="s">
        <v>14</v>
      </c>
      <c r="AO5" s="393"/>
      <c r="AP5" s="393"/>
      <c r="AQ5" s="394"/>
      <c r="AR5" s="392" t="s">
        <v>13</v>
      </c>
      <c r="AS5" s="393"/>
      <c r="AT5" s="393"/>
      <c r="AU5" s="394"/>
      <c r="AV5" s="392" t="s">
        <v>14</v>
      </c>
      <c r="AW5" s="393"/>
      <c r="AX5" s="393"/>
      <c r="AY5" s="394"/>
      <c r="AZ5" s="392" t="s">
        <v>13</v>
      </c>
      <c r="BA5" s="393"/>
      <c r="BB5" s="393"/>
      <c r="BC5" s="394"/>
      <c r="BD5" s="392" t="s">
        <v>14</v>
      </c>
      <c r="BE5" s="393"/>
      <c r="BF5" s="393"/>
      <c r="BG5" s="394"/>
      <c r="BH5" s="392" t="s">
        <v>13</v>
      </c>
      <c r="BI5" s="393"/>
      <c r="BJ5" s="393"/>
      <c r="BK5" s="394"/>
      <c r="BL5" s="392" t="s">
        <v>14</v>
      </c>
      <c r="BM5" s="393"/>
      <c r="BN5" s="393"/>
      <c r="BO5" s="394"/>
      <c r="BP5" s="392" t="s">
        <v>13</v>
      </c>
      <c r="BQ5" s="393"/>
      <c r="BR5" s="393"/>
      <c r="BS5" s="394"/>
      <c r="BT5" s="392" t="s">
        <v>14</v>
      </c>
      <c r="BU5" s="393"/>
      <c r="BV5" s="393"/>
      <c r="BW5" s="394"/>
      <c r="BX5" s="392" t="s">
        <v>13</v>
      </c>
      <c r="BY5" s="393"/>
      <c r="BZ5" s="393"/>
      <c r="CA5" s="394"/>
      <c r="CB5" s="392" t="s">
        <v>14</v>
      </c>
      <c r="CC5" s="393"/>
      <c r="CD5" s="393"/>
      <c r="CE5" s="394"/>
      <c r="CF5" s="392" t="s">
        <v>13</v>
      </c>
      <c r="CG5" s="393"/>
      <c r="CH5" s="393"/>
      <c r="CI5" s="394"/>
      <c r="CJ5" s="392" t="s">
        <v>14</v>
      </c>
      <c r="CK5" s="393"/>
      <c r="CL5" s="393"/>
      <c r="CM5" s="394"/>
      <c r="CN5" s="392" t="s">
        <v>13</v>
      </c>
      <c r="CO5" s="393"/>
      <c r="CP5" s="393"/>
      <c r="CQ5" s="394"/>
      <c r="CR5" s="392" t="s">
        <v>14</v>
      </c>
      <c r="CS5" s="393"/>
      <c r="CT5" s="393"/>
      <c r="CU5" s="394"/>
      <c r="CV5" s="382"/>
      <c r="CW5" s="382"/>
      <c r="CX5" s="382"/>
      <c r="CY5" s="382"/>
      <c r="CZ5" s="382"/>
      <c r="DA5" s="382"/>
      <c r="DB5" s="382"/>
      <c r="DC5" s="382"/>
      <c r="DD5" s="382"/>
      <c r="DE5" s="382"/>
      <c r="DF5" s="382"/>
      <c r="DG5" s="382"/>
      <c r="DH5" s="382"/>
      <c r="DI5" s="382"/>
      <c r="DJ5" s="382"/>
      <c r="DK5" s="382"/>
      <c r="DL5" s="382"/>
      <c r="DM5" s="382"/>
      <c r="DN5" s="382"/>
      <c r="DO5" s="382"/>
      <c r="DP5" s="382"/>
      <c r="DQ5" s="382"/>
      <c r="DR5" s="382"/>
      <c r="DS5" s="382"/>
      <c r="DT5" s="382"/>
      <c r="DU5" s="382"/>
      <c r="DV5" s="382"/>
      <c r="DW5" s="382"/>
      <c r="DX5" s="382"/>
      <c r="DY5" s="382"/>
      <c r="DZ5" s="382"/>
      <c r="EA5" s="382"/>
      <c r="EB5" s="382"/>
      <c r="EC5" s="382"/>
      <c r="ED5" s="382"/>
      <c r="EE5" s="382"/>
      <c r="EF5" s="382"/>
      <c r="EG5" s="382"/>
      <c r="EH5" s="382"/>
      <c r="EI5" s="382"/>
      <c r="EJ5" s="382"/>
      <c r="EK5" s="382"/>
      <c r="EL5" s="382"/>
      <c r="EM5" s="382"/>
      <c r="EN5" s="382"/>
      <c r="EO5" s="382"/>
    </row>
    <row r="6" spans="1:145" s="383" customFormat="1" ht="12.75" thickBot="1" x14ac:dyDescent="0.25">
      <c r="A6" s="396" t="s">
        <v>15</v>
      </c>
      <c r="B6" s="396" t="s">
        <v>16</v>
      </c>
      <c r="C6" s="396" t="s">
        <v>17</v>
      </c>
      <c r="D6" s="396" t="s">
        <v>18</v>
      </c>
      <c r="E6" s="396" t="s">
        <v>19</v>
      </c>
      <c r="F6" s="396" t="s">
        <v>20</v>
      </c>
      <c r="G6" s="396" t="s">
        <v>21</v>
      </c>
      <c r="H6" s="396" t="s">
        <v>22</v>
      </c>
      <c r="I6" s="396" t="s">
        <v>23</v>
      </c>
      <c r="J6" s="396" t="s">
        <v>24</v>
      </c>
      <c r="K6" s="396" t="s">
        <v>25</v>
      </c>
      <c r="L6" s="396" t="s">
        <v>26</v>
      </c>
      <c r="M6" s="396" t="s">
        <v>5</v>
      </c>
      <c r="N6" s="396" t="s">
        <v>27</v>
      </c>
      <c r="O6" s="396" t="s">
        <v>28</v>
      </c>
      <c r="P6" s="397" t="s">
        <v>29</v>
      </c>
      <c r="Q6" s="396" t="s">
        <v>30</v>
      </c>
      <c r="R6" s="396" t="s">
        <v>31</v>
      </c>
      <c r="S6" s="396" t="s">
        <v>32</v>
      </c>
      <c r="T6" s="396" t="s">
        <v>11</v>
      </c>
      <c r="U6" s="397" t="s">
        <v>33</v>
      </c>
      <c r="V6" s="396" t="s">
        <v>30</v>
      </c>
      <c r="W6" s="396" t="s">
        <v>31</v>
      </c>
      <c r="X6" s="396" t="s">
        <v>36</v>
      </c>
      <c r="Y6" s="396" t="s">
        <v>37</v>
      </c>
      <c r="Z6" s="396" t="s">
        <v>38</v>
      </c>
      <c r="AA6" s="396" t="s">
        <v>39</v>
      </c>
      <c r="AB6" s="398" t="s">
        <v>40</v>
      </c>
      <c r="AC6" s="398" t="s">
        <v>41</v>
      </c>
      <c r="AD6" s="398" t="s">
        <v>42</v>
      </c>
      <c r="AE6" s="398" t="s">
        <v>43</v>
      </c>
      <c r="AF6" s="398" t="s">
        <v>40</v>
      </c>
      <c r="AG6" s="398" t="s">
        <v>41</v>
      </c>
      <c r="AH6" s="398" t="s">
        <v>42</v>
      </c>
      <c r="AI6" s="399" t="s">
        <v>43</v>
      </c>
      <c r="AJ6" s="400" t="s">
        <v>40</v>
      </c>
      <c r="AK6" s="396" t="s">
        <v>41</v>
      </c>
      <c r="AL6" s="396" t="s">
        <v>42</v>
      </c>
      <c r="AM6" s="401" t="s">
        <v>43</v>
      </c>
      <c r="AN6" s="400" t="s">
        <v>40</v>
      </c>
      <c r="AO6" s="396" t="s">
        <v>41</v>
      </c>
      <c r="AP6" s="396" t="s">
        <v>42</v>
      </c>
      <c r="AQ6" s="401" t="s">
        <v>43</v>
      </c>
      <c r="AR6" s="400" t="s">
        <v>40</v>
      </c>
      <c r="AS6" s="396" t="s">
        <v>41</v>
      </c>
      <c r="AT6" s="396" t="s">
        <v>42</v>
      </c>
      <c r="AU6" s="401" t="s">
        <v>43</v>
      </c>
      <c r="AV6" s="400" t="s">
        <v>40</v>
      </c>
      <c r="AW6" s="396" t="s">
        <v>41</v>
      </c>
      <c r="AX6" s="396" t="s">
        <v>42</v>
      </c>
      <c r="AY6" s="401" t="s">
        <v>43</v>
      </c>
      <c r="AZ6" s="400" t="s">
        <v>40</v>
      </c>
      <c r="BA6" s="396" t="s">
        <v>41</v>
      </c>
      <c r="BB6" s="396" t="s">
        <v>42</v>
      </c>
      <c r="BC6" s="401" t="s">
        <v>43</v>
      </c>
      <c r="BD6" s="400" t="s">
        <v>40</v>
      </c>
      <c r="BE6" s="396" t="s">
        <v>41</v>
      </c>
      <c r="BF6" s="396" t="s">
        <v>42</v>
      </c>
      <c r="BG6" s="401" t="s">
        <v>43</v>
      </c>
      <c r="BH6" s="402" t="s">
        <v>40</v>
      </c>
      <c r="BI6" s="403" t="s">
        <v>41</v>
      </c>
      <c r="BJ6" s="404" t="s">
        <v>42</v>
      </c>
      <c r="BK6" s="405" t="s">
        <v>43</v>
      </c>
      <c r="BL6" s="402" t="s">
        <v>40</v>
      </c>
      <c r="BM6" s="403" t="s">
        <v>41</v>
      </c>
      <c r="BN6" s="403" t="s">
        <v>42</v>
      </c>
      <c r="BO6" s="405" t="s">
        <v>43</v>
      </c>
      <c r="BP6" s="402" t="s">
        <v>40</v>
      </c>
      <c r="BQ6" s="403" t="s">
        <v>41</v>
      </c>
      <c r="BR6" s="404" t="s">
        <v>42</v>
      </c>
      <c r="BS6" s="405" t="s">
        <v>43</v>
      </c>
      <c r="BT6" s="402" t="s">
        <v>40</v>
      </c>
      <c r="BU6" s="403" t="s">
        <v>41</v>
      </c>
      <c r="BV6" s="403" t="s">
        <v>42</v>
      </c>
      <c r="BW6" s="405" t="s">
        <v>43</v>
      </c>
      <c r="BX6" s="402" t="s">
        <v>40</v>
      </c>
      <c r="BY6" s="403" t="s">
        <v>41</v>
      </c>
      <c r="BZ6" s="404" t="s">
        <v>42</v>
      </c>
      <c r="CA6" s="405" t="s">
        <v>43</v>
      </c>
      <c r="CB6" s="402" t="s">
        <v>40</v>
      </c>
      <c r="CC6" s="403" t="s">
        <v>41</v>
      </c>
      <c r="CD6" s="403" t="s">
        <v>42</v>
      </c>
      <c r="CE6" s="405" t="s">
        <v>43</v>
      </c>
      <c r="CF6" s="402" t="s">
        <v>40</v>
      </c>
      <c r="CG6" s="403" t="s">
        <v>41</v>
      </c>
      <c r="CH6" s="404" t="s">
        <v>42</v>
      </c>
      <c r="CI6" s="405" t="s">
        <v>43</v>
      </c>
      <c r="CJ6" s="402" t="s">
        <v>40</v>
      </c>
      <c r="CK6" s="403" t="s">
        <v>41</v>
      </c>
      <c r="CL6" s="403" t="s">
        <v>42</v>
      </c>
      <c r="CM6" s="405" t="s">
        <v>43</v>
      </c>
      <c r="CN6" s="402" t="s">
        <v>40</v>
      </c>
      <c r="CO6" s="403" t="s">
        <v>41</v>
      </c>
      <c r="CP6" s="404" t="s">
        <v>42</v>
      </c>
      <c r="CQ6" s="405" t="s">
        <v>43</v>
      </c>
      <c r="CR6" s="402" t="s">
        <v>40</v>
      </c>
      <c r="CS6" s="403" t="s">
        <v>41</v>
      </c>
      <c r="CT6" s="403" t="s">
        <v>42</v>
      </c>
      <c r="CU6" s="405" t="s">
        <v>43</v>
      </c>
      <c r="CV6" s="382"/>
      <c r="CW6" s="382"/>
      <c r="CX6" s="382"/>
      <c r="CY6" s="382"/>
      <c r="CZ6" s="382"/>
      <c r="DA6" s="382"/>
      <c r="DB6" s="382"/>
      <c r="DC6" s="382"/>
      <c r="DD6" s="382"/>
      <c r="DE6" s="382"/>
      <c r="DF6" s="382"/>
      <c r="DG6" s="382"/>
      <c r="DH6" s="382"/>
      <c r="DI6" s="382"/>
      <c r="DJ6" s="382"/>
      <c r="DK6" s="382"/>
      <c r="DL6" s="382"/>
      <c r="DM6" s="382"/>
      <c r="DN6" s="382"/>
      <c r="DO6" s="382"/>
      <c r="DP6" s="382"/>
      <c r="DQ6" s="382"/>
      <c r="DR6" s="382"/>
      <c r="DS6" s="382"/>
      <c r="DT6" s="382"/>
      <c r="DU6" s="382"/>
      <c r="DV6" s="382"/>
      <c r="DW6" s="382"/>
      <c r="DX6" s="382"/>
      <c r="DY6" s="382"/>
      <c r="DZ6" s="382"/>
      <c r="EA6" s="382"/>
      <c r="EB6" s="382"/>
      <c r="EC6" s="382"/>
      <c r="ED6" s="382"/>
      <c r="EE6" s="382"/>
      <c r="EF6" s="382"/>
      <c r="EG6" s="382"/>
      <c r="EH6" s="382"/>
      <c r="EI6" s="382"/>
      <c r="EJ6" s="382"/>
      <c r="EK6" s="382"/>
      <c r="EL6" s="382"/>
      <c r="EM6" s="382"/>
      <c r="EN6" s="382"/>
      <c r="EO6" s="382"/>
    </row>
    <row r="7" spans="1:145" s="3" customFormat="1" ht="84" x14ac:dyDescent="0.25">
      <c r="A7" s="190" t="s">
        <v>428</v>
      </c>
      <c r="B7" s="190" t="s">
        <v>100</v>
      </c>
      <c r="C7" s="190" t="s">
        <v>429</v>
      </c>
      <c r="D7" s="190" t="s">
        <v>102</v>
      </c>
      <c r="E7" s="190" t="s">
        <v>45</v>
      </c>
      <c r="F7" s="190" t="s">
        <v>110</v>
      </c>
      <c r="G7" s="192" t="s">
        <v>115</v>
      </c>
      <c r="H7" s="192" t="s">
        <v>114</v>
      </c>
      <c r="I7" s="192" t="s">
        <v>116</v>
      </c>
      <c r="J7" s="201" t="s">
        <v>430</v>
      </c>
      <c r="K7" s="190" t="s">
        <v>431</v>
      </c>
      <c r="L7" s="190" t="s">
        <v>45</v>
      </c>
      <c r="M7" s="406" t="s">
        <v>432</v>
      </c>
      <c r="N7" s="201" t="s">
        <v>433</v>
      </c>
      <c r="O7" s="192" t="s">
        <v>434</v>
      </c>
      <c r="P7" s="192" t="s">
        <v>435</v>
      </c>
      <c r="Q7" s="407" t="s">
        <v>50</v>
      </c>
      <c r="R7" s="201">
        <v>0</v>
      </c>
      <c r="S7" s="201">
        <v>19050</v>
      </c>
      <c r="T7" s="408" t="s">
        <v>436</v>
      </c>
      <c r="U7" s="9" t="s">
        <v>437</v>
      </c>
      <c r="V7" s="93" t="s">
        <v>50</v>
      </c>
      <c r="W7" s="93">
        <v>0</v>
      </c>
      <c r="X7" s="93">
        <v>2325</v>
      </c>
      <c r="Y7" s="409">
        <v>5184112665</v>
      </c>
      <c r="Z7" s="410">
        <f>Y7+Y19+Y23+Y26</f>
        <v>11900257104</v>
      </c>
      <c r="AA7" s="149" t="s">
        <v>438</v>
      </c>
      <c r="AB7" s="411">
        <v>15</v>
      </c>
      <c r="AC7" s="411">
        <f>S7</f>
        <v>19050</v>
      </c>
      <c r="AD7" s="412">
        <f>AB7*100/AC7</f>
        <v>7.874015748031496E-2</v>
      </c>
      <c r="AE7" s="413" t="s">
        <v>439</v>
      </c>
      <c r="AF7" s="414">
        <v>69</v>
      </c>
      <c r="AG7" s="414">
        <v>1231</v>
      </c>
      <c r="AH7" s="412">
        <f>+AF7*100/AG7</f>
        <v>5.6051990251827783</v>
      </c>
      <c r="AI7" s="415" t="s">
        <v>440</v>
      </c>
      <c r="AJ7" s="416">
        <v>71</v>
      </c>
      <c r="AK7" s="201">
        <v>1231</v>
      </c>
      <c r="AL7" s="302">
        <f>AJ7/AK7</f>
        <v>5.7676685621445976E-2</v>
      </c>
      <c r="AM7" s="417" t="s">
        <v>441</v>
      </c>
      <c r="AN7" s="418">
        <v>68</v>
      </c>
      <c r="AO7" s="7">
        <v>1231</v>
      </c>
      <c r="AP7" s="304">
        <f>AN7/AO7</f>
        <v>5.5239642567018681E-2</v>
      </c>
      <c r="AQ7" s="419" t="s">
        <v>442</v>
      </c>
      <c r="AR7" s="416">
        <f>308+10+4342</f>
        <v>4660</v>
      </c>
      <c r="AS7" s="201">
        <v>19050</v>
      </c>
      <c r="AT7" s="302">
        <f>AR7/AS7</f>
        <v>0.24461942257217847</v>
      </c>
      <c r="AU7" s="417" t="s">
        <v>443</v>
      </c>
      <c r="AV7" s="418">
        <v>438</v>
      </c>
      <c r="AW7" s="7">
        <v>2325</v>
      </c>
      <c r="AX7" s="304">
        <f>AV7/AW7</f>
        <v>0.18838709677419355</v>
      </c>
      <c r="AY7" s="420" t="s">
        <v>444</v>
      </c>
      <c r="AZ7" s="416">
        <f>520+23+5849</f>
        <v>6392</v>
      </c>
      <c r="BA7" s="201">
        <v>19050</v>
      </c>
      <c r="BB7" s="302">
        <f>AZ7/BA7</f>
        <v>0.33553805774278217</v>
      </c>
      <c r="BC7" s="417" t="s">
        <v>445</v>
      </c>
      <c r="BD7" s="418">
        <f>129+426+8+4+114+7</f>
        <v>688</v>
      </c>
      <c r="BE7" s="7">
        <v>2325</v>
      </c>
      <c r="BF7" s="304">
        <f>BD7/BE7</f>
        <v>0.29591397849462364</v>
      </c>
      <c r="BG7" s="420" t="s">
        <v>446</v>
      </c>
      <c r="BH7" s="421">
        <v>8325</v>
      </c>
      <c r="BI7" s="422">
        <v>19050</v>
      </c>
      <c r="BJ7" s="423">
        <f>BH7/BI7</f>
        <v>0.43700787401574803</v>
      </c>
      <c r="BK7" s="417" t="s">
        <v>447</v>
      </c>
      <c r="BL7" s="424">
        <v>964</v>
      </c>
      <c r="BM7" s="425">
        <v>2325</v>
      </c>
      <c r="BN7" s="426">
        <f>BL7/BM7</f>
        <v>0.41462365591397848</v>
      </c>
      <c r="BO7" s="420" t="s">
        <v>448</v>
      </c>
      <c r="BP7" s="421">
        <f>955+48+8826</f>
        <v>9829</v>
      </c>
      <c r="BQ7" s="422">
        <v>19050</v>
      </c>
      <c r="BR7" s="423">
        <f>BP7/BQ7</f>
        <v>0.51595800524934388</v>
      </c>
      <c r="BS7" s="417" t="s">
        <v>449</v>
      </c>
      <c r="BT7" s="424">
        <v>1162</v>
      </c>
      <c r="BU7" s="425">
        <v>2325</v>
      </c>
      <c r="BV7" s="426">
        <f>BT7/BU7</f>
        <v>0.49978494623655911</v>
      </c>
      <c r="BW7" s="420" t="s">
        <v>450</v>
      </c>
      <c r="BX7" s="421">
        <v>13715</v>
      </c>
      <c r="BY7" s="422">
        <v>19050</v>
      </c>
      <c r="BZ7" s="423">
        <f>BX7/BY7</f>
        <v>0.71994750656167983</v>
      </c>
      <c r="CA7" s="417" t="s">
        <v>451</v>
      </c>
      <c r="CB7" s="424">
        <v>1783</v>
      </c>
      <c r="CC7" s="425">
        <v>2325</v>
      </c>
      <c r="CD7" s="426">
        <f>CB7/CC7</f>
        <v>0.76688172043010749</v>
      </c>
      <c r="CE7" s="420"/>
      <c r="CF7" s="421">
        <v>13715</v>
      </c>
      <c r="CG7" s="422">
        <v>19050</v>
      </c>
      <c r="CH7" s="423">
        <f>CF7/CG7</f>
        <v>0.71994750656167983</v>
      </c>
      <c r="CI7" s="417" t="s">
        <v>451</v>
      </c>
      <c r="CJ7" s="424">
        <v>1783</v>
      </c>
      <c r="CK7" s="425">
        <v>2325</v>
      </c>
      <c r="CL7" s="426">
        <f>CJ7/CK7</f>
        <v>0.76688172043010749</v>
      </c>
      <c r="CM7" s="420" t="s">
        <v>452</v>
      </c>
      <c r="CN7" s="421">
        <v>15610</v>
      </c>
      <c r="CO7" s="422">
        <v>19050</v>
      </c>
      <c r="CP7" s="423">
        <f>CN7/CO7</f>
        <v>0.81942257217847769</v>
      </c>
      <c r="CQ7" s="417" t="s">
        <v>453</v>
      </c>
      <c r="CR7" s="425">
        <v>2022</v>
      </c>
      <c r="CS7" s="425">
        <v>2325</v>
      </c>
      <c r="CT7" s="426">
        <f>CR7/CS7</f>
        <v>0.86967741935483867</v>
      </c>
      <c r="CU7" s="420" t="s">
        <v>454</v>
      </c>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row>
    <row r="8" spans="1:145" s="3" customFormat="1" ht="24" x14ac:dyDescent="0.25">
      <c r="A8" s="191"/>
      <c r="B8" s="191"/>
      <c r="C8" s="191"/>
      <c r="D8" s="191"/>
      <c r="E8" s="191"/>
      <c r="F8" s="191"/>
      <c r="G8" s="193"/>
      <c r="H8" s="193"/>
      <c r="I8" s="193"/>
      <c r="J8" s="223"/>
      <c r="K8" s="222"/>
      <c r="L8" s="191"/>
      <c r="M8" s="427"/>
      <c r="N8" s="223"/>
      <c r="O8" s="193"/>
      <c r="P8" s="193"/>
      <c r="Q8" s="428"/>
      <c r="R8" s="202"/>
      <c r="S8" s="202"/>
      <c r="T8" s="429" t="s">
        <v>455</v>
      </c>
      <c r="U8" s="9" t="s">
        <v>456</v>
      </c>
      <c r="V8" s="93" t="s">
        <v>50</v>
      </c>
      <c r="W8" s="7">
        <v>0</v>
      </c>
      <c r="X8" s="7">
        <v>39</v>
      </c>
      <c r="Y8" s="430"/>
      <c r="Z8" s="431"/>
      <c r="AA8" s="185"/>
      <c r="AB8" s="411"/>
      <c r="AC8" s="411"/>
      <c r="AD8" s="414"/>
      <c r="AE8" s="414"/>
      <c r="AF8" s="414">
        <v>0</v>
      </c>
      <c r="AG8" s="414">
        <v>39</v>
      </c>
      <c r="AH8" s="412">
        <f>+AF8*100/AG8</f>
        <v>0</v>
      </c>
      <c r="AI8" s="432"/>
      <c r="AJ8" s="433"/>
      <c r="AK8" s="202"/>
      <c r="AL8" s="316"/>
      <c r="AM8" s="434"/>
      <c r="AN8" s="435">
        <v>0</v>
      </c>
      <c r="AO8" s="7">
        <v>39</v>
      </c>
      <c r="AP8" s="304">
        <v>0</v>
      </c>
      <c r="AQ8" s="419"/>
      <c r="AR8" s="433"/>
      <c r="AS8" s="202"/>
      <c r="AT8" s="316"/>
      <c r="AU8" s="434"/>
      <c r="AV8" s="435">
        <v>5</v>
      </c>
      <c r="AW8" s="7">
        <v>39</v>
      </c>
      <c r="AX8" s="304">
        <f>AV8/AW8</f>
        <v>0.12820512820512819</v>
      </c>
      <c r="AY8" s="420" t="s">
        <v>457</v>
      </c>
      <c r="AZ8" s="433"/>
      <c r="BA8" s="202"/>
      <c r="BB8" s="316"/>
      <c r="BC8" s="434"/>
      <c r="BD8" s="435">
        <v>5</v>
      </c>
      <c r="BE8" s="7">
        <v>39</v>
      </c>
      <c r="BF8" s="304">
        <f>BD8/BE8</f>
        <v>0.12820512820512819</v>
      </c>
      <c r="BG8" s="420" t="s">
        <v>457</v>
      </c>
      <c r="BH8" s="433"/>
      <c r="BI8" s="202"/>
      <c r="BJ8" s="316"/>
      <c r="BK8" s="434"/>
      <c r="BL8" s="435">
        <v>14</v>
      </c>
      <c r="BM8" s="7">
        <v>39</v>
      </c>
      <c r="BN8" s="304">
        <f>BL8/BM8</f>
        <v>0.35897435897435898</v>
      </c>
      <c r="BO8" s="420" t="s">
        <v>458</v>
      </c>
      <c r="BP8" s="433"/>
      <c r="BQ8" s="202"/>
      <c r="BR8" s="316"/>
      <c r="BS8" s="434"/>
      <c r="BT8" s="435">
        <v>17</v>
      </c>
      <c r="BU8" s="7">
        <v>39</v>
      </c>
      <c r="BV8" s="304">
        <f>BT8/BU8</f>
        <v>0.4358974358974359</v>
      </c>
      <c r="BW8" s="420" t="s">
        <v>459</v>
      </c>
      <c r="BX8" s="433"/>
      <c r="BY8" s="202"/>
      <c r="BZ8" s="316"/>
      <c r="CA8" s="434"/>
      <c r="CB8" s="436"/>
      <c r="CC8" s="7">
        <v>39</v>
      </c>
      <c r="CD8" s="304">
        <f>CB8/CC8</f>
        <v>0</v>
      </c>
      <c r="CE8" s="420" t="s">
        <v>460</v>
      </c>
      <c r="CF8" s="433"/>
      <c r="CG8" s="202"/>
      <c r="CH8" s="316"/>
      <c r="CI8" s="434"/>
      <c r="CJ8" s="436">
        <v>23</v>
      </c>
      <c r="CK8" s="7">
        <v>39</v>
      </c>
      <c r="CL8" s="304">
        <f>CJ8/CK8</f>
        <v>0.58974358974358976</v>
      </c>
      <c r="CM8" s="420" t="s">
        <v>461</v>
      </c>
      <c r="CN8" s="433"/>
      <c r="CO8" s="202"/>
      <c r="CP8" s="316"/>
      <c r="CQ8" s="434"/>
      <c r="CR8" s="436">
        <v>25</v>
      </c>
      <c r="CS8" s="7">
        <v>39</v>
      </c>
      <c r="CT8" s="304">
        <f>CR8/CS8</f>
        <v>0.64102564102564108</v>
      </c>
      <c r="CU8" s="420" t="s">
        <v>461</v>
      </c>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row>
    <row r="9" spans="1:145" s="4" customFormat="1" ht="48" x14ac:dyDescent="0.2">
      <c r="A9" s="330" t="s">
        <v>428</v>
      </c>
      <c r="B9" s="330" t="s">
        <v>100</v>
      </c>
      <c r="C9" s="330" t="s">
        <v>99</v>
      </c>
      <c r="D9" s="6" t="s">
        <v>102</v>
      </c>
      <c r="E9" s="6" t="s">
        <v>45</v>
      </c>
      <c r="F9" s="8" t="s">
        <v>110</v>
      </c>
      <c r="G9" s="8" t="s">
        <v>115</v>
      </c>
      <c r="H9" s="19" t="s">
        <v>114</v>
      </c>
      <c r="I9" s="19" t="s">
        <v>116</v>
      </c>
      <c r="J9" s="223"/>
      <c r="K9" s="222"/>
      <c r="L9" s="6" t="s">
        <v>45</v>
      </c>
      <c r="M9" s="427"/>
      <c r="N9" s="223"/>
      <c r="O9" s="305" t="s">
        <v>462</v>
      </c>
      <c r="P9" s="8" t="s">
        <v>463</v>
      </c>
      <c r="Q9" s="305" t="s">
        <v>51</v>
      </c>
      <c r="R9" s="6">
        <v>0</v>
      </c>
      <c r="S9" s="311">
        <v>0.5</v>
      </c>
      <c r="T9" s="305"/>
      <c r="U9" s="8"/>
      <c r="V9" s="305"/>
      <c r="W9" s="6"/>
      <c r="X9" s="308"/>
      <c r="Y9" s="430"/>
      <c r="Z9" s="223"/>
      <c r="AA9" s="185"/>
      <c r="AB9" s="414">
        <v>0</v>
      </c>
      <c r="AC9" s="437">
        <v>0.5</v>
      </c>
      <c r="AD9" s="414"/>
      <c r="AE9" s="414"/>
      <c r="AF9" s="414"/>
      <c r="AG9" s="414"/>
      <c r="AH9" s="414"/>
      <c r="AI9" s="432"/>
      <c r="AJ9" s="438">
        <v>0.32</v>
      </c>
      <c r="AK9" s="308">
        <v>0.5</v>
      </c>
      <c r="AL9" s="311">
        <v>0.32</v>
      </c>
      <c r="AM9" s="439" t="s">
        <v>464</v>
      </c>
      <c r="AN9" s="440"/>
      <c r="AO9" s="6"/>
      <c r="AP9" s="6"/>
      <c r="AQ9" s="439"/>
      <c r="AR9" s="438">
        <f>169/1850</f>
        <v>9.1351351351351348E-2</v>
      </c>
      <c r="AS9" s="308">
        <v>0.5</v>
      </c>
      <c r="AT9" s="311"/>
      <c r="AU9" s="439"/>
      <c r="AV9" s="440"/>
      <c r="AW9" s="311"/>
      <c r="AX9" s="6"/>
      <c r="AY9" s="439"/>
      <c r="AZ9" s="438">
        <v>0.13919999999999999</v>
      </c>
      <c r="BA9" s="308">
        <v>0.5</v>
      </c>
      <c r="BB9" s="311"/>
      <c r="BC9" s="439"/>
      <c r="BD9" s="440"/>
      <c r="BE9" s="311"/>
      <c r="BF9" s="6"/>
      <c r="BG9" s="439"/>
      <c r="BH9" s="438">
        <v>8.1000000000000003E-2</v>
      </c>
      <c r="BI9" s="308">
        <v>0.5</v>
      </c>
      <c r="BJ9" s="441"/>
      <c r="BK9" s="439"/>
      <c r="BL9" s="440"/>
      <c r="BM9" s="311"/>
      <c r="BN9" s="6"/>
      <c r="BO9" s="442" t="s">
        <v>465</v>
      </c>
      <c r="BP9" s="438">
        <v>8.1000000000000003E-2</v>
      </c>
      <c r="BQ9" s="308">
        <v>0.5</v>
      </c>
      <c r="BR9" s="441"/>
      <c r="BS9" s="439"/>
      <c r="BT9" s="440"/>
      <c r="BU9" s="311"/>
      <c r="BV9" s="6"/>
      <c r="BW9" s="442"/>
      <c r="BX9" s="443">
        <v>8.0500000000000002E-2</v>
      </c>
      <c r="BY9" s="308">
        <v>0.5</v>
      </c>
      <c r="BZ9" s="441"/>
      <c r="CA9" s="439"/>
      <c r="CB9" s="440"/>
      <c r="CC9" s="311"/>
      <c r="CD9" s="6"/>
      <c r="CE9" s="442"/>
      <c r="CF9" s="443">
        <v>8.0500000000000002E-2</v>
      </c>
      <c r="CG9" s="308">
        <v>0.5</v>
      </c>
      <c r="CH9" s="441"/>
      <c r="CI9" s="439"/>
      <c r="CJ9" s="440"/>
      <c r="CK9" s="311"/>
      <c r="CL9" s="6"/>
      <c r="CM9" s="442"/>
      <c r="CN9" s="444">
        <v>8.0299999999999996E-2</v>
      </c>
      <c r="CO9" s="308">
        <v>0.5</v>
      </c>
      <c r="CP9" s="441"/>
      <c r="CQ9" s="439"/>
      <c r="CR9" s="440"/>
      <c r="CS9" s="311"/>
      <c r="CT9" s="6"/>
      <c r="CU9" s="442"/>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row>
    <row r="10" spans="1:145" s="3" customFormat="1" ht="396" x14ac:dyDescent="0.2">
      <c r="A10" s="91" t="s">
        <v>428</v>
      </c>
      <c r="B10" s="91" t="s">
        <v>100</v>
      </c>
      <c r="C10" s="91" t="s">
        <v>99</v>
      </c>
      <c r="D10" s="96" t="s">
        <v>102</v>
      </c>
      <c r="E10" s="96" t="s">
        <v>45</v>
      </c>
      <c r="F10" s="445" t="s">
        <v>110</v>
      </c>
      <c r="G10" s="408" t="s">
        <v>115</v>
      </c>
      <c r="H10" s="408" t="s">
        <v>114</v>
      </c>
      <c r="I10" s="408" t="s">
        <v>116</v>
      </c>
      <c r="J10" s="223"/>
      <c r="K10" s="222"/>
      <c r="L10" s="96" t="s">
        <v>45</v>
      </c>
      <c r="M10" s="427"/>
      <c r="N10" s="223"/>
      <c r="O10" s="445" t="s">
        <v>466</v>
      </c>
      <c r="P10" s="91" t="s">
        <v>467</v>
      </c>
      <c r="Q10" s="313" t="s">
        <v>51</v>
      </c>
      <c r="R10" s="96">
        <v>0</v>
      </c>
      <c r="S10" s="96"/>
      <c r="T10" s="297"/>
      <c r="U10" s="9"/>
      <c r="V10" s="297"/>
      <c r="W10" s="7"/>
      <c r="X10" s="300"/>
      <c r="Y10" s="430"/>
      <c r="Z10" s="223"/>
      <c r="AA10" s="185"/>
      <c r="AB10" s="446">
        <v>0</v>
      </c>
      <c r="AC10" s="446"/>
      <c r="AD10" s="414"/>
      <c r="AE10" s="414"/>
      <c r="AF10" s="414"/>
      <c r="AG10" s="414"/>
      <c r="AH10" s="414"/>
      <c r="AI10" s="432"/>
      <c r="AJ10" s="447">
        <v>0</v>
      </c>
      <c r="AK10" s="96"/>
      <c r="AL10" s="304"/>
      <c r="AM10" s="448"/>
      <c r="AN10" s="435"/>
      <c r="AO10" s="7"/>
      <c r="AP10" s="7"/>
      <c r="AQ10" s="448"/>
      <c r="AR10" s="447"/>
      <c r="AS10" s="96"/>
      <c r="AT10" s="304"/>
      <c r="AU10" s="448"/>
      <c r="AV10" s="435"/>
      <c r="AW10" s="7"/>
      <c r="AX10" s="7"/>
      <c r="AY10" s="448"/>
      <c r="AZ10" s="447"/>
      <c r="BA10" s="96"/>
      <c r="BB10" s="304"/>
      <c r="BC10" s="448"/>
      <c r="BD10" s="435"/>
      <c r="BE10" s="7"/>
      <c r="BF10" s="7"/>
      <c r="BG10" s="448"/>
      <c r="BH10" s="447"/>
      <c r="BI10" s="96"/>
      <c r="BJ10" s="449"/>
      <c r="BK10" s="448"/>
      <c r="BL10" s="435"/>
      <c r="BM10" s="7"/>
      <c r="BN10" s="7"/>
      <c r="BO10" s="448" t="s">
        <v>468</v>
      </c>
      <c r="BP10" s="450">
        <v>0.79</v>
      </c>
      <c r="BQ10" s="96"/>
      <c r="BR10" s="449"/>
      <c r="BS10" s="448"/>
      <c r="BT10" s="435"/>
      <c r="BU10" s="7"/>
      <c r="BV10" s="7"/>
      <c r="BW10" s="448"/>
      <c r="BX10" s="450"/>
      <c r="BY10" s="96"/>
      <c r="BZ10" s="449"/>
      <c r="CA10" s="448"/>
      <c r="CB10" s="435"/>
      <c r="CC10" s="7"/>
      <c r="CD10" s="7"/>
      <c r="CE10" s="448"/>
      <c r="CF10" s="450"/>
      <c r="CG10" s="96"/>
      <c r="CH10" s="449"/>
      <c r="CI10" s="448"/>
      <c r="CJ10" s="435"/>
      <c r="CK10" s="7"/>
      <c r="CL10" s="7"/>
      <c r="CM10" s="448"/>
      <c r="CN10" s="450"/>
      <c r="CO10" s="96"/>
      <c r="CP10" s="449"/>
      <c r="CQ10" s="448"/>
      <c r="CR10" s="435"/>
      <c r="CS10" s="7"/>
      <c r="CT10" s="7"/>
      <c r="CU10" s="448"/>
      <c r="CV10" s="5"/>
      <c r="CW10" s="5"/>
      <c r="CX10" s="5"/>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5"/>
      <c r="EM10" s="5"/>
      <c r="EN10" s="5"/>
      <c r="EO10" s="5"/>
    </row>
    <row r="11" spans="1:145" s="3" customFormat="1" ht="408" x14ac:dyDescent="0.2">
      <c r="A11" s="91" t="s">
        <v>428</v>
      </c>
      <c r="B11" s="91" t="s">
        <v>100</v>
      </c>
      <c r="C11" s="91" t="s">
        <v>99</v>
      </c>
      <c r="D11" s="96" t="s">
        <v>102</v>
      </c>
      <c r="E11" s="96" t="s">
        <v>45</v>
      </c>
      <c r="F11" s="445" t="s">
        <v>110</v>
      </c>
      <c r="G11" s="408" t="s">
        <v>115</v>
      </c>
      <c r="H11" s="408" t="s">
        <v>114</v>
      </c>
      <c r="I11" s="408" t="s">
        <v>116</v>
      </c>
      <c r="J11" s="223"/>
      <c r="K11" s="222"/>
      <c r="L11" s="96" t="s">
        <v>45</v>
      </c>
      <c r="M11" s="427"/>
      <c r="N11" s="223"/>
      <c r="O11" s="445" t="s">
        <v>469</v>
      </c>
      <c r="P11" s="91" t="s">
        <v>470</v>
      </c>
      <c r="Q11" s="313" t="s">
        <v>51</v>
      </c>
      <c r="R11" s="96"/>
      <c r="S11" s="96"/>
      <c r="T11" s="338"/>
      <c r="U11" s="9"/>
      <c r="V11" s="297"/>
      <c r="W11" s="7"/>
      <c r="X11" s="300"/>
      <c r="Y11" s="430"/>
      <c r="Z11" s="223"/>
      <c r="AA11" s="185"/>
      <c r="AB11" s="446"/>
      <c r="AC11" s="446"/>
      <c r="AD11" s="414"/>
      <c r="AE11" s="414"/>
      <c r="AF11" s="414"/>
      <c r="AG11" s="414"/>
      <c r="AH11" s="414"/>
      <c r="AI11" s="432"/>
      <c r="AJ11" s="447"/>
      <c r="AK11" s="96"/>
      <c r="AL11" s="336"/>
      <c r="AM11" s="451"/>
      <c r="AN11" s="447"/>
      <c r="AO11" s="96"/>
      <c r="AP11" s="96"/>
      <c r="AQ11" s="452"/>
      <c r="AR11" s="447"/>
      <c r="AS11" s="96"/>
      <c r="AT11" s="336"/>
      <c r="AU11" s="451"/>
      <c r="AV11" s="447"/>
      <c r="AW11" s="96"/>
      <c r="AX11" s="96"/>
      <c r="AY11" s="452"/>
      <c r="AZ11" s="447"/>
      <c r="BA11" s="96"/>
      <c r="BB11" s="336"/>
      <c r="BC11" s="451"/>
      <c r="BD11" s="447"/>
      <c r="BE11" s="96"/>
      <c r="BF11" s="96"/>
      <c r="BG11" s="452"/>
      <c r="BH11" s="447"/>
      <c r="BI11" s="96"/>
      <c r="BJ11" s="453"/>
      <c r="BK11" s="451"/>
      <c r="BL11" s="447"/>
      <c r="BM11" s="96"/>
      <c r="BN11" s="96"/>
      <c r="BO11" s="452" t="s">
        <v>468</v>
      </c>
      <c r="BP11" s="450">
        <v>0.83</v>
      </c>
      <c r="BQ11" s="96"/>
      <c r="BR11" s="453"/>
      <c r="BS11" s="451"/>
      <c r="BT11" s="447"/>
      <c r="BU11" s="96"/>
      <c r="BV11" s="96"/>
      <c r="BW11" s="452"/>
      <c r="BX11" s="450"/>
      <c r="BY11" s="96"/>
      <c r="BZ11" s="453"/>
      <c r="CA11" s="451"/>
      <c r="CB11" s="447"/>
      <c r="CC11" s="96"/>
      <c r="CD11" s="96"/>
      <c r="CE11" s="452"/>
      <c r="CF11" s="450"/>
      <c r="CG11" s="96"/>
      <c r="CH11" s="453"/>
      <c r="CI11" s="451"/>
      <c r="CJ11" s="447"/>
      <c r="CK11" s="96"/>
      <c r="CL11" s="96"/>
      <c r="CM11" s="452"/>
      <c r="CN11" s="450"/>
      <c r="CO11" s="96"/>
      <c r="CP11" s="453"/>
      <c r="CQ11" s="451"/>
      <c r="CR11" s="447"/>
      <c r="CS11" s="96"/>
      <c r="CT11" s="96"/>
      <c r="CU11" s="452"/>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row>
    <row r="12" spans="1:145" s="4" customFormat="1" ht="108" x14ac:dyDescent="0.25">
      <c r="A12" s="149" t="s">
        <v>428</v>
      </c>
      <c r="B12" s="149" t="s">
        <v>100</v>
      </c>
      <c r="C12" s="149" t="s">
        <v>99</v>
      </c>
      <c r="D12" s="149" t="s">
        <v>106</v>
      </c>
      <c r="E12" s="149" t="s">
        <v>54</v>
      </c>
      <c r="F12" s="141" t="s">
        <v>107</v>
      </c>
      <c r="G12" s="141" t="s">
        <v>115</v>
      </c>
      <c r="H12" s="141" t="s">
        <v>114</v>
      </c>
      <c r="I12" s="141" t="s">
        <v>116</v>
      </c>
      <c r="J12" s="223"/>
      <c r="K12" s="222"/>
      <c r="L12" s="330" t="s">
        <v>54</v>
      </c>
      <c r="M12" s="427"/>
      <c r="N12" s="223"/>
      <c r="O12" s="141" t="s">
        <v>471</v>
      </c>
      <c r="P12" s="141" t="s">
        <v>435</v>
      </c>
      <c r="Q12" s="454" t="s">
        <v>50</v>
      </c>
      <c r="R12" s="186">
        <v>0</v>
      </c>
      <c r="S12" s="186">
        <v>610</v>
      </c>
      <c r="T12" s="455" t="s">
        <v>472</v>
      </c>
      <c r="U12" s="8" t="s">
        <v>473</v>
      </c>
      <c r="V12" s="305" t="s">
        <v>50</v>
      </c>
      <c r="W12" s="6">
        <v>0</v>
      </c>
      <c r="X12" s="6">
        <v>610</v>
      </c>
      <c r="Y12" s="430"/>
      <c r="Z12" s="223"/>
      <c r="AA12" s="185"/>
      <c r="AB12" s="414">
        <v>0</v>
      </c>
      <c r="AC12" s="414">
        <v>960</v>
      </c>
      <c r="AD12" s="412">
        <f>AB12*100/AC12</f>
        <v>0</v>
      </c>
      <c r="AE12" s="413" t="s">
        <v>474</v>
      </c>
      <c r="AF12" s="414">
        <v>0</v>
      </c>
      <c r="AG12" s="414">
        <v>960</v>
      </c>
      <c r="AH12" s="412">
        <f>+AF12*100/AG12</f>
        <v>0</v>
      </c>
      <c r="AI12" s="415" t="s">
        <v>475</v>
      </c>
      <c r="AJ12" s="456">
        <v>0</v>
      </c>
      <c r="AK12" s="187">
        <v>960</v>
      </c>
      <c r="AL12" s="457">
        <f>AJ12*100/AK12</f>
        <v>0</v>
      </c>
      <c r="AM12" s="458" t="s">
        <v>476</v>
      </c>
      <c r="AN12" s="447">
        <v>0</v>
      </c>
      <c r="AO12" s="96">
        <v>960</v>
      </c>
      <c r="AP12" s="96">
        <f>+AN12*100/AO12</f>
        <v>0</v>
      </c>
      <c r="AQ12" s="459" t="s">
        <v>477</v>
      </c>
      <c r="AR12" s="456">
        <v>8</v>
      </c>
      <c r="AS12" s="187">
        <v>610</v>
      </c>
      <c r="AT12" s="457">
        <f>AR12/AS12</f>
        <v>1.3114754098360656E-2</v>
      </c>
      <c r="AU12" s="458" t="s">
        <v>478</v>
      </c>
      <c r="AV12" s="447">
        <v>44</v>
      </c>
      <c r="AW12" s="96">
        <v>610</v>
      </c>
      <c r="AX12" s="460">
        <f t="shared" ref="AX12:AX18" si="0">AV12/AW12</f>
        <v>7.2131147540983612E-2</v>
      </c>
      <c r="AY12" s="459" t="s">
        <v>479</v>
      </c>
      <c r="AZ12" s="456">
        <f>11+11+3+11+5+3+1+3</f>
        <v>48</v>
      </c>
      <c r="BA12" s="187">
        <v>610</v>
      </c>
      <c r="BB12" s="457">
        <f>AZ12/BA12</f>
        <v>7.8688524590163941E-2</v>
      </c>
      <c r="BC12" s="458" t="s">
        <v>480</v>
      </c>
      <c r="BD12" s="447">
        <f>13+21+20+13+3+5+8</f>
        <v>83</v>
      </c>
      <c r="BE12" s="96">
        <v>610</v>
      </c>
      <c r="BF12" s="460">
        <f t="shared" ref="BF12:BF18" si="1">BD12/BE12</f>
        <v>0.1360655737704918</v>
      </c>
      <c r="BG12" s="459" t="s">
        <v>481</v>
      </c>
      <c r="BH12" s="461">
        <v>116</v>
      </c>
      <c r="BI12" s="462">
        <v>610</v>
      </c>
      <c r="BJ12" s="463">
        <f>BH12/BI12</f>
        <v>0.1901639344262295</v>
      </c>
      <c r="BK12" s="464" t="s">
        <v>482</v>
      </c>
      <c r="BL12" s="447">
        <v>172</v>
      </c>
      <c r="BM12" s="96">
        <v>610</v>
      </c>
      <c r="BN12" s="460">
        <f t="shared" ref="BN12:BN18" si="2">BL12/BM12</f>
        <v>0.28196721311475409</v>
      </c>
      <c r="BO12" s="459" t="s">
        <v>483</v>
      </c>
      <c r="BP12" s="461">
        <v>184</v>
      </c>
      <c r="BQ12" s="462">
        <v>610</v>
      </c>
      <c r="BR12" s="463">
        <f>BP12/BQ12</f>
        <v>0.30163934426229511</v>
      </c>
      <c r="BS12" s="458" t="s">
        <v>484</v>
      </c>
      <c r="BT12" s="465">
        <v>258</v>
      </c>
      <c r="BU12" s="466">
        <v>610</v>
      </c>
      <c r="BV12" s="467">
        <f t="shared" ref="BV12:BV18" si="3">BT12/BU12</f>
        <v>0.42295081967213116</v>
      </c>
      <c r="BW12" s="459" t="s">
        <v>485</v>
      </c>
      <c r="BX12" s="468">
        <v>390</v>
      </c>
      <c r="BY12" s="462">
        <v>610</v>
      </c>
      <c r="BZ12" s="463">
        <f>BX12/BY12</f>
        <v>0.63934426229508201</v>
      </c>
      <c r="CA12" s="458" t="s">
        <v>486</v>
      </c>
      <c r="CB12" s="465">
        <v>425</v>
      </c>
      <c r="CC12" s="466">
        <v>610</v>
      </c>
      <c r="CD12" s="467">
        <f t="shared" ref="CD12:CD18" si="4">CB12/CC12</f>
        <v>0.69672131147540983</v>
      </c>
      <c r="CE12" s="459"/>
      <c r="CF12" s="468">
        <v>390</v>
      </c>
      <c r="CG12" s="462">
        <v>610</v>
      </c>
      <c r="CH12" s="463">
        <f>CF12/CG12</f>
        <v>0.63934426229508201</v>
      </c>
      <c r="CI12" s="458" t="s">
        <v>486</v>
      </c>
      <c r="CJ12" s="465">
        <v>425</v>
      </c>
      <c r="CK12" s="466">
        <v>610</v>
      </c>
      <c r="CL12" s="467">
        <f t="shared" ref="CL12:CL18" si="5">CJ12/CK12</f>
        <v>0.69672131147540983</v>
      </c>
      <c r="CM12" s="459" t="s">
        <v>487</v>
      </c>
      <c r="CN12" s="468">
        <v>476</v>
      </c>
      <c r="CO12" s="462">
        <v>610</v>
      </c>
      <c r="CP12" s="463">
        <f>CN12/CO12</f>
        <v>0.78032786885245897</v>
      </c>
      <c r="CQ12" s="458" t="s">
        <v>488</v>
      </c>
      <c r="CR12" s="465">
        <v>498</v>
      </c>
      <c r="CS12" s="466">
        <v>610</v>
      </c>
      <c r="CT12" s="467">
        <f t="shared" ref="CT12:CT18" si="6">CR12/CS12</f>
        <v>0.81639344262295077</v>
      </c>
      <c r="CU12" s="459" t="s">
        <v>489</v>
      </c>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row>
    <row r="13" spans="1:145" s="4" customFormat="1" ht="36" x14ac:dyDescent="0.25">
      <c r="A13" s="185"/>
      <c r="B13" s="185"/>
      <c r="C13" s="185"/>
      <c r="D13" s="185"/>
      <c r="E13" s="185"/>
      <c r="F13" s="175"/>
      <c r="G13" s="142"/>
      <c r="H13" s="142"/>
      <c r="I13" s="142"/>
      <c r="J13" s="223"/>
      <c r="K13" s="222"/>
      <c r="L13" s="89"/>
      <c r="M13" s="427"/>
      <c r="N13" s="223"/>
      <c r="O13" s="175"/>
      <c r="P13" s="175"/>
      <c r="Q13" s="315"/>
      <c r="R13" s="187"/>
      <c r="S13" s="187"/>
      <c r="T13" s="469" t="s">
        <v>490</v>
      </c>
      <c r="U13" s="8" t="s">
        <v>491</v>
      </c>
      <c r="V13" s="305" t="s">
        <v>50</v>
      </c>
      <c r="W13" s="6">
        <v>0</v>
      </c>
      <c r="X13" s="6">
        <v>177</v>
      </c>
      <c r="Y13" s="430"/>
      <c r="Z13" s="223"/>
      <c r="AA13" s="185"/>
      <c r="AB13" s="446"/>
      <c r="AC13" s="446"/>
      <c r="AD13" s="414"/>
      <c r="AE13" s="414"/>
      <c r="AF13" s="414">
        <v>0</v>
      </c>
      <c r="AG13" s="414">
        <v>177</v>
      </c>
      <c r="AH13" s="437">
        <v>0</v>
      </c>
      <c r="AI13" s="432"/>
      <c r="AJ13" s="456"/>
      <c r="AK13" s="187"/>
      <c r="AL13" s="470"/>
      <c r="AM13" s="471"/>
      <c r="AN13" s="440">
        <v>0</v>
      </c>
      <c r="AO13" s="6">
        <v>132</v>
      </c>
      <c r="AP13" s="308">
        <v>0</v>
      </c>
      <c r="AQ13" s="439"/>
      <c r="AR13" s="456"/>
      <c r="AS13" s="187"/>
      <c r="AT13" s="470"/>
      <c r="AU13" s="471"/>
      <c r="AV13" s="472">
        <v>42</v>
      </c>
      <c r="AW13" s="6">
        <v>177</v>
      </c>
      <c r="AX13" s="308">
        <f t="shared" si="0"/>
        <v>0.23728813559322035</v>
      </c>
      <c r="AY13" s="442" t="s">
        <v>459</v>
      </c>
      <c r="AZ13" s="456"/>
      <c r="BA13" s="187"/>
      <c r="BB13" s="470"/>
      <c r="BC13" s="471"/>
      <c r="BD13" s="472">
        <v>68</v>
      </c>
      <c r="BE13" s="6">
        <v>177</v>
      </c>
      <c r="BF13" s="308">
        <f t="shared" si="1"/>
        <v>0.38418079096045199</v>
      </c>
      <c r="BG13" s="442" t="s">
        <v>459</v>
      </c>
      <c r="BH13" s="461"/>
      <c r="BI13" s="462"/>
      <c r="BJ13" s="473"/>
      <c r="BK13" s="474"/>
      <c r="BL13" s="440">
        <v>124</v>
      </c>
      <c r="BM13" s="6">
        <v>177</v>
      </c>
      <c r="BN13" s="308">
        <f t="shared" si="2"/>
        <v>0.70056497175141241</v>
      </c>
      <c r="BO13" s="442" t="s">
        <v>458</v>
      </c>
      <c r="BP13" s="461"/>
      <c r="BQ13" s="462"/>
      <c r="BR13" s="473"/>
      <c r="BS13" s="471"/>
      <c r="BT13" s="472">
        <v>212</v>
      </c>
      <c r="BU13" s="475">
        <v>177</v>
      </c>
      <c r="BV13" s="476">
        <f t="shared" si="3"/>
        <v>1.1977401129943503</v>
      </c>
      <c r="BW13" s="477" t="s">
        <v>459</v>
      </c>
      <c r="BX13" s="468"/>
      <c r="BY13" s="462"/>
      <c r="BZ13" s="473"/>
      <c r="CA13" s="471"/>
      <c r="CB13" s="478">
        <v>312</v>
      </c>
      <c r="CC13" s="475">
        <v>177</v>
      </c>
      <c r="CD13" s="476">
        <f t="shared" si="4"/>
        <v>1.7627118644067796</v>
      </c>
      <c r="CE13" s="477" t="s">
        <v>459</v>
      </c>
      <c r="CF13" s="468"/>
      <c r="CG13" s="462"/>
      <c r="CH13" s="473"/>
      <c r="CI13" s="471"/>
      <c r="CJ13" s="478">
        <v>344</v>
      </c>
      <c r="CK13" s="475">
        <v>177</v>
      </c>
      <c r="CL13" s="476">
        <f t="shared" si="5"/>
        <v>1.9435028248587571</v>
      </c>
      <c r="CM13" s="477" t="s">
        <v>461</v>
      </c>
      <c r="CN13" s="468"/>
      <c r="CO13" s="462"/>
      <c r="CP13" s="473"/>
      <c r="CQ13" s="471"/>
      <c r="CR13" s="472">
        <v>355</v>
      </c>
      <c r="CS13" s="475">
        <v>177</v>
      </c>
      <c r="CT13" s="476">
        <f t="shared" si="6"/>
        <v>2.0056497175141241</v>
      </c>
      <c r="CU13" s="477" t="s">
        <v>461</v>
      </c>
      <c r="CV13" s="5"/>
      <c r="CW13" s="5"/>
      <c r="CX13" s="5"/>
      <c r="CY13" s="5"/>
      <c r="CZ13" s="5"/>
      <c r="DA13" s="5"/>
      <c r="DB13" s="5"/>
      <c r="DC13" s="5"/>
      <c r="DD13" s="5"/>
      <c r="DE13" s="5"/>
      <c r="DF13" s="5"/>
      <c r="DG13" s="5"/>
      <c r="DH13" s="5"/>
      <c r="DI13" s="5"/>
      <c r="DJ13" s="5"/>
      <c r="DK13" s="5"/>
      <c r="DL13" s="5"/>
      <c r="DM13" s="5"/>
      <c r="DN13" s="5"/>
      <c r="DO13" s="5"/>
      <c r="DP13" s="5"/>
      <c r="DQ13" s="5"/>
      <c r="DR13" s="5"/>
      <c r="DS13" s="5"/>
      <c r="DT13" s="5"/>
      <c r="DU13" s="5"/>
      <c r="DV13" s="5"/>
      <c r="DW13" s="5"/>
      <c r="DX13" s="5"/>
      <c r="DY13" s="5"/>
      <c r="DZ13" s="5"/>
      <c r="EA13" s="5"/>
      <c r="EB13" s="5"/>
      <c r="EC13" s="5"/>
      <c r="ED13" s="5"/>
      <c r="EE13" s="5"/>
      <c r="EF13" s="5"/>
      <c r="EG13" s="5"/>
      <c r="EH13" s="5"/>
      <c r="EI13" s="5"/>
      <c r="EJ13" s="5"/>
      <c r="EK13" s="5"/>
      <c r="EL13" s="5"/>
      <c r="EM13" s="5"/>
      <c r="EN13" s="5"/>
      <c r="EO13" s="5"/>
    </row>
    <row r="14" spans="1:145" s="3" customFormat="1" ht="48" x14ac:dyDescent="0.2">
      <c r="A14" s="91" t="s">
        <v>428</v>
      </c>
      <c r="B14" s="91" t="s">
        <v>100</v>
      </c>
      <c r="C14" s="91" t="s">
        <v>99</v>
      </c>
      <c r="D14" s="96" t="s">
        <v>102</v>
      </c>
      <c r="E14" s="96" t="s">
        <v>45</v>
      </c>
      <c r="F14" s="445" t="s">
        <v>110</v>
      </c>
      <c r="G14" s="408" t="s">
        <v>115</v>
      </c>
      <c r="H14" s="408" t="s">
        <v>114</v>
      </c>
      <c r="I14" s="408" t="s">
        <v>116</v>
      </c>
      <c r="J14" s="223"/>
      <c r="K14" s="222"/>
      <c r="L14" s="96" t="s">
        <v>45</v>
      </c>
      <c r="M14" s="427"/>
      <c r="N14" s="223"/>
      <c r="O14" s="445" t="s">
        <v>492</v>
      </c>
      <c r="P14" s="445" t="s">
        <v>493</v>
      </c>
      <c r="Q14" s="313" t="s">
        <v>51</v>
      </c>
      <c r="R14" s="96">
        <v>0</v>
      </c>
      <c r="S14" s="460">
        <v>1</v>
      </c>
      <c r="T14" s="297"/>
      <c r="U14" s="9"/>
      <c r="V14" s="297"/>
      <c r="W14" s="7"/>
      <c r="X14" s="300"/>
      <c r="Y14" s="430"/>
      <c r="Z14" s="223"/>
      <c r="AA14" s="185"/>
      <c r="AB14" s="446">
        <v>0</v>
      </c>
      <c r="AC14" s="479">
        <f>S14</f>
        <v>1</v>
      </c>
      <c r="AD14" s="414"/>
      <c r="AE14" s="414"/>
      <c r="AF14" s="414"/>
      <c r="AG14" s="414"/>
      <c r="AH14" s="414"/>
      <c r="AI14" s="432"/>
      <c r="AJ14" s="447">
        <v>0</v>
      </c>
      <c r="AK14" s="480">
        <v>0.9</v>
      </c>
      <c r="AL14" s="304"/>
      <c r="AM14" s="448"/>
      <c r="AN14" s="435"/>
      <c r="AO14" s="7"/>
      <c r="AP14" s="7"/>
      <c r="AQ14" s="448"/>
      <c r="AR14" s="447"/>
      <c r="AS14" s="480">
        <v>1</v>
      </c>
      <c r="AT14" s="304">
        <f>AR14/AS14</f>
        <v>0</v>
      </c>
      <c r="AU14" s="448"/>
      <c r="AV14" s="435"/>
      <c r="AW14" s="304">
        <v>1</v>
      </c>
      <c r="AX14" s="304">
        <f t="shared" si="0"/>
        <v>0</v>
      </c>
      <c r="AY14" s="448"/>
      <c r="AZ14" s="447"/>
      <c r="BA14" s="480">
        <v>1</v>
      </c>
      <c r="BB14" s="304">
        <f>AZ14/BA14</f>
        <v>0</v>
      </c>
      <c r="BC14" s="448"/>
      <c r="BD14" s="435"/>
      <c r="BE14" s="304">
        <v>1</v>
      </c>
      <c r="BF14" s="304">
        <f t="shared" si="1"/>
        <v>0</v>
      </c>
      <c r="BG14" s="448"/>
      <c r="BH14" s="447"/>
      <c r="BI14" s="480">
        <v>1</v>
      </c>
      <c r="BJ14" s="449">
        <f>BH14/BI14</f>
        <v>0</v>
      </c>
      <c r="BK14" s="448"/>
      <c r="BL14" s="435"/>
      <c r="BM14" s="304">
        <v>1</v>
      </c>
      <c r="BN14" s="304">
        <f t="shared" si="2"/>
        <v>0</v>
      </c>
      <c r="BO14" s="419" t="s">
        <v>494</v>
      </c>
      <c r="BP14" s="447"/>
      <c r="BQ14" s="480">
        <v>1</v>
      </c>
      <c r="BR14" s="449">
        <f>BP14/BQ14</f>
        <v>0</v>
      </c>
      <c r="BS14" s="448"/>
      <c r="BT14" s="435"/>
      <c r="BU14" s="304">
        <v>1</v>
      </c>
      <c r="BV14" s="304">
        <f t="shared" si="3"/>
        <v>0</v>
      </c>
      <c r="BW14" s="419"/>
      <c r="BX14" s="481"/>
      <c r="BY14" s="480">
        <v>1</v>
      </c>
      <c r="BZ14" s="449">
        <f>BX14/BY14</f>
        <v>0</v>
      </c>
      <c r="CA14" s="448"/>
      <c r="CB14" s="435"/>
      <c r="CC14" s="304">
        <v>1</v>
      </c>
      <c r="CD14" s="304">
        <f t="shared" si="4"/>
        <v>0</v>
      </c>
      <c r="CE14" s="419"/>
      <c r="CF14" s="481"/>
      <c r="CG14" s="480">
        <v>1</v>
      </c>
      <c r="CH14" s="449">
        <f>CF14/CG14</f>
        <v>0</v>
      </c>
      <c r="CI14" s="448"/>
      <c r="CJ14" s="435"/>
      <c r="CK14" s="304">
        <v>1</v>
      </c>
      <c r="CL14" s="304">
        <f t="shared" si="5"/>
        <v>0</v>
      </c>
      <c r="CM14" s="419"/>
      <c r="CN14" s="481"/>
      <c r="CO14" s="480">
        <v>1</v>
      </c>
      <c r="CP14" s="304">
        <f>CN14/CO14</f>
        <v>0</v>
      </c>
      <c r="CQ14" s="448"/>
      <c r="CR14" s="435"/>
      <c r="CS14" s="304">
        <v>1</v>
      </c>
      <c r="CT14" s="304">
        <f t="shared" si="6"/>
        <v>0</v>
      </c>
      <c r="CU14" s="419"/>
      <c r="CV14" s="5"/>
      <c r="CW14" s="5"/>
      <c r="CX14" s="5"/>
      <c r="CY14" s="5"/>
      <c r="CZ14" s="5"/>
      <c r="DA14" s="5"/>
      <c r="DB14" s="5"/>
      <c r="DC14" s="5"/>
      <c r="DD14" s="5"/>
      <c r="DE14" s="5"/>
      <c r="DF14" s="5"/>
      <c r="DG14" s="5"/>
      <c r="DH14" s="5"/>
      <c r="DI14" s="5"/>
      <c r="DJ14" s="5"/>
      <c r="DK14" s="5"/>
      <c r="DL14" s="5"/>
      <c r="DM14" s="5"/>
      <c r="DN14" s="5"/>
      <c r="DO14" s="5"/>
      <c r="DP14" s="5"/>
      <c r="DQ14" s="5"/>
      <c r="DR14" s="5"/>
      <c r="DS14" s="5"/>
      <c r="DT14" s="5"/>
      <c r="DU14" s="5"/>
      <c r="DV14" s="5"/>
      <c r="DW14" s="5"/>
      <c r="DX14" s="5"/>
      <c r="DY14" s="5"/>
      <c r="DZ14" s="5"/>
      <c r="EA14" s="5"/>
      <c r="EB14" s="5"/>
      <c r="EC14" s="5"/>
      <c r="ED14" s="5"/>
      <c r="EE14" s="5"/>
      <c r="EF14" s="5"/>
      <c r="EG14" s="5"/>
      <c r="EH14" s="5"/>
      <c r="EI14" s="5"/>
      <c r="EJ14" s="5"/>
      <c r="EK14" s="5"/>
      <c r="EL14" s="5"/>
      <c r="EM14" s="5"/>
      <c r="EN14" s="5"/>
      <c r="EO14" s="5"/>
    </row>
    <row r="15" spans="1:145" s="4" customFormat="1" ht="48" x14ac:dyDescent="0.2">
      <c r="A15" s="330" t="s">
        <v>428</v>
      </c>
      <c r="B15" s="330" t="s">
        <v>100</v>
      </c>
      <c r="C15" s="330" t="s">
        <v>99</v>
      </c>
      <c r="D15" s="6" t="s">
        <v>102</v>
      </c>
      <c r="E15" s="6" t="s">
        <v>45</v>
      </c>
      <c r="F15" s="8" t="s">
        <v>110</v>
      </c>
      <c r="G15" s="8" t="s">
        <v>115</v>
      </c>
      <c r="H15" s="19" t="s">
        <v>114</v>
      </c>
      <c r="I15" s="19" t="s">
        <v>116</v>
      </c>
      <c r="J15" s="223"/>
      <c r="K15" s="222"/>
      <c r="L15" s="6" t="s">
        <v>45</v>
      </c>
      <c r="M15" s="427"/>
      <c r="N15" s="223"/>
      <c r="O15" s="8" t="s">
        <v>495</v>
      </c>
      <c r="P15" s="8" t="s">
        <v>496</v>
      </c>
      <c r="Q15" s="305" t="s">
        <v>51</v>
      </c>
      <c r="R15" s="6">
        <v>0</v>
      </c>
      <c r="S15" s="482">
        <v>1</v>
      </c>
      <c r="T15" s="305"/>
      <c r="U15" s="8"/>
      <c r="V15" s="305"/>
      <c r="W15" s="6"/>
      <c r="X15" s="308"/>
      <c r="Y15" s="430"/>
      <c r="Z15" s="223"/>
      <c r="AA15" s="185"/>
      <c r="AB15" s="414">
        <v>0</v>
      </c>
      <c r="AC15" s="437">
        <f>S15</f>
        <v>1</v>
      </c>
      <c r="AD15" s="414"/>
      <c r="AE15" s="414"/>
      <c r="AF15" s="414"/>
      <c r="AG15" s="414"/>
      <c r="AH15" s="414"/>
      <c r="AI15" s="432"/>
      <c r="AJ15" s="440">
        <v>0</v>
      </c>
      <c r="AK15" s="308">
        <v>0.05</v>
      </c>
      <c r="AL15" s="311"/>
      <c r="AM15" s="439"/>
      <c r="AN15" s="440"/>
      <c r="AO15" s="6"/>
      <c r="AP15" s="6"/>
      <c r="AQ15" s="439"/>
      <c r="AR15" s="440"/>
      <c r="AS15" s="308">
        <v>1</v>
      </c>
      <c r="AT15" s="311">
        <f>AR15/AS15</f>
        <v>0</v>
      </c>
      <c r="AU15" s="439"/>
      <c r="AV15" s="440"/>
      <c r="AW15" s="311">
        <v>1</v>
      </c>
      <c r="AX15" s="311">
        <f t="shared" si="0"/>
        <v>0</v>
      </c>
      <c r="AY15" s="439"/>
      <c r="AZ15" s="440"/>
      <c r="BA15" s="308">
        <v>1</v>
      </c>
      <c r="BB15" s="311">
        <f>AZ15/BA15</f>
        <v>0</v>
      </c>
      <c r="BC15" s="439"/>
      <c r="BD15" s="440"/>
      <c r="BE15" s="311">
        <v>1</v>
      </c>
      <c r="BF15" s="311">
        <f t="shared" si="1"/>
        <v>0</v>
      </c>
      <c r="BG15" s="439"/>
      <c r="BH15" s="440"/>
      <c r="BI15" s="308">
        <v>1</v>
      </c>
      <c r="BJ15" s="441">
        <f>BH15/BI15</f>
        <v>0</v>
      </c>
      <c r="BK15" s="439"/>
      <c r="BL15" s="440"/>
      <c r="BM15" s="311">
        <v>1</v>
      </c>
      <c r="BN15" s="311">
        <f t="shared" si="2"/>
        <v>0</v>
      </c>
      <c r="BO15" s="442" t="s">
        <v>494</v>
      </c>
      <c r="BP15" s="440"/>
      <c r="BQ15" s="308">
        <v>1</v>
      </c>
      <c r="BR15" s="441">
        <f>BP15/BQ15</f>
        <v>0</v>
      </c>
      <c r="BS15" s="439"/>
      <c r="BT15" s="440"/>
      <c r="BU15" s="311">
        <v>1</v>
      </c>
      <c r="BV15" s="311">
        <f t="shared" si="3"/>
        <v>0</v>
      </c>
      <c r="BW15" s="442"/>
      <c r="BX15" s="440"/>
      <c r="BY15" s="308">
        <v>1</v>
      </c>
      <c r="BZ15" s="441">
        <f>BX15/BY15</f>
        <v>0</v>
      </c>
      <c r="CA15" s="439"/>
      <c r="CB15" s="440"/>
      <c r="CC15" s="311">
        <v>1</v>
      </c>
      <c r="CD15" s="311">
        <f t="shared" si="4"/>
        <v>0</v>
      </c>
      <c r="CE15" s="442"/>
      <c r="CF15" s="440"/>
      <c r="CG15" s="308">
        <v>1</v>
      </c>
      <c r="CH15" s="441">
        <f>CF15/CG15</f>
        <v>0</v>
      </c>
      <c r="CI15" s="439"/>
      <c r="CJ15" s="440"/>
      <c r="CK15" s="311">
        <v>1</v>
      </c>
      <c r="CL15" s="311">
        <f t="shared" si="5"/>
        <v>0</v>
      </c>
      <c r="CM15" s="442"/>
      <c r="CN15" s="440"/>
      <c r="CO15" s="308">
        <v>1</v>
      </c>
      <c r="CP15" s="311">
        <f>CN15/CO15</f>
        <v>0</v>
      </c>
      <c r="CQ15" s="439"/>
      <c r="CR15" s="440"/>
      <c r="CS15" s="311">
        <v>1</v>
      </c>
      <c r="CT15" s="311">
        <f t="shared" si="6"/>
        <v>0</v>
      </c>
      <c r="CU15" s="442"/>
      <c r="CV15" s="5"/>
      <c r="CW15" s="5"/>
      <c r="CX15" s="5"/>
      <c r="CY15" s="5"/>
      <c r="CZ15" s="5"/>
      <c r="DA15" s="5"/>
      <c r="DB15" s="5"/>
      <c r="DC15" s="5"/>
      <c r="DD15" s="5"/>
      <c r="DE15" s="5"/>
      <c r="DF15" s="5"/>
      <c r="DG15" s="5"/>
      <c r="DH15" s="5"/>
      <c r="DI15" s="5"/>
      <c r="DJ15" s="5"/>
      <c r="DK15" s="5"/>
      <c r="DL15" s="5"/>
      <c r="DM15" s="5"/>
      <c r="DN15" s="5"/>
      <c r="DO15" s="5"/>
      <c r="DP15" s="5"/>
      <c r="DQ15" s="5"/>
      <c r="DR15" s="5"/>
      <c r="DS15" s="5"/>
      <c r="DT15" s="5"/>
      <c r="DU15" s="5"/>
      <c r="DV15" s="5"/>
      <c r="DW15" s="5"/>
      <c r="DX15" s="5"/>
      <c r="DY15" s="5"/>
      <c r="DZ15" s="5"/>
      <c r="EA15" s="5"/>
      <c r="EB15" s="5"/>
      <c r="EC15" s="5"/>
      <c r="ED15" s="5"/>
      <c r="EE15" s="5"/>
      <c r="EF15" s="5"/>
      <c r="EG15" s="5"/>
      <c r="EH15" s="5"/>
      <c r="EI15" s="5"/>
      <c r="EJ15" s="5"/>
      <c r="EK15" s="5"/>
      <c r="EL15" s="5"/>
      <c r="EM15" s="5"/>
      <c r="EN15" s="5"/>
      <c r="EO15" s="5"/>
    </row>
    <row r="16" spans="1:145" s="3" customFormat="1" ht="48" x14ac:dyDescent="0.2">
      <c r="A16" s="92" t="s">
        <v>428</v>
      </c>
      <c r="B16" s="92" t="s">
        <v>100</v>
      </c>
      <c r="C16" s="92" t="s">
        <v>99</v>
      </c>
      <c r="D16" s="94" t="s">
        <v>102</v>
      </c>
      <c r="E16" s="94" t="s">
        <v>45</v>
      </c>
      <c r="F16" s="429" t="s">
        <v>110</v>
      </c>
      <c r="G16" s="408" t="s">
        <v>115</v>
      </c>
      <c r="H16" s="408" t="s">
        <v>114</v>
      </c>
      <c r="I16" s="408" t="s">
        <v>116</v>
      </c>
      <c r="J16" s="223"/>
      <c r="K16" s="222"/>
      <c r="L16" s="94" t="s">
        <v>45</v>
      </c>
      <c r="M16" s="427"/>
      <c r="N16" s="223"/>
      <c r="O16" s="429" t="s">
        <v>497</v>
      </c>
      <c r="P16" s="429" t="s">
        <v>498</v>
      </c>
      <c r="Q16" s="483" t="s">
        <v>51</v>
      </c>
      <c r="R16" s="94">
        <v>0</v>
      </c>
      <c r="S16" s="484">
        <v>1</v>
      </c>
      <c r="T16" s="297"/>
      <c r="U16" s="9"/>
      <c r="V16" s="297"/>
      <c r="W16" s="7"/>
      <c r="X16" s="300"/>
      <c r="Y16" s="430"/>
      <c r="Z16" s="223"/>
      <c r="AA16" s="185"/>
      <c r="AB16" s="485">
        <v>0</v>
      </c>
      <c r="AC16" s="486">
        <f>S16</f>
        <v>1</v>
      </c>
      <c r="AD16" s="414"/>
      <c r="AE16" s="414"/>
      <c r="AF16" s="414"/>
      <c r="AG16" s="414"/>
      <c r="AH16" s="414"/>
      <c r="AI16" s="432"/>
      <c r="AJ16" s="487">
        <v>0</v>
      </c>
      <c r="AK16" s="484">
        <v>0.5</v>
      </c>
      <c r="AL16" s="304"/>
      <c r="AM16" s="448"/>
      <c r="AN16" s="435"/>
      <c r="AO16" s="7"/>
      <c r="AP16" s="7"/>
      <c r="AQ16" s="448"/>
      <c r="AR16" s="487"/>
      <c r="AS16" s="484">
        <v>1</v>
      </c>
      <c r="AT16" s="304">
        <f>AR16/AS16</f>
        <v>0</v>
      </c>
      <c r="AU16" s="448"/>
      <c r="AV16" s="435"/>
      <c r="AW16" s="304">
        <v>1</v>
      </c>
      <c r="AX16" s="304">
        <f t="shared" si="0"/>
        <v>0</v>
      </c>
      <c r="AY16" s="448"/>
      <c r="AZ16" s="487"/>
      <c r="BA16" s="484">
        <v>1</v>
      </c>
      <c r="BB16" s="304">
        <f>AZ16/BA16</f>
        <v>0</v>
      </c>
      <c r="BC16" s="448"/>
      <c r="BD16" s="435"/>
      <c r="BE16" s="304">
        <v>1</v>
      </c>
      <c r="BF16" s="304">
        <f t="shared" si="1"/>
        <v>0</v>
      </c>
      <c r="BG16" s="448"/>
      <c r="BH16" s="487"/>
      <c r="BI16" s="484">
        <v>1</v>
      </c>
      <c r="BJ16" s="449">
        <f>BH16/BI16</f>
        <v>0</v>
      </c>
      <c r="BK16" s="448"/>
      <c r="BL16" s="435"/>
      <c r="BM16" s="304">
        <v>1</v>
      </c>
      <c r="BN16" s="304">
        <f t="shared" si="2"/>
        <v>0</v>
      </c>
      <c r="BO16" s="419" t="s">
        <v>494</v>
      </c>
      <c r="BP16" s="487"/>
      <c r="BQ16" s="484">
        <v>1</v>
      </c>
      <c r="BR16" s="449">
        <f>BP16/BQ16</f>
        <v>0</v>
      </c>
      <c r="BS16" s="448"/>
      <c r="BT16" s="435"/>
      <c r="BU16" s="304">
        <v>1</v>
      </c>
      <c r="BV16" s="304">
        <f t="shared" si="3"/>
        <v>0</v>
      </c>
      <c r="BW16" s="419"/>
      <c r="BX16" s="487"/>
      <c r="BY16" s="484">
        <v>1</v>
      </c>
      <c r="BZ16" s="449">
        <f>BX16/BY16</f>
        <v>0</v>
      </c>
      <c r="CA16" s="448"/>
      <c r="CB16" s="435"/>
      <c r="CC16" s="304">
        <v>1</v>
      </c>
      <c r="CD16" s="304">
        <f t="shared" si="4"/>
        <v>0</v>
      </c>
      <c r="CE16" s="419"/>
      <c r="CF16" s="487"/>
      <c r="CG16" s="484">
        <v>1</v>
      </c>
      <c r="CH16" s="449">
        <f>CF16/CG16</f>
        <v>0</v>
      </c>
      <c r="CI16" s="448"/>
      <c r="CJ16" s="435"/>
      <c r="CK16" s="304">
        <v>1</v>
      </c>
      <c r="CL16" s="304">
        <f t="shared" si="5"/>
        <v>0</v>
      </c>
      <c r="CM16" s="419"/>
      <c r="CN16" s="487"/>
      <c r="CO16" s="484">
        <v>1</v>
      </c>
      <c r="CP16" s="304">
        <f>CN16/CO16</f>
        <v>0</v>
      </c>
      <c r="CQ16" s="448"/>
      <c r="CR16" s="435"/>
      <c r="CS16" s="304">
        <v>1</v>
      </c>
      <c r="CT16" s="304">
        <f t="shared" si="6"/>
        <v>0</v>
      </c>
      <c r="CU16" s="419"/>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row>
    <row r="17" spans="1:145" s="4" customFormat="1" ht="48" x14ac:dyDescent="0.2">
      <c r="A17" s="88" t="s">
        <v>428</v>
      </c>
      <c r="B17" s="88" t="s">
        <v>100</v>
      </c>
      <c r="C17" s="88" t="s">
        <v>99</v>
      </c>
      <c r="D17" s="95" t="s">
        <v>102</v>
      </c>
      <c r="E17" s="95" t="s">
        <v>45</v>
      </c>
      <c r="F17" s="455" t="s">
        <v>110</v>
      </c>
      <c r="G17" s="8" t="s">
        <v>115</v>
      </c>
      <c r="H17" s="19" t="s">
        <v>114</v>
      </c>
      <c r="I17" s="19" t="s">
        <v>116</v>
      </c>
      <c r="J17" s="223"/>
      <c r="K17" s="222"/>
      <c r="L17" s="95" t="s">
        <v>45</v>
      </c>
      <c r="M17" s="427"/>
      <c r="N17" s="223"/>
      <c r="O17" s="8" t="s">
        <v>499</v>
      </c>
      <c r="P17" s="8" t="s">
        <v>500</v>
      </c>
      <c r="Q17" s="488" t="s">
        <v>51</v>
      </c>
      <c r="R17" s="95">
        <v>0</v>
      </c>
      <c r="S17" s="482">
        <v>1</v>
      </c>
      <c r="T17" s="305"/>
      <c r="U17" s="8"/>
      <c r="V17" s="305"/>
      <c r="W17" s="6"/>
      <c r="X17" s="308"/>
      <c r="Y17" s="430"/>
      <c r="Z17" s="223"/>
      <c r="AA17" s="185"/>
      <c r="AB17" s="411">
        <v>0</v>
      </c>
      <c r="AC17" s="489">
        <f>S17</f>
        <v>1</v>
      </c>
      <c r="AD17" s="414"/>
      <c r="AE17" s="414"/>
      <c r="AF17" s="414"/>
      <c r="AG17" s="414"/>
      <c r="AH17" s="414"/>
      <c r="AI17" s="432"/>
      <c r="AJ17" s="490">
        <v>0</v>
      </c>
      <c r="AK17" s="482">
        <v>0.05</v>
      </c>
      <c r="AL17" s="311"/>
      <c r="AM17" s="439"/>
      <c r="AN17" s="440"/>
      <c r="AO17" s="6"/>
      <c r="AP17" s="6"/>
      <c r="AQ17" s="439"/>
      <c r="AR17" s="490"/>
      <c r="AS17" s="482">
        <v>1</v>
      </c>
      <c r="AT17" s="311">
        <f>AR17/AS17</f>
        <v>0</v>
      </c>
      <c r="AU17" s="439"/>
      <c r="AV17" s="440"/>
      <c r="AW17" s="311">
        <v>1</v>
      </c>
      <c r="AX17" s="311">
        <f t="shared" si="0"/>
        <v>0</v>
      </c>
      <c r="AY17" s="439"/>
      <c r="AZ17" s="490"/>
      <c r="BA17" s="482">
        <v>1</v>
      </c>
      <c r="BB17" s="311">
        <f>AZ17/BA17</f>
        <v>0</v>
      </c>
      <c r="BC17" s="439"/>
      <c r="BD17" s="440"/>
      <c r="BE17" s="311">
        <v>1</v>
      </c>
      <c r="BF17" s="311">
        <f t="shared" si="1"/>
        <v>0</v>
      </c>
      <c r="BG17" s="439"/>
      <c r="BH17" s="490"/>
      <c r="BI17" s="482">
        <v>1</v>
      </c>
      <c r="BJ17" s="441">
        <f>BH17/BI17</f>
        <v>0</v>
      </c>
      <c r="BK17" s="439"/>
      <c r="BL17" s="440"/>
      <c r="BM17" s="311">
        <v>1</v>
      </c>
      <c r="BN17" s="311">
        <f t="shared" si="2"/>
        <v>0</v>
      </c>
      <c r="BO17" s="442" t="s">
        <v>494</v>
      </c>
      <c r="BP17" s="490"/>
      <c r="BQ17" s="482">
        <v>1</v>
      </c>
      <c r="BR17" s="441">
        <f>BP17/BQ17</f>
        <v>0</v>
      </c>
      <c r="BS17" s="439"/>
      <c r="BT17" s="440"/>
      <c r="BU17" s="311">
        <v>1</v>
      </c>
      <c r="BV17" s="311">
        <f t="shared" si="3"/>
        <v>0</v>
      </c>
      <c r="BW17" s="442"/>
      <c r="BX17" s="490"/>
      <c r="BY17" s="482">
        <v>1</v>
      </c>
      <c r="BZ17" s="441">
        <f>BX17/BY17</f>
        <v>0</v>
      </c>
      <c r="CA17" s="439"/>
      <c r="CB17" s="440"/>
      <c r="CC17" s="311">
        <v>1</v>
      </c>
      <c r="CD17" s="311">
        <f t="shared" si="4"/>
        <v>0</v>
      </c>
      <c r="CE17" s="442"/>
      <c r="CF17" s="490"/>
      <c r="CG17" s="482">
        <v>1</v>
      </c>
      <c r="CH17" s="441">
        <f>CF17/CG17</f>
        <v>0</v>
      </c>
      <c r="CI17" s="439"/>
      <c r="CJ17" s="440"/>
      <c r="CK17" s="311">
        <v>1</v>
      </c>
      <c r="CL17" s="311">
        <f t="shared" si="5"/>
        <v>0</v>
      </c>
      <c r="CM17" s="442"/>
      <c r="CN17" s="490"/>
      <c r="CO17" s="482">
        <v>1</v>
      </c>
      <c r="CP17" s="311">
        <f>CN17/CO17</f>
        <v>0</v>
      </c>
      <c r="CQ17" s="439"/>
      <c r="CR17" s="440"/>
      <c r="CS17" s="311">
        <v>1</v>
      </c>
      <c r="CT17" s="311">
        <f t="shared" si="6"/>
        <v>0</v>
      </c>
      <c r="CU17" s="442"/>
      <c r="CV17" s="5"/>
      <c r="CW17" s="5"/>
      <c r="CX17" s="5"/>
      <c r="CY17" s="5"/>
      <c r="CZ17" s="5"/>
      <c r="DA17" s="5"/>
      <c r="DB17" s="5"/>
      <c r="DC17" s="5"/>
      <c r="DD17" s="5"/>
      <c r="DE17" s="5"/>
      <c r="DF17" s="5"/>
      <c r="DG17" s="5"/>
      <c r="DH17" s="5"/>
      <c r="DI17" s="5"/>
      <c r="DJ17" s="5"/>
      <c r="DK17" s="5"/>
      <c r="DL17" s="5"/>
      <c r="DM17" s="5"/>
      <c r="DN17" s="5"/>
      <c r="DO17" s="5"/>
      <c r="DP17" s="5"/>
      <c r="DQ17" s="5"/>
      <c r="DR17" s="5"/>
      <c r="DS17" s="5"/>
      <c r="DT17" s="5"/>
      <c r="DU17" s="5"/>
      <c r="DV17" s="5"/>
      <c r="DW17" s="5"/>
      <c r="DX17" s="5"/>
      <c r="DY17" s="5"/>
      <c r="DZ17" s="5"/>
      <c r="EA17" s="5"/>
      <c r="EB17" s="5"/>
      <c r="EC17" s="5"/>
      <c r="ED17" s="5"/>
      <c r="EE17" s="5"/>
      <c r="EF17" s="5"/>
      <c r="EG17" s="5"/>
      <c r="EH17" s="5"/>
      <c r="EI17" s="5"/>
      <c r="EJ17" s="5"/>
      <c r="EK17" s="5"/>
      <c r="EL17" s="5"/>
      <c r="EM17" s="5"/>
      <c r="EN17" s="5"/>
      <c r="EO17" s="5"/>
    </row>
    <row r="18" spans="1:145" s="4" customFormat="1" ht="48" x14ac:dyDescent="0.2">
      <c r="A18" s="92" t="s">
        <v>428</v>
      </c>
      <c r="B18" s="92" t="s">
        <v>100</v>
      </c>
      <c r="C18" s="92" t="s">
        <v>99</v>
      </c>
      <c r="D18" s="94" t="s">
        <v>102</v>
      </c>
      <c r="E18" s="94" t="s">
        <v>45</v>
      </c>
      <c r="F18" s="429" t="s">
        <v>110</v>
      </c>
      <c r="G18" s="408" t="s">
        <v>115</v>
      </c>
      <c r="H18" s="408" t="s">
        <v>114</v>
      </c>
      <c r="I18" s="408" t="s">
        <v>116</v>
      </c>
      <c r="J18" s="202"/>
      <c r="K18" s="191"/>
      <c r="L18" s="94" t="s">
        <v>45</v>
      </c>
      <c r="M18" s="427"/>
      <c r="N18" s="223"/>
      <c r="O18" s="429" t="s">
        <v>501</v>
      </c>
      <c r="P18" s="429" t="s">
        <v>502</v>
      </c>
      <c r="Q18" s="491" t="s">
        <v>51</v>
      </c>
      <c r="R18" s="94">
        <v>0</v>
      </c>
      <c r="S18" s="484">
        <v>1</v>
      </c>
      <c r="T18" s="297"/>
      <c r="U18" s="9"/>
      <c r="V18" s="297"/>
      <c r="W18" s="7"/>
      <c r="X18" s="300"/>
      <c r="Y18" s="492"/>
      <c r="Z18" s="223"/>
      <c r="AA18" s="185"/>
      <c r="AB18" s="485">
        <v>0</v>
      </c>
      <c r="AC18" s="486">
        <f>S18</f>
        <v>1</v>
      </c>
      <c r="AD18" s="414"/>
      <c r="AE18" s="414"/>
      <c r="AF18" s="414"/>
      <c r="AG18" s="414"/>
      <c r="AH18" s="414"/>
      <c r="AI18" s="432"/>
      <c r="AJ18" s="487">
        <v>0</v>
      </c>
      <c r="AK18" s="484">
        <v>0.05</v>
      </c>
      <c r="AL18" s="304"/>
      <c r="AM18" s="448"/>
      <c r="AN18" s="435"/>
      <c r="AO18" s="7"/>
      <c r="AP18" s="7"/>
      <c r="AQ18" s="448"/>
      <c r="AR18" s="487"/>
      <c r="AS18" s="484">
        <v>1</v>
      </c>
      <c r="AT18" s="304">
        <f>AR18/AS18</f>
        <v>0</v>
      </c>
      <c r="AU18" s="448"/>
      <c r="AV18" s="435"/>
      <c r="AW18" s="304">
        <v>1</v>
      </c>
      <c r="AX18" s="304">
        <f t="shared" si="0"/>
        <v>0</v>
      </c>
      <c r="AY18" s="448"/>
      <c r="AZ18" s="487"/>
      <c r="BA18" s="484">
        <v>1</v>
      </c>
      <c r="BB18" s="304">
        <f>AZ18/BA18</f>
        <v>0</v>
      </c>
      <c r="BC18" s="448"/>
      <c r="BD18" s="435"/>
      <c r="BE18" s="304">
        <v>1</v>
      </c>
      <c r="BF18" s="304">
        <f t="shared" si="1"/>
        <v>0</v>
      </c>
      <c r="BG18" s="448"/>
      <c r="BH18" s="447"/>
      <c r="BI18" s="460">
        <v>1</v>
      </c>
      <c r="BJ18" s="453">
        <f>BH18/BI18</f>
        <v>0</v>
      </c>
      <c r="BK18" s="451"/>
      <c r="BL18" s="493"/>
      <c r="BM18" s="336">
        <v>1</v>
      </c>
      <c r="BN18" s="336">
        <f t="shared" si="2"/>
        <v>0</v>
      </c>
      <c r="BO18" s="419" t="s">
        <v>494</v>
      </c>
      <c r="BP18" s="447"/>
      <c r="BQ18" s="460">
        <v>1</v>
      </c>
      <c r="BR18" s="453">
        <f>BP18/BQ18</f>
        <v>0</v>
      </c>
      <c r="BS18" s="451"/>
      <c r="BT18" s="493"/>
      <c r="BU18" s="336">
        <v>1</v>
      </c>
      <c r="BV18" s="336">
        <f t="shared" si="3"/>
        <v>0</v>
      </c>
      <c r="BW18" s="419"/>
      <c r="BX18" s="447"/>
      <c r="BY18" s="460">
        <v>1</v>
      </c>
      <c r="BZ18" s="453">
        <f>BX18/BY18</f>
        <v>0</v>
      </c>
      <c r="CA18" s="451"/>
      <c r="CB18" s="493"/>
      <c r="CC18" s="336">
        <v>1</v>
      </c>
      <c r="CD18" s="336">
        <f t="shared" si="4"/>
        <v>0</v>
      </c>
      <c r="CE18" s="419"/>
      <c r="CF18" s="447"/>
      <c r="CG18" s="460">
        <v>1</v>
      </c>
      <c r="CH18" s="453">
        <f>CF18/CG18</f>
        <v>0</v>
      </c>
      <c r="CI18" s="451"/>
      <c r="CJ18" s="493"/>
      <c r="CK18" s="336">
        <v>1</v>
      </c>
      <c r="CL18" s="336">
        <f t="shared" si="5"/>
        <v>0</v>
      </c>
      <c r="CM18" s="419"/>
      <c r="CN18" s="447"/>
      <c r="CO18" s="460">
        <v>1</v>
      </c>
      <c r="CP18" s="336">
        <f>CN18/CO18</f>
        <v>0</v>
      </c>
      <c r="CQ18" s="451"/>
      <c r="CR18" s="493"/>
      <c r="CS18" s="336">
        <v>1</v>
      </c>
      <c r="CT18" s="336">
        <f t="shared" si="6"/>
        <v>0</v>
      </c>
      <c r="CU18" s="419"/>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row>
    <row r="19" spans="1:145" s="4" customFormat="1" ht="204" x14ac:dyDescent="0.25">
      <c r="A19" s="149" t="s">
        <v>428</v>
      </c>
      <c r="B19" s="149" t="s">
        <v>100</v>
      </c>
      <c r="C19" s="149" t="s">
        <v>99</v>
      </c>
      <c r="D19" s="186" t="s">
        <v>503</v>
      </c>
      <c r="E19" s="186" t="s">
        <v>45</v>
      </c>
      <c r="F19" s="141" t="s">
        <v>110</v>
      </c>
      <c r="G19" s="8" t="s">
        <v>115</v>
      </c>
      <c r="H19" s="19" t="s">
        <v>114</v>
      </c>
      <c r="I19" s="19" t="s">
        <v>116</v>
      </c>
      <c r="J19" s="186" t="s">
        <v>294</v>
      </c>
      <c r="K19" s="149" t="s">
        <v>504</v>
      </c>
      <c r="L19" s="186" t="s">
        <v>505</v>
      </c>
      <c r="M19" s="427"/>
      <c r="N19" s="186" t="s">
        <v>506</v>
      </c>
      <c r="O19" s="454" t="s">
        <v>507</v>
      </c>
      <c r="P19" s="141" t="s">
        <v>508</v>
      </c>
      <c r="Q19" s="454" t="s">
        <v>50</v>
      </c>
      <c r="R19" s="186">
        <v>0</v>
      </c>
      <c r="S19" s="186">
        <v>9</v>
      </c>
      <c r="T19" s="305" t="s">
        <v>509</v>
      </c>
      <c r="U19" s="8" t="s">
        <v>510</v>
      </c>
      <c r="V19" s="305" t="s">
        <v>50</v>
      </c>
      <c r="W19" s="6">
        <v>0</v>
      </c>
      <c r="X19" s="6">
        <v>11</v>
      </c>
      <c r="Y19" s="409">
        <v>2961926222</v>
      </c>
      <c r="Z19" s="223"/>
      <c r="AA19" s="185"/>
      <c r="AB19" s="414">
        <v>0</v>
      </c>
      <c r="AC19" s="494">
        <v>4</v>
      </c>
      <c r="AD19" s="494">
        <f>+AB19/AC19</f>
        <v>0</v>
      </c>
      <c r="AE19" s="495" t="s">
        <v>511</v>
      </c>
      <c r="AF19" s="494">
        <v>0</v>
      </c>
      <c r="AG19" s="494">
        <v>4</v>
      </c>
      <c r="AH19" s="494">
        <v>0</v>
      </c>
      <c r="AI19" s="496" t="s">
        <v>512</v>
      </c>
      <c r="AJ19" s="440">
        <v>0</v>
      </c>
      <c r="AK19" s="6">
        <v>4</v>
      </c>
      <c r="AL19" s="497">
        <f>+AJ19/AK19</f>
        <v>0</v>
      </c>
      <c r="AM19" s="498"/>
      <c r="AN19" s="440">
        <v>0</v>
      </c>
      <c r="AO19" s="6">
        <v>4</v>
      </c>
      <c r="AP19" s="6">
        <f>+AN19/AO19</f>
        <v>0</v>
      </c>
      <c r="AQ19" s="498" t="s">
        <v>513</v>
      </c>
      <c r="AR19" s="499"/>
      <c r="AS19" s="186">
        <v>9</v>
      </c>
      <c r="AT19" s="457">
        <v>0.34</v>
      </c>
      <c r="AU19" s="141" t="s">
        <v>514</v>
      </c>
      <c r="AV19" s="440"/>
      <c r="AW19" s="6">
        <v>11</v>
      </c>
      <c r="AX19" s="311">
        <v>0.05</v>
      </c>
      <c r="AY19" s="498" t="s">
        <v>515</v>
      </c>
      <c r="AZ19" s="499">
        <v>0</v>
      </c>
      <c r="BA19" s="186">
        <v>9</v>
      </c>
      <c r="BB19" s="457">
        <v>0.38</v>
      </c>
      <c r="BC19" s="141" t="s">
        <v>516</v>
      </c>
      <c r="BD19" s="440">
        <v>1</v>
      </c>
      <c r="BE19" s="6">
        <v>11</v>
      </c>
      <c r="BF19" s="500">
        <v>0.24399999999999999</v>
      </c>
      <c r="BG19" s="501" t="s">
        <v>517</v>
      </c>
      <c r="BH19" s="170">
        <v>0</v>
      </c>
      <c r="BI19" s="170">
        <v>9</v>
      </c>
      <c r="BJ19" s="502">
        <v>0.43</v>
      </c>
      <c r="BK19" s="503" t="s">
        <v>518</v>
      </c>
      <c r="BL19" s="99"/>
      <c r="BM19" s="99">
        <v>11</v>
      </c>
      <c r="BN19" s="21"/>
      <c r="BO19" s="30" t="s">
        <v>519</v>
      </c>
      <c r="BP19" s="170">
        <v>0</v>
      </c>
      <c r="BQ19" s="170">
        <v>9</v>
      </c>
      <c r="BR19" s="502">
        <v>0.47</v>
      </c>
      <c r="BS19" s="503" t="s">
        <v>520</v>
      </c>
      <c r="BT19" s="51">
        <v>1</v>
      </c>
      <c r="BU19" s="51">
        <v>11</v>
      </c>
      <c r="BV19" s="52">
        <v>0.45</v>
      </c>
      <c r="BW19" s="504" t="s">
        <v>521</v>
      </c>
      <c r="BX19" s="505">
        <v>49</v>
      </c>
      <c r="BY19" s="506">
        <v>1</v>
      </c>
      <c r="BZ19" s="507">
        <f>+BX19/BY19</f>
        <v>49</v>
      </c>
      <c r="CA19" s="508" t="s">
        <v>522</v>
      </c>
      <c r="CB19" s="51">
        <v>1</v>
      </c>
      <c r="CC19" s="51">
        <v>11</v>
      </c>
      <c r="CD19" s="52"/>
      <c r="CE19" s="504" t="s">
        <v>523</v>
      </c>
      <c r="CF19" s="505">
        <v>0</v>
      </c>
      <c r="CG19" s="507">
        <v>9</v>
      </c>
      <c r="CH19" s="507">
        <v>60</v>
      </c>
      <c r="CI19" s="508" t="s">
        <v>524</v>
      </c>
      <c r="CJ19" s="51">
        <v>1</v>
      </c>
      <c r="CK19" s="51">
        <v>11</v>
      </c>
      <c r="CL19" s="52"/>
      <c r="CM19" s="504" t="s">
        <v>525</v>
      </c>
      <c r="CN19" s="505">
        <v>64</v>
      </c>
      <c r="CO19" s="509">
        <v>1</v>
      </c>
      <c r="CP19" s="507">
        <f>+CN19/CO19</f>
        <v>64</v>
      </c>
      <c r="CQ19" s="508" t="s">
        <v>526</v>
      </c>
      <c r="CR19" s="51">
        <v>77</v>
      </c>
      <c r="CS19" s="51">
        <v>100</v>
      </c>
      <c r="CT19" s="52">
        <f>+CR19/CS19</f>
        <v>0.77</v>
      </c>
      <c r="CU19" s="504" t="s">
        <v>527</v>
      </c>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row>
    <row r="20" spans="1:145" s="3" customFormat="1" ht="384" x14ac:dyDescent="0.25">
      <c r="A20" s="188"/>
      <c r="B20" s="150"/>
      <c r="C20" s="150"/>
      <c r="D20" s="188"/>
      <c r="E20" s="188"/>
      <c r="F20" s="142"/>
      <c r="G20" s="8" t="s">
        <v>115</v>
      </c>
      <c r="H20" s="19" t="s">
        <v>114</v>
      </c>
      <c r="I20" s="19" t="s">
        <v>116</v>
      </c>
      <c r="J20" s="187"/>
      <c r="K20" s="185"/>
      <c r="L20" s="187"/>
      <c r="M20" s="427"/>
      <c r="N20" s="187"/>
      <c r="O20" s="323"/>
      <c r="P20" s="142"/>
      <c r="Q20" s="323"/>
      <c r="R20" s="188"/>
      <c r="S20" s="188"/>
      <c r="T20" s="305" t="s">
        <v>528</v>
      </c>
      <c r="U20" s="8" t="s">
        <v>529</v>
      </c>
      <c r="V20" s="305" t="s">
        <v>50</v>
      </c>
      <c r="W20" s="6">
        <v>0</v>
      </c>
      <c r="X20" s="6">
        <v>8</v>
      </c>
      <c r="Y20" s="430"/>
      <c r="Z20" s="223"/>
      <c r="AA20" s="185"/>
      <c r="AB20" s="414"/>
      <c r="AC20" s="494"/>
      <c r="AD20" s="494"/>
      <c r="AE20" s="494"/>
      <c r="AF20" s="494">
        <v>0</v>
      </c>
      <c r="AG20" s="494">
        <v>8</v>
      </c>
      <c r="AH20" s="494"/>
      <c r="AI20" s="510"/>
      <c r="AJ20" s="440"/>
      <c r="AK20" s="305"/>
      <c r="AL20" s="497"/>
      <c r="AM20" s="511"/>
      <c r="AN20" s="440">
        <v>0</v>
      </c>
      <c r="AO20" s="6">
        <v>8</v>
      </c>
      <c r="AP20" s="6"/>
      <c r="AQ20" s="511"/>
      <c r="AR20" s="512"/>
      <c r="AS20" s="188"/>
      <c r="AT20" s="470"/>
      <c r="AU20" s="323"/>
      <c r="AV20" s="440">
        <v>1</v>
      </c>
      <c r="AW20" s="6">
        <v>8</v>
      </c>
      <c r="AX20" s="311">
        <v>0.75</v>
      </c>
      <c r="AY20" s="498" t="s">
        <v>530</v>
      </c>
      <c r="AZ20" s="512"/>
      <c r="BA20" s="188"/>
      <c r="BB20" s="470"/>
      <c r="BC20" s="323"/>
      <c r="BD20" s="440">
        <v>1</v>
      </c>
      <c r="BE20" s="6">
        <v>8</v>
      </c>
      <c r="BF20" s="311">
        <v>0.9</v>
      </c>
      <c r="BG20" s="513" t="s">
        <v>531</v>
      </c>
      <c r="BH20" s="170"/>
      <c r="BI20" s="170"/>
      <c r="BJ20" s="502"/>
      <c r="BK20" s="514"/>
      <c r="BL20" s="99">
        <v>3</v>
      </c>
      <c r="BM20" s="99">
        <v>8</v>
      </c>
      <c r="BN20" s="21">
        <v>0.97499999999999998</v>
      </c>
      <c r="BO20" s="513" t="s">
        <v>532</v>
      </c>
      <c r="BP20" s="170"/>
      <c r="BQ20" s="170"/>
      <c r="BR20" s="502"/>
      <c r="BS20" s="514"/>
      <c r="BT20" s="99">
        <v>5</v>
      </c>
      <c r="BU20" s="99">
        <v>8</v>
      </c>
      <c r="BV20" s="21">
        <f>+BT20/BU20</f>
        <v>0.625</v>
      </c>
      <c r="BW20" s="513" t="s">
        <v>533</v>
      </c>
      <c r="BX20" s="515"/>
      <c r="BY20" s="516"/>
      <c r="BZ20" s="507"/>
      <c r="CA20" s="517"/>
      <c r="CB20" s="51">
        <v>6</v>
      </c>
      <c r="CC20" s="51">
        <v>8</v>
      </c>
      <c r="CD20" s="52">
        <f>+CB20/CC20</f>
        <v>0.75</v>
      </c>
      <c r="CE20" s="518" t="s">
        <v>534</v>
      </c>
      <c r="CF20" s="515"/>
      <c r="CG20" s="507"/>
      <c r="CH20" s="507"/>
      <c r="CI20" s="517"/>
      <c r="CJ20" s="51">
        <v>6</v>
      </c>
      <c r="CK20" s="51">
        <v>8</v>
      </c>
      <c r="CL20" s="52">
        <f>+CJ20/CK20</f>
        <v>0.75</v>
      </c>
      <c r="CM20" s="518" t="s">
        <v>535</v>
      </c>
      <c r="CN20" s="515"/>
      <c r="CO20" s="507"/>
      <c r="CP20" s="507"/>
      <c r="CQ20" s="517"/>
      <c r="CR20" s="51">
        <v>7</v>
      </c>
      <c r="CS20" s="51">
        <v>8</v>
      </c>
      <c r="CT20" s="52">
        <f>+CR20/CS20</f>
        <v>0.875</v>
      </c>
      <c r="CU20" s="518" t="s">
        <v>536</v>
      </c>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row>
    <row r="21" spans="1:145" s="4" customFormat="1" ht="276" x14ac:dyDescent="0.25">
      <c r="A21" s="92" t="s">
        <v>428</v>
      </c>
      <c r="B21" s="92" t="s">
        <v>100</v>
      </c>
      <c r="C21" s="92" t="s">
        <v>99</v>
      </c>
      <c r="D21" s="94" t="s">
        <v>503</v>
      </c>
      <c r="E21" s="94" t="s">
        <v>45</v>
      </c>
      <c r="F21" s="429" t="s">
        <v>110</v>
      </c>
      <c r="G21" s="429" t="s">
        <v>537</v>
      </c>
      <c r="H21" s="429" t="s">
        <v>538</v>
      </c>
      <c r="I21" s="429" t="s">
        <v>539</v>
      </c>
      <c r="J21" s="187"/>
      <c r="K21" s="185"/>
      <c r="L21" s="187"/>
      <c r="M21" s="427"/>
      <c r="N21" s="187"/>
      <c r="O21" s="483" t="s">
        <v>540</v>
      </c>
      <c r="P21" s="429" t="s">
        <v>541</v>
      </c>
      <c r="Q21" s="483" t="s">
        <v>50</v>
      </c>
      <c r="R21" s="94">
        <v>0</v>
      </c>
      <c r="S21" s="94">
        <v>17</v>
      </c>
      <c r="T21" s="483"/>
      <c r="U21" s="429"/>
      <c r="V21" s="483"/>
      <c r="W21" s="94"/>
      <c r="X21" s="94"/>
      <c r="Y21" s="430"/>
      <c r="Z21" s="223"/>
      <c r="AA21" s="185"/>
      <c r="AB21" s="485">
        <v>0</v>
      </c>
      <c r="AC21" s="485">
        <v>17</v>
      </c>
      <c r="AD21" s="519"/>
      <c r="AE21" s="519"/>
      <c r="AF21" s="519"/>
      <c r="AG21" s="519"/>
      <c r="AH21" s="519"/>
      <c r="AI21" s="520"/>
      <c r="AJ21" s="487">
        <v>0</v>
      </c>
      <c r="AK21" s="94">
        <v>17</v>
      </c>
      <c r="AL21" s="521"/>
      <c r="AM21" s="522" t="s">
        <v>542</v>
      </c>
      <c r="AN21" s="523"/>
      <c r="AO21" s="483"/>
      <c r="AP21" s="483"/>
      <c r="AQ21" s="524"/>
      <c r="AR21" s="487">
        <v>0</v>
      </c>
      <c r="AS21" s="94">
        <v>17</v>
      </c>
      <c r="AT21" s="521">
        <v>0.11</v>
      </c>
      <c r="AU21" s="522" t="s">
        <v>543</v>
      </c>
      <c r="AV21" s="523"/>
      <c r="AW21" s="483"/>
      <c r="AX21" s="483"/>
      <c r="AY21" s="524"/>
      <c r="AZ21" s="487">
        <v>0</v>
      </c>
      <c r="BA21" s="94">
        <v>17</v>
      </c>
      <c r="BB21" s="521">
        <v>0.14000000000000001</v>
      </c>
      <c r="BC21" s="522" t="s">
        <v>544</v>
      </c>
      <c r="BD21" s="523"/>
      <c r="BE21" s="483"/>
      <c r="BF21" s="483"/>
      <c r="BG21" s="524"/>
      <c r="BH21" s="487">
        <v>0</v>
      </c>
      <c r="BI21" s="94">
        <v>17</v>
      </c>
      <c r="BJ21" s="521">
        <v>0.25</v>
      </c>
      <c r="BK21" s="522" t="s">
        <v>545</v>
      </c>
      <c r="BL21" s="523"/>
      <c r="BM21" s="483"/>
      <c r="BN21" s="483"/>
      <c r="BO21" s="524"/>
      <c r="BP21" s="487">
        <v>0</v>
      </c>
      <c r="BQ21" s="94">
        <v>17</v>
      </c>
      <c r="BR21" s="484">
        <v>0.41</v>
      </c>
      <c r="BS21" s="522" t="s">
        <v>546</v>
      </c>
      <c r="BT21" s="523"/>
      <c r="BU21" s="483"/>
      <c r="BV21" s="483"/>
      <c r="BW21" s="522"/>
      <c r="BX21" s="487">
        <v>2</v>
      </c>
      <c r="BY21" s="94">
        <v>17</v>
      </c>
      <c r="BZ21" s="484">
        <f>+BX21/BY21</f>
        <v>0.11764705882352941</v>
      </c>
      <c r="CA21" s="522" t="s">
        <v>547</v>
      </c>
      <c r="CB21" s="523"/>
      <c r="CC21" s="483"/>
      <c r="CD21" s="483"/>
      <c r="CE21" s="522"/>
      <c r="CF21" s="487">
        <v>2</v>
      </c>
      <c r="CG21" s="94">
        <v>17</v>
      </c>
      <c r="CH21" s="484">
        <f>+CF21/CG21</f>
        <v>0.11764705882352941</v>
      </c>
      <c r="CI21" s="522" t="s">
        <v>548</v>
      </c>
      <c r="CJ21" s="523"/>
      <c r="CK21" s="483"/>
      <c r="CL21" s="483"/>
      <c r="CM21" s="522"/>
      <c r="CN21" s="487">
        <v>62</v>
      </c>
      <c r="CO21" s="94">
        <v>100</v>
      </c>
      <c r="CP21" s="484">
        <f>+CN21/CO21</f>
        <v>0.62</v>
      </c>
      <c r="CQ21" s="522" t="s">
        <v>549</v>
      </c>
      <c r="CR21" s="523"/>
      <c r="CS21" s="483"/>
      <c r="CT21" s="483"/>
      <c r="CU21" s="522"/>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row>
    <row r="22" spans="1:145" s="3" customFormat="1" ht="144" x14ac:dyDescent="0.2">
      <c r="A22" s="88" t="s">
        <v>428</v>
      </c>
      <c r="B22" s="88" t="s">
        <v>100</v>
      </c>
      <c r="C22" s="88" t="s">
        <v>99</v>
      </c>
      <c r="D22" s="95" t="s">
        <v>503</v>
      </c>
      <c r="E22" s="95" t="s">
        <v>45</v>
      </c>
      <c r="F22" s="455" t="s">
        <v>110</v>
      </c>
      <c r="G22" s="8" t="s">
        <v>115</v>
      </c>
      <c r="H22" s="19" t="s">
        <v>114</v>
      </c>
      <c r="I22" s="19" t="s">
        <v>116</v>
      </c>
      <c r="J22" s="188"/>
      <c r="K22" s="150"/>
      <c r="L22" s="188"/>
      <c r="M22" s="427"/>
      <c r="N22" s="188"/>
      <c r="O22" s="488" t="s">
        <v>550</v>
      </c>
      <c r="P22" s="455" t="s">
        <v>551</v>
      </c>
      <c r="Q22" s="488" t="s">
        <v>51</v>
      </c>
      <c r="R22" s="95">
        <v>71.400000000000006</v>
      </c>
      <c r="S22" s="482">
        <v>0.2</v>
      </c>
      <c r="T22" s="455" t="s">
        <v>552</v>
      </c>
      <c r="U22" s="455" t="s">
        <v>553</v>
      </c>
      <c r="V22" s="488" t="s">
        <v>51</v>
      </c>
      <c r="W22" s="488">
        <v>0</v>
      </c>
      <c r="X22" s="482">
        <v>0.2</v>
      </c>
      <c r="Y22" s="492"/>
      <c r="Z22" s="223"/>
      <c r="AA22" s="185"/>
      <c r="AB22" s="411"/>
      <c r="AC22" s="525">
        <v>0.2</v>
      </c>
      <c r="AD22" s="526"/>
      <c r="AE22" s="527" t="s">
        <v>554</v>
      </c>
      <c r="AF22" s="526"/>
      <c r="AG22" s="525">
        <v>0.2</v>
      </c>
      <c r="AH22" s="526"/>
      <c r="AI22" s="528" t="s">
        <v>554</v>
      </c>
      <c r="AJ22" s="490"/>
      <c r="AK22" s="529">
        <v>0.2</v>
      </c>
      <c r="AL22" s="530"/>
      <c r="AM22" s="531" t="s">
        <v>555</v>
      </c>
      <c r="AN22" s="532"/>
      <c r="AO22" s="529">
        <v>0.2</v>
      </c>
      <c r="AP22" s="488"/>
      <c r="AQ22" s="531" t="s">
        <v>555</v>
      </c>
      <c r="AR22" s="490"/>
      <c r="AS22" s="533">
        <v>0.2</v>
      </c>
      <c r="AT22" s="530"/>
      <c r="AU22" s="534" t="s">
        <v>556</v>
      </c>
      <c r="AV22" s="532"/>
      <c r="AW22" s="533">
        <v>0.2</v>
      </c>
      <c r="AX22" s="488"/>
      <c r="AY22" s="534" t="s">
        <v>556</v>
      </c>
      <c r="AZ22" s="490"/>
      <c r="BA22" s="533">
        <v>0.2</v>
      </c>
      <c r="BB22" s="530"/>
      <c r="BC22" s="534" t="s">
        <v>557</v>
      </c>
      <c r="BD22" s="532"/>
      <c r="BE22" s="533">
        <v>0.2</v>
      </c>
      <c r="BF22" s="488"/>
      <c r="BG22" s="534" t="s">
        <v>557</v>
      </c>
      <c r="BH22" s="490">
        <v>0</v>
      </c>
      <c r="BI22" s="533">
        <v>0.2</v>
      </c>
      <c r="BJ22" s="535"/>
      <c r="BK22" s="534" t="s">
        <v>558</v>
      </c>
      <c r="BL22" s="532">
        <v>0</v>
      </c>
      <c r="BM22" s="533">
        <v>0.2</v>
      </c>
      <c r="BN22" s="488"/>
      <c r="BO22" s="534" t="s">
        <v>559</v>
      </c>
      <c r="BP22" s="536">
        <v>0</v>
      </c>
      <c r="BQ22" s="537">
        <v>0.2</v>
      </c>
      <c r="BR22" s="538">
        <v>0</v>
      </c>
      <c r="BS22" s="539"/>
      <c r="BT22" s="536">
        <v>0</v>
      </c>
      <c r="BU22" s="537">
        <v>0.2</v>
      </c>
      <c r="BV22" s="537">
        <v>0</v>
      </c>
      <c r="BW22" s="539"/>
      <c r="BX22" s="536"/>
      <c r="BY22" s="537">
        <v>0.2</v>
      </c>
      <c r="BZ22" s="538">
        <v>0</v>
      </c>
      <c r="CA22" s="539"/>
      <c r="CB22" s="536"/>
      <c r="CC22" s="537">
        <v>0.2</v>
      </c>
      <c r="CD22" s="537">
        <v>0</v>
      </c>
      <c r="CE22" s="539"/>
      <c r="CF22" s="536"/>
      <c r="CG22" s="537">
        <v>0.2</v>
      </c>
      <c r="CH22" s="538">
        <v>0</v>
      </c>
      <c r="CI22" s="539" t="s">
        <v>560</v>
      </c>
      <c r="CJ22" s="536"/>
      <c r="CK22" s="537">
        <v>0.2</v>
      </c>
      <c r="CL22" s="537">
        <v>0</v>
      </c>
      <c r="CM22" s="539" t="s">
        <v>560</v>
      </c>
      <c r="CN22" s="540">
        <v>0.15</v>
      </c>
      <c r="CO22" s="541">
        <v>0.2</v>
      </c>
      <c r="CP22" s="542">
        <v>0.15</v>
      </c>
      <c r="CQ22" s="543" t="s">
        <v>561</v>
      </c>
      <c r="CR22" s="536"/>
      <c r="CS22" s="537"/>
      <c r="CT22" s="537"/>
      <c r="CU22" s="539"/>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row>
    <row r="23" spans="1:145" s="3" customFormat="1" ht="60" x14ac:dyDescent="0.2">
      <c r="A23" s="10" t="s">
        <v>428</v>
      </c>
      <c r="B23" s="10" t="s">
        <v>100</v>
      </c>
      <c r="C23" s="10" t="s">
        <v>99</v>
      </c>
      <c r="D23" s="10" t="s">
        <v>104</v>
      </c>
      <c r="E23" s="10" t="s">
        <v>103</v>
      </c>
      <c r="F23" s="9" t="s">
        <v>562</v>
      </c>
      <c r="G23" s="297" t="s">
        <v>315</v>
      </c>
      <c r="H23" s="9" t="s">
        <v>316</v>
      </c>
      <c r="I23" s="9" t="s">
        <v>317</v>
      </c>
      <c r="J23" s="201" t="s">
        <v>294</v>
      </c>
      <c r="K23" s="190" t="s">
        <v>563</v>
      </c>
      <c r="L23" s="190" t="s">
        <v>564</v>
      </c>
      <c r="M23" s="427"/>
      <c r="N23" s="201" t="s">
        <v>565</v>
      </c>
      <c r="O23" s="297" t="s">
        <v>566</v>
      </c>
      <c r="P23" s="9" t="s">
        <v>567</v>
      </c>
      <c r="Q23" s="297" t="s">
        <v>51</v>
      </c>
      <c r="R23" s="7">
        <v>0</v>
      </c>
      <c r="S23" s="304">
        <v>0.9</v>
      </c>
      <c r="T23" s="297"/>
      <c r="U23" s="9"/>
      <c r="V23" s="297"/>
      <c r="W23" s="7"/>
      <c r="X23" s="7"/>
      <c r="Y23" s="409">
        <v>2117822134</v>
      </c>
      <c r="Z23" s="223"/>
      <c r="AA23" s="185"/>
      <c r="AB23" s="414">
        <v>0</v>
      </c>
      <c r="AC23" s="544">
        <v>0.9</v>
      </c>
      <c r="AD23" s="494"/>
      <c r="AE23" s="495" t="s">
        <v>568</v>
      </c>
      <c r="AF23" s="494"/>
      <c r="AG23" s="494"/>
      <c r="AH23" s="494"/>
      <c r="AI23" s="496"/>
      <c r="AJ23" s="545">
        <v>0.91</v>
      </c>
      <c r="AK23" s="300">
        <v>0.9</v>
      </c>
      <c r="AL23" s="304">
        <f>AJ23</f>
        <v>0.91</v>
      </c>
      <c r="AM23" s="546" t="s">
        <v>569</v>
      </c>
      <c r="AN23" s="547"/>
      <c r="AO23" s="297"/>
      <c r="AP23" s="297"/>
      <c r="AQ23" s="546"/>
      <c r="AR23" s="545"/>
      <c r="AS23" s="300">
        <v>0.9</v>
      </c>
      <c r="AT23" s="304"/>
      <c r="AU23" s="546" t="s">
        <v>570</v>
      </c>
      <c r="AV23" s="547"/>
      <c r="AW23" s="297"/>
      <c r="AX23" s="297"/>
      <c r="AY23" s="546"/>
      <c r="AZ23" s="545">
        <v>0.92</v>
      </c>
      <c r="BA23" s="300">
        <v>0.9</v>
      </c>
      <c r="BB23" s="304"/>
      <c r="BC23" s="546" t="s">
        <v>571</v>
      </c>
      <c r="BD23" s="547"/>
      <c r="BE23" s="297"/>
      <c r="BF23" s="297"/>
      <c r="BG23" s="546"/>
      <c r="BH23" s="545"/>
      <c r="BI23" s="300">
        <v>0.9</v>
      </c>
      <c r="BJ23" s="449"/>
      <c r="BK23" s="546" t="s">
        <v>572</v>
      </c>
      <c r="BL23" s="547"/>
      <c r="BM23" s="297"/>
      <c r="BN23" s="297"/>
      <c r="BO23" s="546"/>
      <c r="BP23" s="545">
        <v>0.92920000000000003</v>
      </c>
      <c r="BQ23" s="300">
        <v>0.9</v>
      </c>
      <c r="BR23" s="449">
        <f>+BP23/BQ23</f>
        <v>1.0324444444444445</v>
      </c>
      <c r="BS23" s="9" t="s">
        <v>573</v>
      </c>
      <c r="BT23" s="547"/>
      <c r="BU23" s="297"/>
      <c r="BV23" s="297"/>
      <c r="BW23" s="546"/>
      <c r="BX23" s="545">
        <v>0.93</v>
      </c>
      <c r="BY23" s="300">
        <v>0.9</v>
      </c>
      <c r="BZ23" s="449">
        <f>+BX23/BY23</f>
        <v>1.0333333333333334</v>
      </c>
      <c r="CA23" s="9" t="s">
        <v>574</v>
      </c>
      <c r="CB23" s="547"/>
      <c r="CC23" s="297"/>
      <c r="CD23" s="297"/>
      <c r="CE23" s="546"/>
      <c r="CF23" s="548">
        <v>0.9335</v>
      </c>
      <c r="CG23" s="549">
        <v>0.9</v>
      </c>
      <c r="CH23" s="550">
        <f>+CF23/CG23</f>
        <v>1.0372222222222223</v>
      </c>
      <c r="CI23" s="551" t="s">
        <v>575</v>
      </c>
      <c r="CJ23" s="547"/>
      <c r="CK23" s="297"/>
      <c r="CL23" s="297"/>
      <c r="CM23" s="546"/>
      <c r="CN23" s="548">
        <v>0.9335</v>
      </c>
      <c r="CO23" s="549">
        <v>0.9</v>
      </c>
      <c r="CP23" s="317">
        <f>+CN23/CO23</f>
        <v>1.0372222222222223</v>
      </c>
      <c r="CQ23" s="551" t="s">
        <v>575</v>
      </c>
      <c r="CR23" s="547"/>
      <c r="CS23" s="297"/>
      <c r="CT23" s="297"/>
      <c r="CU23" s="546"/>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row>
    <row r="24" spans="1:145" s="4" customFormat="1" ht="96" x14ac:dyDescent="0.25">
      <c r="A24" s="330" t="s">
        <v>428</v>
      </c>
      <c r="B24" s="330" t="s">
        <v>100</v>
      </c>
      <c r="C24" s="330" t="s">
        <v>99</v>
      </c>
      <c r="D24" s="330" t="s">
        <v>104</v>
      </c>
      <c r="E24" s="330" t="s">
        <v>103</v>
      </c>
      <c r="F24" s="8" t="s">
        <v>562</v>
      </c>
      <c r="G24" s="305"/>
      <c r="H24" s="8"/>
      <c r="I24" s="8"/>
      <c r="J24" s="223"/>
      <c r="K24" s="222"/>
      <c r="L24" s="222"/>
      <c r="M24" s="427"/>
      <c r="N24" s="223"/>
      <c r="O24" s="8" t="s">
        <v>576</v>
      </c>
      <c r="P24" s="8" t="s">
        <v>577</v>
      </c>
      <c r="Q24" s="305" t="s">
        <v>50</v>
      </c>
      <c r="R24" s="6">
        <v>0</v>
      </c>
      <c r="S24" s="6">
        <v>400</v>
      </c>
      <c r="T24" s="305"/>
      <c r="U24" s="8"/>
      <c r="V24" s="305"/>
      <c r="W24" s="6"/>
      <c r="X24" s="6"/>
      <c r="Y24" s="430"/>
      <c r="Z24" s="223"/>
      <c r="AA24" s="185"/>
      <c r="AB24" s="414">
        <v>29</v>
      </c>
      <c r="AC24" s="494">
        <v>400</v>
      </c>
      <c r="AD24" s="494">
        <f>+(AB24*100)/AC24</f>
        <v>7.25</v>
      </c>
      <c r="AE24" s="495" t="s">
        <v>578</v>
      </c>
      <c r="AF24" s="494"/>
      <c r="AG24" s="494"/>
      <c r="AH24" s="494"/>
      <c r="AI24" s="496"/>
      <c r="AJ24" s="440">
        <v>72</v>
      </c>
      <c r="AK24" s="6">
        <v>400</v>
      </c>
      <c r="AL24" s="311">
        <f>AJ24/AK24</f>
        <v>0.18</v>
      </c>
      <c r="AM24" s="498" t="s">
        <v>579</v>
      </c>
      <c r="AN24" s="552"/>
      <c r="AO24" s="305"/>
      <c r="AP24" s="305"/>
      <c r="AQ24" s="498"/>
      <c r="AR24" s="440">
        <v>96</v>
      </c>
      <c r="AS24" s="6">
        <v>400</v>
      </c>
      <c r="AT24" s="311">
        <f>AR24/AS24</f>
        <v>0.24</v>
      </c>
      <c r="AU24" s="498" t="s">
        <v>580</v>
      </c>
      <c r="AV24" s="552"/>
      <c r="AW24" s="305"/>
      <c r="AX24" s="305"/>
      <c r="AY24" s="498"/>
      <c r="AZ24" s="440">
        <v>121</v>
      </c>
      <c r="BA24" s="6">
        <v>400</v>
      </c>
      <c r="BB24" s="311">
        <f>AZ24/BA24</f>
        <v>0.30249999999999999</v>
      </c>
      <c r="BC24" s="553" t="s">
        <v>581</v>
      </c>
      <c r="BD24" s="552"/>
      <c r="BE24" s="305"/>
      <c r="BF24" s="305"/>
      <c r="BG24" s="498"/>
      <c r="BH24" s="554">
        <v>139</v>
      </c>
      <c r="BI24" s="8">
        <v>400</v>
      </c>
      <c r="BJ24" s="555">
        <f>BH24/BI24</f>
        <v>0.34749999999999998</v>
      </c>
      <c r="BK24" s="553" t="s">
        <v>582</v>
      </c>
      <c r="BL24" s="552"/>
      <c r="BM24" s="305"/>
      <c r="BN24" s="305"/>
      <c r="BO24" s="498"/>
      <c r="BP24" s="556">
        <v>168</v>
      </c>
      <c r="BQ24" s="8">
        <v>400</v>
      </c>
      <c r="BR24" s="557">
        <f>BP24/BQ24</f>
        <v>0.42</v>
      </c>
      <c r="BS24" s="553" t="s">
        <v>583</v>
      </c>
      <c r="BT24" s="552"/>
      <c r="BU24" s="305"/>
      <c r="BV24" s="305"/>
      <c r="BW24" s="498"/>
      <c r="BX24" s="556">
        <v>201</v>
      </c>
      <c r="BY24" s="8">
        <v>400</v>
      </c>
      <c r="BZ24" s="557">
        <f>BX24/BY24</f>
        <v>0.50249999999999995</v>
      </c>
      <c r="CA24" s="553" t="s">
        <v>584</v>
      </c>
      <c r="CB24" s="552"/>
      <c r="CC24" s="305"/>
      <c r="CD24" s="305"/>
      <c r="CE24" s="498"/>
      <c r="CF24" s="556">
        <v>239</v>
      </c>
      <c r="CG24" s="553">
        <v>400</v>
      </c>
      <c r="CH24" s="558">
        <f>CF24/CG24</f>
        <v>0.59750000000000003</v>
      </c>
      <c r="CI24" s="553" t="s">
        <v>585</v>
      </c>
      <c r="CJ24" s="552"/>
      <c r="CK24" s="305"/>
      <c r="CL24" s="305"/>
      <c r="CM24" s="498"/>
      <c r="CN24" s="556">
        <v>257</v>
      </c>
      <c r="CO24" s="559">
        <v>400</v>
      </c>
      <c r="CP24" s="558">
        <f>CN24/CO24</f>
        <v>0.64249999999999996</v>
      </c>
      <c r="CQ24" s="553" t="s">
        <v>586</v>
      </c>
      <c r="CR24" s="552"/>
      <c r="CS24" s="305"/>
      <c r="CT24" s="305"/>
      <c r="CU24" s="498"/>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row>
    <row r="25" spans="1:145" s="3" customFormat="1" ht="48" x14ac:dyDescent="0.25">
      <c r="A25" s="10" t="s">
        <v>428</v>
      </c>
      <c r="B25" s="10" t="s">
        <v>100</v>
      </c>
      <c r="C25" s="10" t="s">
        <v>99</v>
      </c>
      <c r="D25" s="10" t="s">
        <v>104</v>
      </c>
      <c r="E25" s="10" t="s">
        <v>103</v>
      </c>
      <c r="F25" s="9" t="s">
        <v>562</v>
      </c>
      <c r="G25" s="9"/>
      <c r="H25" s="9"/>
      <c r="I25" s="9"/>
      <c r="J25" s="202"/>
      <c r="K25" s="191"/>
      <c r="L25" s="191"/>
      <c r="M25" s="427"/>
      <c r="N25" s="202"/>
      <c r="O25" s="9" t="s">
        <v>587</v>
      </c>
      <c r="P25" s="9" t="s">
        <v>577</v>
      </c>
      <c r="Q25" s="297" t="s">
        <v>50</v>
      </c>
      <c r="R25" s="7">
        <v>0</v>
      </c>
      <c r="S25" s="7">
        <v>2800</v>
      </c>
      <c r="T25" s="297"/>
      <c r="U25" s="9"/>
      <c r="V25" s="297"/>
      <c r="W25" s="7"/>
      <c r="X25" s="7"/>
      <c r="Y25" s="492"/>
      <c r="Z25" s="223"/>
      <c r="AA25" s="185"/>
      <c r="AB25" s="414">
        <v>22</v>
      </c>
      <c r="AC25" s="494">
        <v>2800</v>
      </c>
      <c r="AD25" s="560">
        <f>+AB25/AC25</f>
        <v>7.8571428571428577E-3</v>
      </c>
      <c r="AE25" s="495" t="s">
        <v>588</v>
      </c>
      <c r="AF25" s="494"/>
      <c r="AG25" s="494"/>
      <c r="AH25" s="494"/>
      <c r="AI25" s="510"/>
      <c r="AJ25" s="435">
        <v>161</v>
      </c>
      <c r="AK25" s="7">
        <v>2800</v>
      </c>
      <c r="AL25" s="304">
        <f>AJ25/AK25</f>
        <v>5.7500000000000002E-2</v>
      </c>
      <c r="AM25" s="546" t="s">
        <v>589</v>
      </c>
      <c r="AN25" s="547"/>
      <c r="AO25" s="297"/>
      <c r="AP25" s="297"/>
      <c r="AQ25" s="561"/>
      <c r="AR25" s="435">
        <v>272</v>
      </c>
      <c r="AS25" s="7">
        <v>2800</v>
      </c>
      <c r="AT25" s="304">
        <f>AR25/AS25</f>
        <v>9.7142857142857142E-2</v>
      </c>
      <c r="AU25" s="546" t="s">
        <v>590</v>
      </c>
      <c r="AV25" s="547"/>
      <c r="AW25" s="297"/>
      <c r="AX25" s="297"/>
      <c r="AY25" s="561"/>
      <c r="AZ25" s="435">
        <v>508</v>
      </c>
      <c r="BA25" s="7">
        <v>2800</v>
      </c>
      <c r="BB25" s="304">
        <f>AZ25/BA25</f>
        <v>0.18142857142857144</v>
      </c>
      <c r="BC25" s="551" t="s">
        <v>591</v>
      </c>
      <c r="BD25" s="547"/>
      <c r="BE25" s="297"/>
      <c r="BF25" s="297"/>
      <c r="BG25" s="561"/>
      <c r="BH25" s="10">
        <v>836</v>
      </c>
      <c r="BI25" s="9">
        <v>2800</v>
      </c>
      <c r="BJ25" s="562">
        <f>BH25/BI25</f>
        <v>0.2985714285714286</v>
      </c>
      <c r="BK25" s="551" t="s">
        <v>592</v>
      </c>
      <c r="BL25" s="547"/>
      <c r="BM25" s="297"/>
      <c r="BN25" s="297"/>
      <c r="BO25" s="561"/>
      <c r="BP25" s="10">
        <v>1113</v>
      </c>
      <c r="BQ25" s="9">
        <v>2800</v>
      </c>
      <c r="BR25" s="563">
        <f>BP25/BQ25</f>
        <v>0.39750000000000002</v>
      </c>
      <c r="BS25" s="551" t="s">
        <v>593</v>
      </c>
      <c r="BT25" s="547"/>
      <c r="BU25" s="297"/>
      <c r="BV25" s="297"/>
      <c r="BW25" s="561"/>
      <c r="BX25" s="10">
        <v>1485</v>
      </c>
      <c r="BY25" s="9">
        <v>2800</v>
      </c>
      <c r="BZ25" s="563">
        <f>BX25/BY25</f>
        <v>0.53035714285714286</v>
      </c>
      <c r="CA25" s="551" t="s">
        <v>594</v>
      </c>
      <c r="CB25" s="547"/>
      <c r="CC25" s="297"/>
      <c r="CD25" s="297"/>
      <c r="CE25" s="561"/>
      <c r="CF25" s="564">
        <v>1857</v>
      </c>
      <c r="CG25" s="551">
        <v>2800</v>
      </c>
      <c r="CH25" s="565">
        <f>CF25/CG25</f>
        <v>0.66321428571428576</v>
      </c>
      <c r="CI25" s="551" t="s">
        <v>595</v>
      </c>
      <c r="CJ25" s="547"/>
      <c r="CK25" s="297"/>
      <c r="CL25" s="297"/>
      <c r="CM25" s="561"/>
      <c r="CN25" s="564">
        <v>2198</v>
      </c>
      <c r="CO25" s="551">
        <v>2800</v>
      </c>
      <c r="CP25" s="565">
        <f>CN25/CO25</f>
        <v>0.78500000000000003</v>
      </c>
      <c r="CQ25" s="551" t="s">
        <v>596</v>
      </c>
      <c r="CR25" s="547"/>
      <c r="CS25" s="297"/>
      <c r="CT25" s="297"/>
      <c r="CU25" s="561"/>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row>
    <row r="26" spans="1:145" s="4" customFormat="1" ht="409.5" x14ac:dyDescent="0.25">
      <c r="A26" s="149" t="s">
        <v>428</v>
      </c>
      <c r="B26" s="149" t="s">
        <v>100</v>
      </c>
      <c r="C26" s="149" t="s">
        <v>99</v>
      </c>
      <c r="D26" s="149" t="s">
        <v>503</v>
      </c>
      <c r="E26" s="149" t="s">
        <v>45</v>
      </c>
      <c r="F26" s="141" t="s">
        <v>110</v>
      </c>
      <c r="G26" s="141"/>
      <c r="H26" s="141"/>
      <c r="I26" s="141"/>
      <c r="J26" s="566" t="s">
        <v>294</v>
      </c>
      <c r="K26" s="567" t="s">
        <v>504</v>
      </c>
      <c r="L26" s="568" t="s">
        <v>505</v>
      </c>
      <c r="M26" s="427"/>
      <c r="N26" s="569" t="s">
        <v>597</v>
      </c>
      <c r="O26" s="141" t="s">
        <v>598</v>
      </c>
      <c r="P26" s="141" t="s">
        <v>599</v>
      </c>
      <c r="Q26" s="454" t="s">
        <v>50</v>
      </c>
      <c r="R26" s="186" t="s">
        <v>600</v>
      </c>
      <c r="S26" s="186">
        <v>3</v>
      </c>
      <c r="T26" s="305" t="s">
        <v>601</v>
      </c>
      <c r="U26" s="8" t="s">
        <v>602</v>
      </c>
      <c r="V26" s="8" t="s">
        <v>50</v>
      </c>
      <c r="W26" s="6">
        <v>0</v>
      </c>
      <c r="X26" s="6">
        <v>3</v>
      </c>
      <c r="Y26" s="409">
        <v>1636396083</v>
      </c>
      <c r="Z26" s="223"/>
      <c r="AA26" s="185"/>
      <c r="AB26" s="570"/>
      <c r="AC26" s="570">
        <v>3</v>
      </c>
      <c r="AD26" s="571"/>
      <c r="AE26" s="570"/>
      <c r="AF26" s="494">
        <v>0</v>
      </c>
      <c r="AG26" s="494">
        <v>3</v>
      </c>
      <c r="AH26" s="494"/>
      <c r="AI26" s="510"/>
      <c r="AJ26" s="499">
        <v>0</v>
      </c>
      <c r="AK26" s="186">
        <v>3</v>
      </c>
      <c r="AL26" s="302"/>
      <c r="AM26" s="458" t="s">
        <v>603</v>
      </c>
      <c r="AN26" s="440">
        <v>0</v>
      </c>
      <c r="AO26" s="6">
        <v>3</v>
      </c>
      <c r="AP26" s="6">
        <f>AN26/AO26</f>
        <v>0</v>
      </c>
      <c r="AQ26" s="498" t="s">
        <v>603</v>
      </c>
      <c r="AR26" s="499"/>
      <c r="AS26" s="186">
        <v>3</v>
      </c>
      <c r="AT26" s="302">
        <f>AR26/AS26</f>
        <v>0</v>
      </c>
      <c r="AU26" s="458"/>
      <c r="AV26" s="440">
        <v>0.18</v>
      </c>
      <c r="AW26" s="6">
        <v>3</v>
      </c>
      <c r="AX26" s="6">
        <f>AV26/AW26</f>
        <v>0.06</v>
      </c>
      <c r="AY26" s="498" t="s">
        <v>604</v>
      </c>
      <c r="AZ26" s="499"/>
      <c r="BA26" s="186">
        <v>3</v>
      </c>
      <c r="BB26" s="302">
        <f>AZ26/BA26</f>
        <v>0</v>
      </c>
      <c r="BC26" s="458"/>
      <c r="BD26" s="440">
        <v>0.75</v>
      </c>
      <c r="BE26" s="6">
        <v>3</v>
      </c>
      <c r="BF26" s="6">
        <v>0.25</v>
      </c>
      <c r="BG26" s="513" t="s">
        <v>605</v>
      </c>
      <c r="BH26" s="170">
        <v>0</v>
      </c>
      <c r="BI26" s="170">
        <v>3</v>
      </c>
      <c r="BJ26" s="572">
        <f>BH26/BI26</f>
        <v>0</v>
      </c>
      <c r="BK26" s="573" t="s">
        <v>606</v>
      </c>
      <c r="BL26" s="99">
        <v>0</v>
      </c>
      <c r="BM26" s="99">
        <v>3</v>
      </c>
      <c r="BN26" s="574">
        <f>+BL26/BM26</f>
        <v>0</v>
      </c>
      <c r="BP26" s="170">
        <v>0</v>
      </c>
      <c r="BQ26" s="170">
        <v>3</v>
      </c>
      <c r="BR26" s="572">
        <v>0.5</v>
      </c>
      <c r="BS26" s="573" t="s">
        <v>607</v>
      </c>
      <c r="BT26" s="115">
        <v>0</v>
      </c>
      <c r="BU26" s="99">
        <v>3</v>
      </c>
      <c r="BV26" s="574">
        <v>0.5</v>
      </c>
      <c r="BW26" s="575" t="s">
        <v>607</v>
      </c>
      <c r="BX26" s="170">
        <v>0</v>
      </c>
      <c r="BY26" s="170">
        <v>3</v>
      </c>
      <c r="BZ26" s="572">
        <f>+BX26/BY26</f>
        <v>0</v>
      </c>
      <c r="CA26" s="573" t="s">
        <v>608</v>
      </c>
      <c r="CB26" s="115">
        <v>0</v>
      </c>
      <c r="CC26" s="99">
        <v>3</v>
      </c>
      <c r="CD26" s="574">
        <v>0.5</v>
      </c>
      <c r="CE26" s="576" t="s">
        <v>608</v>
      </c>
      <c r="CF26" s="170">
        <v>1</v>
      </c>
      <c r="CG26" s="170">
        <v>3</v>
      </c>
      <c r="CH26" s="572">
        <f>+CF26/CG26</f>
        <v>0.33333333333333331</v>
      </c>
      <c r="CI26" s="577" t="s">
        <v>609</v>
      </c>
      <c r="CJ26" s="115">
        <v>1</v>
      </c>
      <c r="CK26" s="99">
        <v>3</v>
      </c>
      <c r="CL26" s="574">
        <f>+CJ26/CK26</f>
        <v>0.33333333333333331</v>
      </c>
      <c r="CM26" s="576" t="s">
        <v>610</v>
      </c>
      <c r="CN26" s="170">
        <v>2</v>
      </c>
      <c r="CO26" s="170">
        <v>3</v>
      </c>
      <c r="CP26" s="572">
        <f>+CN26/CO26</f>
        <v>0.66666666666666663</v>
      </c>
      <c r="CQ26" s="577" t="s">
        <v>611</v>
      </c>
      <c r="CR26" s="115">
        <v>2</v>
      </c>
      <c r="CS26" s="99">
        <v>3</v>
      </c>
      <c r="CT26" s="574">
        <f>+CR26/CS26</f>
        <v>0.66666666666666663</v>
      </c>
      <c r="CU26" s="576" t="s">
        <v>611</v>
      </c>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row>
    <row r="27" spans="1:145" s="3" customFormat="1" ht="300" x14ac:dyDescent="0.25">
      <c r="A27" s="185"/>
      <c r="B27" s="185"/>
      <c r="C27" s="185"/>
      <c r="D27" s="185"/>
      <c r="E27" s="185"/>
      <c r="F27" s="175"/>
      <c r="G27" s="175"/>
      <c r="H27" s="175"/>
      <c r="I27" s="175"/>
      <c r="J27" s="578"/>
      <c r="K27" s="579"/>
      <c r="L27" s="580"/>
      <c r="M27" s="427"/>
      <c r="N27" s="581"/>
      <c r="O27" s="175"/>
      <c r="P27" s="175"/>
      <c r="Q27" s="315"/>
      <c r="R27" s="187"/>
      <c r="S27" s="187"/>
      <c r="T27" s="297" t="s">
        <v>612</v>
      </c>
      <c r="U27" s="9" t="s">
        <v>613</v>
      </c>
      <c r="V27" s="297" t="s">
        <v>50</v>
      </c>
      <c r="W27" s="7">
        <v>0</v>
      </c>
      <c r="X27" s="7">
        <v>3</v>
      </c>
      <c r="Y27" s="430"/>
      <c r="Z27" s="223"/>
      <c r="AA27" s="185"/>
      <c r="AB27" s="582"/>
      <c r="AC27" s="582"/>
      <c r="AD27" s="583"/>
      <c r="AE27" s="582"/>
      <c r="AF27" s="494">
        <v>0</v>
      </c>
      <c r="AG27" s="494">
        <v>3</v>
      </c>
      <c r="AH27" s="494"/>
      <c r="AI27" s="510"/>
      <c r="AJ27" s="456"/>
      <c r="AK27" s="187"/>
      <c r="AL27" s="310"/>
      <c r="AM27" s="584"/>
      <c r="AN27" s="435">
        <v>0</v>
      </c>
      <c r="AO27" s="7">
        <v>3</v>
      </c>
      <c r="AP27" s="7">
        <f>AN27/AO27</f>
        <v>0</v>
      </c>
      <c r="AQ27" s="561"/>
      <c r="AR27" s="456"/>
      <c r="AS27" s="187"/>
      <c r="AT27" s="310"/>
      <c r="AU27" s="584"/>
      <c r="AV27" s="435"/>
      <c r="AW27" s="7">
        <v>3</v>
      </c>
      <c r="AX27" s="7">
        <f>AV27/AW27</f>
        <v>0</v>
      </c>
      <c r="AY27" s="561"/>
      <c r="AZ27" s="456"/>
      <c r="BA27" s="187"/>
      <c r="BB27" s="310"/>
      <c r="BC27" s="584"/>
      <c r="BD27" s="435">
        <v>1.8</v>
      </c>
      <c r="BE27" s="7">
        <v>3</v>
      </c>
      <c r="BF27" s="7">
        <v>0.6</v>
      </c>
      <c r="BG27" s="585" t="s">
        <v>614</v>
      </c>
      <c r="BH27" s="170"/>
      <c r="BI27" s="170"/>
      <c r="BJ27" s="586"/>
      <c r="BK27" s="587"/>
      <c r="BL27" s="487">
        <v>2</v>
      </c>
      <c r="BM27" s="94">
        <v>3</v>
      </c>
      <c r="BN27" s="94">
        <v>67</v>
      </c>
      <c r="BO27" s="588" t="s">
        <v>615</v>
      </c>
      <c r="BP27" s="170"/>
      <c r="BQ27" s="170"/>
      <c r="BR27" s="586"/>
      <c r="BS27" s="587"/>
      <c r="BT27" s="589">
        <v>2</v>
      </c>
      <c r="BU27" s="94">
        <v>3</v>
      </c>
      <c r="BV27" s="484">
        <f>+BT27/BU27</f>
        <v>0.66666666666666663</v>
      </c>
      <c r="BW27" s="588" t="s">
        <v>616</v>
      </c>
      <c r="BX27" s="170"/>
      <c r="BY27" s="170"/>
      <c r="BZ27" s="586"/>
      <c r="CA27" s="587"/>
      <c r="CB27" s="589">
        <v>2</v>
      </c>
      <c r="CC27" s="94">
        <v>3</v>
      </c>
      <c r="CD27" s="484">
        <f>+CB27/CC27</f>
        <v>0.66666666666666663</v>
      </c>
      <c r="CE27" s="590" t="s">
        <v>617</v>
      </c>
      <c r="CF27" s="170"/>
      <c r="CG27" s="170"/>
      <c r="CH27" s="586"/>
      <c r="CI27" s="591"/>
      <c r="CJ27" s="589">
        <v>2</v>
      </c>
      <c r="CK27" s="94">
        <v>3</v>
      </c>
      <c r="CL27" s="484">
        <f>+CJ27/CK27</f>
        <v>0.66666666666666663</v>
      </c>
      <c r="CM27" s="590" t="s">
        <v>618</v>
      </c>
      <c r="CN27" s="170"/>
      <c r="CO27" s="170"/>
      <c r="CP27" s="586"/>
      <c r="CQ27" s="591"/>
      <c r="CR27" s="589">
        <v>2</v>
      </c>
      <c r="CS27" s="94">
        <v>3</v>
      </c>
      <c r="CT27" s="484">
        <f>+CR27/CS27</f>
        <v>0.66666666666666663</v>
      </c>
      <c r="CU27" s="590" t="s">
        <v>618</v>
      </c>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row>
    <row r="28" spans="1:145" s="4" customFormat="1" ht="96" x14ac:dyDescent="0.25">
      <c r="A28" s="150"/>
      <c r="B28" s="150"/>
      <c r="C28" s="150"/>
      <c r="D28" s="150"/>
      <c r="E28" s="150"/>
      <c r="F28" s="142"/>
      <c r="G28" s="142"/>
      <c r="H28" s="142"/>
      <c r="I28" s="142"/>
      <c r="J28" s="578"/>
      <c r="K28" s="579"/>
      <c r="L28" s="580"/>
      <c r="M28" s="427"/>
      <c r="N28" s="581"/>
      <c r="O28" s="142"/>
      <c r="P28" s="142"/>
      <c r="Q28" s="323"/>
      <c r="R28" s="188"/>
      <c r="S28" s="188"/>
      <c r="T28" s="305" t="s">
        <v>619</v>
      </c>
      <c r="U28" s="8" t="s">
        <v>620</v>
      </c>
      <c r="V28" s="305" t="s">
        <v>50</v>
      </c>
      <c r="W28" s="6">
        <v>0</v>
      </c>
      <c r="X28" s="6">
        <v>5</v>
      </c>
      <c r="Y28" s="430"/>
      <c r="Z28" s="223"/>
      <c r="AA28" s="185"/>
      <c r="AB28" s="592"/>
      <c r="AC28" s="592"/>
      <c r="AD28" s="593"/>
      <c r="AE28" s="592"/>
      <c r="AF28" s="494">
        <v>0</v>
      </c>
      <c r="AG28" s="494">
        <v>5</v>
      </c>
      <c r="AH28" s="494"/>
      <c r="AI28" s="510"/>
      <c r="AJ28" s="512"/>
      <c r="AK28" s="188"/>
      <c r="AL28" s="316"/>
      <c r="AM28" s="471"/>
      <c r="AN28" s="440">
        <v>0</v>
      </c>
      <c r="AO28" s="6">
        <v>5</v>
      </c>
      <c r="AP28" s="6">
        <f>AN28/AO28</f>
        <v>0</v>
      </c>
      <c r="AQ28" s="511"/>
      <c r="AR28" s="512"/>
      <c r="AS28" s="188"/>
      <c r="AT28" s="316"/>
      <c r="AU28" s="471"/>
      <c r="AV28" s="440">
        <v>1</v>
      </c>
      <c r="AW28" s="6">
        <v>5</v>
      </c>
      <c r="AX28" s="6">
        <f>AV28/AW28</f>
        <v>0.2</v>
      </c>
      <c r="AY28" s="498" t="s">
        <v>621</v>
      </c>
      <c r="AZ28" s="512"/>
      <c r="BA28" s="188"/>
      <c r="BB28" s="316"/>
      <c r="BC28" s="471"/>
      <c r="BD28" s="440">
        <v>1</v>
      </c>
      <c r="BE28" s="6">
        <v>5</v>
      </c>
      <c r="BF28" s="6">
        <f t="shared" ref="BF28:BF31" si="7">BD28/BE28</f>
        <v>0.2</v>
      </c>
      <c r="BG28" s="513" t="s">
        <v>621</v>
      </c>
      <c r="BH28" s="170"/>
      <c r="BI28" s="170"/>
      <c r="BJ28" s="586"/>
      <c r="BK28" s="587"/>
      <c r="BL28" s="440">
        <v>1</v>
      </c>
      <c r="BM28" s="6">
        <v>5</v>
      </c>
      <c r="BN28" s="308">
        <v>0.2</v>
      </c>
      <c r="BO28" s="498" t="s">
        <v>621</v>
      </c>
      <c r="BP28" s="170"/>
      <c r="BQ28" s="170"/>
      <c r="BR28" s="586"/>
      <c r="BS28" s="587"/>
      <c r="BT28" s="440">
        <v>3</v>
      </c>
      <c r="BU28" s="6">
        <v>5</v>
      </c>
      <c r="BV28" s="308">
        <f>+BT28/BU28</f>
        <v>0.6</v>
      </c>
      <c r="BW28" s="498" t="s">
        <v>622</v>
      </c>
      <c r="BX28" s="170"/>
      <c r="BY28" s="170"/>
      <c r="BZ28" s="586"/>
      <c r="CA28" s="587"/>
      <c r="CB28" s="440">
        <v>3</v>
      </c>
      <c r="CC28" s="6">
        <v>5</v>
      </c>
      <c r="CD28" s="308">
        <f>+CB28/CC28</f>
        <v>0.6</v>
      </c>
      <c r="CE28" s="594" t="s">
        <v>622</v>
      </c>
      <c r="CF28" s="170"/>
      <c r="CG28" s="170"/>
      <c r="CH28" s="586"/>
      <c r="CI28" s="591"/>
      <c r="CJ28" s="440">
        <v>3</v>
      </c>
      <c r="CK28" s="6">
        <v>5</v>
      </c>
      <c r="CL28" s="308">
        <f>+CJ28/CK28</f>
        <v>0.6</v>
      </c>
      <c r="CM28" s="594" t="s">
        <v>623</v>
      </c>
      <c r="CN28" s="170"/>
      <c r="CO28" s="170"/>
      <c r="CP28" s="586"/>
      <c r="CQ28" s="591"/>
      <c r="CR28" s="440">
        <v>3</v>
      </c>
      <c r="CS28" s="6">
        <v>5</v>
      </c>
      <c r="CT28" s="308">
        <f>+CR28/CS28</f>
        <v>0.6</v>
      </c>
      <c r="CU28" s="594" t="s">
        <v>623</v>
      </c>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row>
    <row r="29" spans="1:145" s="3" customFormat="1" ht="84.75" thickBot="1" x14ac:dyDescent="0.3">
      <c r="A29" s="10" t="s">
        <v>428</v>
      </c>
      <c r="B29" s="10" t="s">
        <v>100</v>
      </c>
      <c r="C29" s="10" t="s">
        <v>99</v>
      </c>
      <c r="D29" s="7" t="s">
        <v>503</v>
      </c>
      <c r="E29" s="7" t="s">
        <v>45</v>
      </c>
      <c r="F29" s="9" t="s">
        <v>110</v>
      </c>
      <c r="G29" s="9" t="s">
        <v>115</v>
      </c>
      <c r="H29" s="9" t="s">
        <v>114</v>
      </c>
      <c r="I29" s="9" t="s">
        <v>116</v>
      </c>
      <c r="J29" s="578"/>
      <c r="K29" s="579"/>
      <c r="L29" s="580"/>
      <c r="M29" s="427"/>
      <c r="N29" s="581"/>
      <c r="O29" s="9"/>
      <c r="P29" s="9"/>
      <c r="Q29" s="297"/>
      <c r="R29" s="7"/>
      <c r="S29" s="304"/>
      <c r="T29" s="9" t="s">
        <v>624</v>
      </c>
      <c r="U29" s="9" t="s">
        <v>625</v>
      </c>
      <c r="V29" s="297" t="s">
        <v>51</v>
      </c>
      <c r="W29" s="7">
        <v>0</v>
      </c>
      <c r="X29" s="304">
        <v>0.04</v>
      </c>
      <c r="Y29" s="430"/>
      <c r="Z29" s="223"/>
      <c r="AA29" s="185"/>
      <c r="AB29" s="414">
        <v>0</v>
      </c>
      <c r="AC29" s="544">
        <v>0.2</v>
      </c>
      <c r="AD29" s="494"/>
      <c r="AE29" s="494"/>
      <c r="AF29" s="494">
        <v>0</v>
      </c>
      <c r="AG29" s="544">
        <v>0.2</v>
      </c>
      <c r="AH29" s="494"/>
      <c r="AI29" s="510"/>
      <c r="AJ29" s="435">
        <v>0</v>
      </c>
      <c r="AK29" s="595">
        <v>0.2</v>
      </c>
      <c r="AL29" s="596"/>
      <c r="AM29" s="561"/>
      <c r="AN29" s="435">
        <v>0</v>
      </c>
      <c r="AO29" s="300">
        <v>0.2</v>
      </c>
      <c r="AP29" s="7">
        <v>0</v>
      </c>
      <c r="AQ29" s="561"/>
      <c r="AR29" s="435"/>
      <c r="AS29" s="300">
        <v>1</v>
      </c>
      <c r="AT29" s="596"/>
      <c r="AU29" s="561"/>
      <c r="AV29" s="435"/>
      <c r="AW29" s="300">
        <v>0.2</v>
      </c>
      <c r="AX29" s="7">
        <f>AV29/AW29</f>
        <v>0</v>
      </c>
      <c r="AY29" s="561"/>
      <c r="AZ29" s="435"/>
      <c r="BA29" s="300">
        <v>1</v>
      </c>
      <c r="BB29" s="596"/>
      <c r="BC29" s="561"/>
      <c r="BD29" s="493">
        <v>0</v>
      </c>
      <c r="BE29" s="337">
        <v>0.2</v>
      </c>
      <c r="BF29" s="93">
        <f t="shared" si="7"/>
        <v>0</v>
      </c>
      <c r="BG29" s="597" t="s">
        <v>626</v>
      </c>
      <c r="BH29" s="598"/>
      <c r="BI29" s="598">
        <v>100</v>
      </c>
      <c r="BJ29" s="599">
        <f>+BH29/BI29</f>
        <v>0</v>
      </c>
      <c r="BK29" s="575"/>
      <c r="BL29" s="600">
        <v>0</v>
      </c>
      <c r="BM29" s="300">
        <v>0.2</v>
      </c>
      <c r="BN29" s="7">
        <f>BL29/BM29</f>
        <v>0</v>
      </c>
      <c r="BO29" s="601" t="s">
        <v>627</v>
      </c>
      <c r="BP29" s="598">
        <v>0</v>
      </c>
      <c r="BQ29" s="598">
        <v>100</v>
      </c>
      <c r="BR29" s="599">
        <f>+BP29/BQ29</f>
        <v>0</v>
      </c>
      <c r="BS29" s="602" t="s">
        <v>628</v>
      </c>
      <c r="BT29" s="600">
        <v>0</v>
      </c>
      <c r="BU29" s="300">
        <v>0.2</v>
      </c>
      <c r="BV29" s="7">
        <f>BT29/BU29</f>
        <v>0</v>
      </c>
      <c r="BW29" s="601" t="s">
        <v>628</v>
      </c>
      <c r="BX29" s="598"/>
      <c r="BY29" s="598">
        <v>100</v>
      </c>
      <c r="BZ29" s="599">
        <f>+BX29/BY29</f>
        <v>0</v>
      </c>
      <c r="CA29" s="601"/>
      <c r="CB29" s="600"/>
      <c r="CC29" s="300">
        <v>0.2</v>
      </c>
      <c r="CD29" s="7">
        <f>CB29/CC29</f>
        <v>0</v>
      </c>
      <c r="CE29" s="601"/>
      <c r="CF29" s="598">
        <v>0</v>
      </c>
      <c r="CG29" s="598">
        <v>100</v>
      </c>
      <c r="CH29" s="599">
        <f>+CF29/CG29</f>
        <v>0</v>
      </c>
      <c r="CI29" s="601" t="s">
        <v>629</v>
      </c>
      <c r="CJ29" s="600"/>
      <c r="CK29" s="300">
        <v>0.2</v>
      </c>
      <c r="CL29" s="7">
        <f>CJ29/CK29</f>
        <v>0</v>
      </c>
      <c r="CM29" s="601" t="s">
        <v>629</v>
      </c>
      <c r="CN29" s="598"/>
      <c r="CO29" s="598"/>
      <c r="CP29" s="599"/>
      <c r="CQ29" s="601"/>
      <c r="CR29" s="600">
        <v>0</v>
      </c>
      <c r="CS29" s="300">
        <v>0.04</v>
      </c>
      <c r="CT29" s="7">
        <f>CR29/CS29</f>
        <v>0</v>
      </c>
      <c r="CU29" s="601" t="s">
        <v>630</v>
      </c>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row>
    <row r="30" spans="1:145" s="4" customFormat="1" ht="216.75" thickBot="1" x14ac:dyDescent="0.3">
      <c r="A30" s="330" t="s">
        <v>428</v>
      </c>
      <c r="B30" s="330" t="s">
        <v>100</v>
      </c>
      <c r="C30" s="330" t="s">
        <v>99</v>
      </c>
      <c r="D30" s="330" t="s">
        <v>503</v>
      </c>
      <c r="E30" s="330" t="s">
        <v>45</v>
      </c>
      <c r="F30" s="8" t="s">
        <v>110</v>
      </c>
      <c r="G30" s="8" t="s">
        <v>115</v>
      </c>
      <c r="H30" s="8" t="s">
        <v>114</v>
      </c>
      <c r="I30" s="8" t="s">
        <v>116</v>
      </c>
      <c r="J30" s="578"/>
      <c r="K30" s="579"/>
      <c r="L30" s="580"/>
      <c r="M30" s="427"/>
      <c r="N30" s="581"/>
      <c r="O30" s="603" t="s">
        <v>631</v>
      </c>
      <c r="P30" s="8" t="s">
        <v>632</v>
      </c>
      <c r="Q30" s="305" t="s">
        <v>51</v>
      </c>
      <c r="R30" s="6">
        <v>0</v>
      </c>
      <c r="S30" s="311">
        <v>1</v>
      </c>
      <c r="T30" s="305"/>
      <c r="U30" s="8"/>
      <c r="V30" s="305"/>
      <c r="W30" s="305"/>
      <c r="X30" s="604"/>
      <c r="Y30" s="430"/>
      <c r="Z30" s="223"/>
      <c r="AA30" s="185"/>
      <c r="AB30" s="411">
        <v>0</v>
      </c>
      <c r="AC30" s="605">
        <v>1</v>
      </c>
      <c r="AD30" s="606"/>
      <c r="AE30" s="607" t="s">
        <v>633</v>
      </c>
      <c r="AF30" s="606"/>
      <c r="AG30" s="606"/>
      <c r="AH30" s="606"/>
      <c r="AI30" s="608"/>
      <c r="AJ30" s="609">
        <v>0</v>
      </c>
      <c r="AK30" s="610">
        <v>1</v>
      </c>
      <c r="AL30" s="611"/>
      <c r="AM30" s="612" t="s">
        <v>634</v>
      </c>
      <c r="AN30" s="613"/>
      <c r="AO30" s="610"/>
      <c r="AP30" s="614"/>
      <c r="AQ30" s="612"/>
      <c r="AR30" s="609"/>
      <c r="AS30" s="615">
        <v>1</v>
      </c>
      <c r="AT30" s="611">
        <f>AR30/AS30</f>
        <v>0</v>
      </c>
      <c r="AU30" s="612" t="s">
        <v>635</v>
      </c>
      <c r="AV30" s="613"/>
      <c r="AW30" s="610"/>
      <c r="AX30" s="614"/>
      <c r="AY30" s="612"/>
      <c r="AZ30" s="609"/>
      <c r="BA30" s="615">
        <v>1</v>
      </c>
      <c r="BB30" s="611">
        <f>AZ30/BA30</f>
        <v>0</v>
      </c>
      <c r="BC30" s="612"/>
      <c r="BD30" s="616">
        <v>0</v>
      </c>
      <c r="BE30" s="617">
        <v>1</v>
      </c>
      <c r="BF30" s="618">
        <f t="shared" si="7"/>
        <v>0</v>
      </c>
      <c r="BG30" s="619" t="s">
        <v>636</v>
      </c>
      <c r="BH30" s="620"/>
      <c r="BI30" s="621">
        <v>100</v>
      </c>
      <c r="BJ30" s="21">
        <f>+BH30/BI30</f>
        <v>0</v>
      </c>
      <c r="BK30" s="622" t="s">
        <v>637</v>
      </c>
      <c r="BL30" s="623"/>
      <c r="BM30" s="624"/>
      <c r="BN30" s="610"/>
      <c r="BO30" s="612"/>
      <c r="BP30" s="620">
        <f>+(1*100)/9</f>
        <v>11.111111111111111</v>
      </c>
      <c r="BQ30" s="621">
        <v>100</v>
      </c>
      <c r="BR30" s="21">
        <f>+BP30/BQ30</f>
        <v>0.1111111111111111</v>
      </c>
      <c r="BS30" s="622" t="s">
        <v>638</v>
      </c>
      <c r="BT30" s="623"/>
      <c r="BU30" s="624"/>
      <c r="BV30" s="610"/>
      <c r="BW30" s="612"/>
      <c r="BX30" s="625">
        <f>(3*100)/11</f>
        <v>27.272727272727273</v>
      </c>
      <c r="BY30" s="621">
        <v>100</v>
      </c>
      <c r="BZ30" s="21">
        <f>+BX30/BY30</f>
        <v>0.27272727272727271</v>
      </c>
      <c r="CA30" s="626" t="s">
        <v>639</v>
      </c>
      <c r="CB30" s="623"/>
      <c r="CC30" s="624"/>
      <c r="CD30" s="610"/>
      <c r="CE30" s="612"/>
      <c r="CF30" s="625">
        <f>(6*100)/12</f>
        <v>50</v>
      </c>
      <c r="CG30" s="621">
        <v>100</v>
      </c>
      <c r="CH30" s="21">
        <f>+CF30/CG30</f>
        <v>0.5</v>
      </c>
      <c r="CI30" s="626" t="s">
        <v>640</v>
      </c>
      <c r="CJ30" s="623"/>
      <c r="CK30" s="624"/>
      <c r="CL30" s="610"/>
      <c r="CM30" s="612"/>
      <c r="CN30" s="625">
        <f>(6*100)/12</f>
        <v>50</v>
      </c>
      <c r="CO30" s="621">
        <v>100</v>
      </c>
      <c r="CP30" s="21">
        <f>+CN30/CO30</f>
        <v>0.5</v>
      </c>
      <c r="CQ30" s="626" t="s">
        <v>641</v>
      </c>
      <c r="CR30" s="623"/>
      <c r="CS30" s="624"/>
      <c r="CT30" s="610"/>
      <c r="CU30" s="612"/>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row>
    <row r="31" spans="1:145" ht="156.75" thickBot="1" x14ac:dyDescent="0.3">
      <c r="A31" s="330" t="s">
        <v>428</v>
      </c>
      <c r="B31" s="330" t="s">
        <v>100</v>
      </c>
      <c r="C31" s="330" t="s">
        <v>99</v>
      </c>
      <c r="D31" s="330" t="s">
        <v>503</v>
      </c>
      <c r="E31" s="330" t="s">
        <v>45</v>
      </c>
      <c r="F31" s="8" t="s">
        <v>110</v>
      </c>
      <c r="G31" s="8" t="s">
        <v>115</v>
      </c>
      <c r="H31" s="8" t="s">
        <v>114</v>
      </c>
      <c r="I31" s="8" t="s">
        <v>116</v>
      </c>
      <c r="J31" s="578"/>
      <c r="K31" s="579"/>
      <c r="L31" s="580"/>
      <c r="M31" s="427"/>
      <c r="N31" s="581"/>
      <c r="O31" s="627" t="s">
        <v>642</v>
      </c>
      <c r="P31" s="627" t="s">
        <v>643</v>
      </c>
      <c r="Q31" s="297" t="s">
        <v>51</v>
      </c>
      <c r="R31" s="628">
        <v>0</v>
      </c>
      <c r="S31" s="629">
        <v>1</v>
      </c>
      <c r="T31" s="3"/>
      <c r="U31" s="630"/>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631">
        <v>60</v>
      </c>
      <c r="BE31" s="632">
        <v>100</v>
      </c>
      <c r="BF31" s="633">
        <f t="shared" si="7"/>
        <v>0.6</v>
      </c>
      <c r="BG31" s="634" t="s">
        <v>644</v>
      </c>
      <c r="BH31" s="635">
        <v>3</v>
      </c>
      <c r="BI31" s="636">
        <v>6</v>
      </c>
      <c r="BJ31" s="22">
        <f t="shared" ref="BJ31" si="8">BH31/BI31</f>
        <v>0.5</v>
      </c>
      <c r="BK31" s="637" t="s">
        <v>645</v>
      </c>
      <c r="BL31" s="635"/>
      <c r="BM31" s="635"/>
      <c r="BN31" s="635"/>
      <c r="BO31" s="638"/>
      <c r="BP31" s="635">
        <v>3</v>
      </c>
      <c r="BQ31" s="636">
        <v>6</v>
      </c>
      <c r="BR31" s="22">
        <f t="shared" ref="BR31" si="9">BP31/BQ31</f>
        <v>0.5</v>
      </c>
      <c r="BS31" s="627" t="s">
        <v>646</v>
      </c>
      <c r="BT31" s="635"/>
      <c r="BU31" s="635"/>
      <c r="BV31" s="635"/>
      <c r="BW31" s="638"/>
      <c r="BX31" s="635">
        <f>(6*100)/8</f>
        <v>75</v>
      </c>
      <c r="BY31" s="636">
        <v>100</v>
      </c>
      <c r="BZ31" s="22">
        <f t="shared" ref="BZ31" si="10">BX31/BY31</f>
        <v>0.75</v>
      </c>
      <c r="CA31" s="639" t="s">
        <v>647</v>
      </c>
      <c r="CB31" s="635"/>
      <c r="CC31" s="635"/>
      <c r="CD31" s="635"/>
      <c r="CE31" s="638"/>
      <c r="CF31" s="635">
        <v>60</v>
      </c>
      <c r="CG31" s="636">
        <v>100</v>
      </c>
      <c r="CH31" s="22">
        <f t="shared" ref="CH31" si="11">CF31/CG31</f>
        <v>0.6</v>
      </c>
      <c r="CI31" s="639" t="s">
        <v>648</v>
      </c>
      <c r="CJ31" s="635"/>
      <c r="CK31" s="635"/>
      <c r="CL31" s="635"/>
      <c r="CM31" s="638"/>
      <c r="CN31" s="635">
        <v>50</v>
      </c>
      <c r="CO31" s="636">
        <v>100</v>
      </c>
      <c r="CP31" s="22">
        <f t="shared" ref="CP31" si="12">CN31/CO31</f>
        <v>0.5</v>
      </c>
      <c r="CQ31" s="639" t="s">
        <v>649</v>
      </c>
      <c r="CR31" s="635"/>
      <c r="CS31" s="635"/>
      <c r="CT31" s="635"/>
      <c r="CU31" s="638"/>
    </row>
    <row r="32" spans="1:145" ht="48" thickBot="1" x14ac:dyDescent="0.25">
      <c r="AB32" s="5"/>
      <c r="CP32" s="350" t="s">
        <v>418</v>
      </c>
      <c r="CQ32" s="348">
        <v>0.68100000000000005</v>
      </c>
      <c r="CS32" s="344" t="s">
        <v>14</v>
      </c>
      <c r="CT32" s="346"/>
      <c r="CU32" s="349">
        <v>0.84899999999999998</v>
      </c>
    </row>
    <row r="33" ht="12" x14ac:dyDescent="0.2"/>
  </sheetData>
  <sheetProtection algorithmName="SHA-512" hashValue="9Qgbznu8tgvr3sYzMGOuHhKWqPEXJILstPI1NbTnoocj4Defhe6DBu7/uBvCwvavXd/HMWEG8idq1IjlBEdUHg==" saltValue="G4Sacy/Esp7DdHBgaty7gQ==" spinCount="100000" sheet="1" objects="1" scenarios="1" selectLockedCells="1" selectUnlockedCells="1"/>
  <mergeCells count="240">
    <mergeCell ref="CS32:CT32"/>
    <mergeCell ref="CH26:CH28"/>
    <mergeCell ref="CI26:CI28"/>
    <mergeCell ref="CN26:CN28"/>
    <mergeCell ref="CO26:CO28"/>
    <mergeCell ref="CP26:CP28"/>
    <mergeCell ref="CQ26:CQ28"/>
    <mergeCell ref="BX26:BX28"/>
    <mergeCell ref="BY26:BY28"/>
    <mergeCell ref="BZ26:BZ28"/>
    <mergeCell ref="CA26:CA28"/>
    <mergeCell ref="CF26:CF28"/>
    <mergeCell ref="CG26:CG28"/>
    <mergeCell ref="BJ26:BJ28"/>
    <mergeCell ref="BK26:BK28"/>
    <mergeCell ref="BP26:BP28"/>
    <mergeCell ref="BQ26:BQ28"/>
    <mergeCell ref="BR26:BR28"/>
    <mergeCell ref="BS26:BS28"/>
    <mergeCell ref="AZ26:AZ28"/>
    <mergeCell ref="BA26:BA28"/>
    <mergeCell ref="BB26:BB28"/>
    <mergeCell ref="BC26:BC28"/>
    <mergeCell ref="BH26:BH28"/>
    <mergeCell ref="BI26:BI28"/>
    <mergeCell ref="AL26:AL28"/>
    <mergeCell ref="AM26:AM28"/>
    <mergeCell ref="AR26:AR28"/>
    <mergeCell ref="AS26:AS28"/>
    <mergeCell ref="AT26:AT28"/>
    <mergeCell ref="AU26:AU28"/>
    <mergeCell ref="AB26:AB28"/>
    <mergeCell ref="AC26:AC28"/>
    <mergeCell ref="AD26:AD28"/>
    <mergeCell ref="AE26:AE28"/>
    <mergeCell ref="AJ26:AJ28"/>
    <mergeCell ref="AK26:AK28"/>
    <mergeCell ref="N26:N31"/>
    <mergeCell ref="O26:O28"/>
    <mergeCell ref="P26:P28"/>
    <mergeCell ref="Q26:Q28"/>
    <mergeCell ref="R26:R28"/>
    <mergeCell ref="S26:S28"/>
    <mergeCell ref="G26:G28"/>
    <mergeCell ref="H26:H28"/>
    <mergeCell ref="I26:I28"/>
    <mergeCell ref="J26:J31"/>
    <mergeCell ref="K26:K31"/>
    <mergeCell ref="L26:L31"/>
    <mergeCell ref="A26:A28"/>
    <mergeCell ref="B26:B28"/>
    <mergeCell ref="C26:C28"/>
    <mergeCell ref="D26:D28"/>
    <mergeCell ref="E26:E28"/>
    <mergeCell ref="F26:F28"/>
    <mergeCell ref="CN19:CN20"/>
    <mergeCell ref="CO19:CO20"/>
    <mergeCell ref="CP19:CP20"/>
    <mergeCell ref="CQ19:CQ20"/>
    <mergeCell ref="J23:J25"/>
    <mergeCell ref="K23:K25"/>
    <mergeCell ref="L23:L25"/>
    <mergeCell ref="N23:N25"/>
    <mergeCell ref="Y23:Y25"/>
    <mergeCell ref="BZ19:BZ20"/>
    <mergeCell ref="CA19:CA20"/>
    <mergeCell ref="CF19:CF20"/>
    <mergeCell ref="CG19:CG20"/>
    <mergeCell ref="CH19:CH20"/>
    <mergeCell ref="CI19:CI20"/>
    <mergeCell ref="BP19:BP20"/>
    <mergeCell ref="BQ19:BQ20"/>
    <mergeCell ref="BR19:BR20"/>
    <mergeCell ref="BS19:BS20"/>
    <mergeCell ref="BX19:BX20"/>
    <mergeCell ref="BY19:BY20"/>
    <mergeCell ref="BB19:BB20"/>
    <mergeCell ref="BC19:BC20"/>
    <mergeCell ref="BH19:BH20"/>
    <mergeCell ref="BI19:BI20"/>
    <mergeCell ref="BJ19:BJ20"/>
    <mergeCell ref="BK19:BK20"/>
    <mergeCell ref="AR19:AR20"/>
    <mergeCell ref="AS19:AS20"/>
    <mergeCell ref="AT19:AT20"/>
    <mergeCell ref="AU19:AU20"/>
    <mergeCell ref="AZ19:AZ20"/>
    <mergeCell ref="BA19:BA20"/>
    <mergeCell ref="O19:O20"/>
    <mergeCell ref="P19:P20"/>
    <mergeCell ref="Q19:Q20"/>
    <mergeCell ref="R19:R20"/>
    <mergeCell ref="S19:S20"/>
    <mergeCell ref="Y19:Y22"/>
    <mergeCell ref="CN12:CN13"/>
    <mergeCell ref="CO12:CO13"/>
    <mergeCell ref="CP12:CP13"/>
    <mergeCell ref="CQ12:CQ13"/>
    <mergeCell ref="A19:A20"/>
    <mergeCell ref="B19:B20"/>
    <mergeCell ref="C19:C20"/>
    <mergeCell ref="D19:D20"/>
    <mergeCell ref="E19:E20"/>
    <mergeCell ref="F19:F20"/>
    <mergeCell ref="BZ12:BZ13"/>
    <mergeCell ref="CA12:CA13"/>
    <mergeCell ref="CF12:CF13"/>
    <mergeCell ref="CG12:CG13"/>
    <mergeCell ref="CH12:CH13"/>
    <mergeCell ref="CI12:CI13"/>
    <mergeCell ref="BP12:BP13"/>
    <mergeCell ref="BQ12:BQ13"/>
    <mergeCell ref="BR12:BR13"/>
    <mergeCell ref="BS12:BS13"/>
    <mergeCell ref="BX12:BX13"/>
    <mergeCell ref="BY12:BY13"/>
    <mergeCell ref="BB12:BB13"/>
    <mergeCell ref="BC12:BC13"/>
    <mergeCell ref="BH12:BH13"/>
    <mergeCell ref="BI12:BI13"/>
    <mergeCell ref="BJ12:BJ13"/>
    <mergeCell ref="BK12:BK13"/>
    <mergeCell ref="AR12:AR13"/>
    <mergeCell ref="AS12:AS13"/>
    <mergeCell ref="AT12:AT13"/>
    <mergeCell ref="AU12:AU13"/>
    <mergeCell ref="AZ12:AZ13"/>
    <mergeCell ref="BA12:BA13"/>
    <mergeCell ref="H12:H13"/>
    <mergeCell ref="I12:I13"/>
    <mergeCell ref="O12:O13"/>
    <mergeCell ref="P12:P13"/>
    <mergeCell ref="Q12:Q13"/>
    <mergeCell ref="R12:R13"/>
    <mergeCell ref="CO7:CO8"/>
    <mergeCell ref="CP7:CP8"/>
    <mergeCell ref="CQ7:CQ8"/>
    <mergeCell ref="A12:A13"/>
    <mergeCell ref="B12:B13"/>
    <mergeCell ref="C12:C13"/>
    <mergeCell ref="D12:D13"/>
    <mergeCell ref="E12:E13"/>
    <mergeCell ref="F12:F13"/>
    <mergeCell ref="G12:G13"/>
    <mergeCell ref="CA7:CA8"/>
    <mergeCell ref="CF7:CF8"/>
    <mergeCell ref="CG7:CG8"/>
    <mergeCell ref="CH7:CH8"/>
    <mergeCell ref="CI7:CI8"/>
    <mergeCell ref="CN7:CN8"/>
    <mergeCell ref="BQ7:BQ8"/>
    <mergeCell ref="BR7:BR8"/>
    <mergeCell ref="BS7:BS8"/>
    <mergeCell ref="BX7:BX8"/>
    <mergeCell ref="BY7:BY8"/>
    <mergeCell ref="BZ7:BZ8"/>
    <mergeCell ref="BC7:BC8"/>
    <mergeCell ref="BH7:BH8"/>
    <mergeCell ref="BI7:BI8"/>
    <mergeCell ref="BJ7:BJ8"/>
    <mergeCell ref="BK7:BK8"/>
    <mergeCell ref="BP7:BP8"/>
    <mergeCell ref="AS7:AS8"/>
    <mergeCell ref="AT7:AT8"/>
    <mergeCell ref="AU7:AU8"/>
    <mergeCell ref="AZ7:AZ8"/>
    <mergeCell ref="BA7:BA8"/>
    <mergeCell ref="BB7:BB8"/>
    <mergeCell ref="AA7:AA30"/>
    <mergeCell ref="AJ7:AJ8"/>
    <mergeCell ref="AK7:AK8"/>
    <mergeCell ref="AL7:AL8"/>
    <mergeCell ref="AM7:AM8"/>
    <mergeCell ref="AR7:AR8"/>
    <mergeCell ref="AJ12:AJ13"/>
    <mergeCell ref="AK12:AK13"/>
    <mergeCell ref="AL12:AL13"/>
    <mergeCell ref="AM12:AM13"/>
    <mergeCell ref="P7:P8"/>
    <mergeCell ref="Q7:Q8"/>
    <mergeCell ref="R7:R8"/>
    <mergeCell ref="S7:S8"/>
    <mergeCell ref="Y7:Y18"/>
    <mergeCell ref="Z7:Z30"/>
    <mergeCell ref="S12:S13"/>
    <mergeCell ref="Y26:Y30"/>
    <mergeCell ref="J7:J18"/>
    <mergeCell ref="K7:K18"/>
    <mergeCell ref="L7:L8"/>
    <mergeCell ref="M7:M31"/>
    <mergeCell ref="N7:N18"/>
    <mergeCell ref="O7:O8"/>
    <mergeCell ref="J19:J22"/>
    <mergeCell ref="K19:K22"/>
    <mergeCell ref="L19:L22"/>
    <mergeCell ref="N19:N22"/>
    <mergeCell ref="CR5:CU5"/>
    <mergeCell ref="A7:A8"/>
    <mergeCell ref="B7:B8"/>
    <mergeCell ref="C7:C8"/>
    <mergeCell ref="D7:D8"/>
    <mergeCell ref="E7:E8"/>
    <mergeCell ref="F7:F8"/>
    <mergeCell ref="G7:G8"/>
    <mergeCell ref="H7:H8"/>
    <mergeCell ref="I7:I8"/>
    <mergeCell ref="BT5:BW5"/>
    <mergeCell ref="BX5:CA5"/>
    <mergeCell ref="CB5:CE5"/>
    <mergeCell ref="CF5:CI5"/>
    <mergeCell ref="CJ5:CM5"/>
    <mergeCell ref="CN5:CQ5"/>
    <mergeCell ref="AV5:AY5"/>
    <mergeCell ref="AZ5:BC5"/>
    <mergeCell ref="BD5:BG5"/>
    <mergeCell ref="BH5:BK5"/>
    <mergeCell ref="BL5:BO5"/>
    <mergeCell ref="BP5:BS5"/>
    <mergeCell ref="T5:X5"/>
    <mergeCell ref="AB5:AE5"/>
    <mergeCell ref="AF5:AI5"/>
    <mergeCell ref="AJ5:AM5"/>
    <mergeCell ref="AN5:AQ5"/>
    <mergeCell ref="AR5:AU5"/>
    <mergeCell ref="AZ4:BG4"/>
    <mergeCell ref="BH4:BO4"/>
    <mergeCell ref="BP4:BW4"/>
    <mergeCell ref="BX4:CE4"/>
    <mergeCell ref="CF4:CM4"/>
    <mergeCell ref="CN4:CU4"/>
    <mergeCell ref="C2:O2"/>
    <mergeCell ref="M4:M5"/>
    <mergeCell ref="Y4:Z4"/>
    <mergeCell ref="AB4:AI4"/>
    <mergeCell ref="AJ4:AQ4"/>
    <mergeCell ref="AR4:AY4"/>
    <mergeCell ref="A5:C5"/>
    <mergeCell ref="D5:F5"/>
    <mergeCell ref="G5:I5"/>
    <mergeCell ref="J5:L5"/>
  </mergeCell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3A72C-CF1C-49DB-8A5D-A5796A1AE9AF}">
  <sheetPr>
    <tabColor rgb="FF0070C0"/>
  </sheetPr>
  <dimension ref="A1:KT51"/>
  <sheetViews>
    <sheetView zoomScale="85" zoomScaleNormal="85" workbookViewId="0">
      <selection activeCell="CU2" sqref="CU2"/>
    </sheetView>
  </sheetViews>
  <sheetFormatPr baseColWidth="10" defaultRowHeight="22.5" customHeight="1" x14ac:dyDescent="0.25"/>
  <cols>
    <col min="1" max="1" width="22.42578125" style="5" customWidth="1"/>
    <col min="2" max="2" width="30.42578125" style="5" customWidth="1"/>
    <col min="3" max="3" width="30.85546875" style="5" customWidth="1"/>
    <col min="4" max="4" width="21.28515625" style="5" customWidth="1"/>
    <col min="5" max="5" width="16" style="5" customWidth="1"/>
    <col min="6" max="6" width="53" style="5" customWidth="1"/>
    <col min="7" max="7" width="43.42578125" style="5" customWidth="1"/>
    <col min="8" max="8" width="17.140625" style="5" customWidth="1"/>
    <col min="9" max="9" width="16.140625" style="5" customWidth="1"/>
    <col min="10" max="10" width="29.140625" style="5" customWidth="1"/>
    <col min="11" max="11" width="14.7109375" style="5" customWidth="1"/>
    <col min="12" max="12" width="17.28515625" style="5" customWidth="1"/>
    <col min="13" max="13" width="16.85546875" style="5" customWidth="1"/>
    <col min="14" max="14" width="15.85546875" style="5" customWidth="1"/>
    <col min="15" max="15" width="27" style="640" customWidth="1"/>
    <col min="16" max="16" width="24.85546875" style="5" customWidth="1"/>
    <col min="17" max="17" width="16.28515625" style="5" customWidth="1"/>
    <col min="18" max="18" width="11.28515625" style="1" customWidth="1"/>
    <col min="19" max="19" width="16.28515625" style="1" customWidth="1"/>
    <col min="20" max="20" width="43" style="5" customWidth="1"/>
    <col min="21" max="21" width="27.85546875" style="1017" customWidth="1"/>
    <col min="22" max="22" width="17.140625" style="5" customWidth="1"/>
    <col min="23" max="23" width="10.28515625" style="5" customWidth="1"/>
    <col min="24" max="24" width="14.5703125" style="5" customWidth="1"/>
    <col min="25" max="25" width="16.140625" style="5" customWidth="1"/>
    <col min="26" max="26" width="14.85546875" style="5" customWidth="1"/>
    <col min="27" max="27" width="20.28515625" style="5" customWidth="1"/>
    <col min="28" max="28" width="16" style="5" hidden="1" customWidth="1"/>
    <col min="29" max="29" width="15.7109375" style="5" hidden="1" customWidth="1"/>
    <col min="30" max="30" width="17.5703125" style="1018" hidden="1" customWidth="1"/>
    <col min="31" max="31" width="40.5703125" style="5" hidden="1" customWidth="1"/>
    <col min="32" max="32" width="23.28515625" style="5" hidden="1" customWidth="1"/>
    <col min="33" max="33" width="10" style="5" hidden="1" customWidth="1"/>
    <col min="34" max="34" width="17.5703125" style="1018" hidden="1" customWidth="1"/>
    <col min="35" max="35" width="43.7109375" style="5" hidden="1" customWidth="1"/>
    <col min="36" max="37" width="15" style="16" hidden="1" customWidth="1"/>
    <col min="38" max="38" width="16.140625" style="16" hidden="1" customWidth="1"/>
    <col min="39" max="39" width="34.28515625" style="16" hidden="1" customWidth="1"/>
    <col min="40" max="41" width="14.5703125" style="16" hidden="1" customWidth="1"/>
    <col min="42" max="42" width="16.140625" style="16" hidden="1" customWidth="1"/>
    <col min="43" max="43" width="33.5703125" style="16" hidden="1" customWidth="1"/>
    <col min="44" max="44" width="15.28515625" style="16" hidden="1" customWidth="1"/>
    <col min="45" max="45" width="14.28515625" style="16" hidden="1" customWidth="1"/>
    <col min="46" max="46" width="16.140625" style="16" hidden="1" customWidth="1"/>
    <col min="47" max="47" width="37.7109375" style="16" hidden="1" customWidth="1"/>
    <col min="48" max="48" width="17.85546875" style="16" hidden="1" customWidth="1"/>
    <col min="49" max="49" width="13.85546875" style="16" hidden="1" customWidth="1"/>
    <col min="50" max="50" width="16.140625" style="16" hidden="1" customWidth="1"/>
    <col min="51" max="51" width="33.42578125" style="16" hidden="1" customWidth="1"/>
    <col min="52" max="52" width="15.28515625" style="16" hidden="1" customWidth="1"/>
    <col min="53" max="53" width="14.28515625" style="16" hidden="1" customWidth="1"/>
    <col min="54" max="54" width="16.140625" style="16" hidden="1" customWidth="1"/>
    <col min="55" max="55" width="37.7109375" style="16" hidden="1" customWidth="1"/>
    <col min="56" max="56" width="17.85546875" style="16" hidden="1" customWidth="1"/>
    <col min="57" max="57" width="13.85546875" style="16" hidden="1" customWidth="1"/>
    <col min="58" max="58" width="16.140625" style="16" hidden="1" customWidth="1"/>
    <col min="59" max="59" width="52.28515625" style="16" hidden="1" customWidth="1"/>
    <col min="60" max="60" width="15.28515625" style="16" hidden="1" customWidth="1"/>
    <col min="61" max="61" width="14.28515625" style="16" hidden="1" customWidth="1"/>
    <col min="62" max="62" width="16.140625" style="16" hidden="1" customWidth="1"/>
    <col min="63" max="63" width="37.7109375" style="16" hidden="1" customWidth="1"/>
    <col min="64" max="64" width="17.85546875" style="16" hidden="1" customWidth="1"/>
    <col min="65" max="65" width="13.85546875" style="16" hidden="1" customWidth="1"/>
    <col min="66" max="66" width="16.140625" style="16" hidden="1" customWidth="1"/>
    <col min="67" max="67" width="52.28515625" style="16" hidden="1" customWidth="1"/>
    <col min="68" max="68" width="15.28515625" style="16" hidden="1" customWidth="1"/>
    <col min="69" max="69" width="14.28515625" style="16" hidden="1" customWidth="1"/>
    <col min="70" max="70" width="16.140625" style="16" hidden="1" customWidth="1"/>
    <col min="71" max="71" width="37.7109375" style="16" hidden="1" customWidth="1"/>
    <col min="72" max="72" width="17.85546875" style="16" hidden="1" customWidth="1"/>
    <col min="73" max="73" width="13.85546875" style="16" hidden="1" customWidth="1"/>
    <col min="74" max="74" width="16.140625" style="16" hidden="1" customWidth="1"/>
    <col min="75" max="75" width="52.28515625" style="16" hidden="1" customWidth="1"/>
    <col min="76" max="76" width="15.28515625" style="16" hidden="1" customWidth="1"/>
    <col min="77" max="77" width="14.28515625" style="16" hidden="1" customWidth="1"/>
    <col min="78" max="78" width="16.140625" style="16" hidden="1" customWidth="1"/>
    <col min="79" max="79" width="37.7109375" style="16" hidden="1" customWidth="1"/>
    <col min="80" max="80" width="43" style="16" hidden="1" customWidth="1"/>
    <col min="81" max="81" width="13.85546875" style="16" hidden="1" customWidth="1"/>
    <col min="82" max="82" width="16.140625" style="16" hidden="1" customWidth="1"/>
    <col min="83" max="83" width="52.28515625" style="16" hidden="1" customWidth="1"/>
    <col min="84" max="84" width="15.28515625" style="16" hidden="1" customWidth="1"/>
    <col min="85" max="85" width="14.28515625" style="16" hidden="1" customWidth="1"/>
    <col min="86" max="86" width="16.140625" style="16" hidden="1" customWidth="1"/>
    <col min="87" max="87" width="51.140625" style="16" hidden="1" customWidth="1"/>
    <col min="88" max="88" width="43" style="16" hidden="1" customWidth="1"/>
    <col min="89" max="89" width="13.85546875" style="16" hidden="1" customWidth="1"/>
    <col min="90" max="90" width="16.140625" style="16" hidden="1" customWidth="1"/>
    <col min="91" max="91" width="52.28515625" style="16" hidden="1" customWidth="1"/>
    <col min="92" max="92" width="15.28515625" style="16" customWidth="1"/>
    <col min="93" max="93" width="14.28515625" style="16" customWidth="1"/>
    <col min="94" max="94" width="16.140625" style="16" customWidth="1"/>
    <col min="95" max="95" width="51.140625" style="16" customWidth="1"/>
    <col min="96" max="96" width="43" style="16" customWidth="1"/>
    <col min="97" max="97" width="13.85546875" style="16" customWidth="1"/>
    <col min="98" max="98" width="16.140625" style="16" customWidth="1"/>
    <col min="99" max="99" width="52.28515625" style="16" customWidth="1"/>
    <col min="100" max="100" width="55" style="16" hidden="1" customWidth="1"/>
    <col min="101" max="109" width="11.42578125" style="16" hidden="1" customWidth="1"/>
    <col min="110" max="122" width="0" style="16" hidden="1" customWidth="1"/>
    <col min="123" max="182" width="11.42578125" style="16"/>
    <col min="183" max="183" width="10.140625" style="16" customWidth="1"/>
    <col min="184" max="306" width="11.42578125" style="16"/>
    <col min="307" max="16384" width="11.42578125" style="5"/>
  </cols>
  <sheetData>
    <row r="1" spans="1:306" s="273" customFormat="1" ht="22.5" customHeight="1" x14ac:dyDescent="0.25">
      <c r="A1" s="17"/>
      <c r="B1" s="17"/>
      <c r="C1" s="17"/>
      <c r="D1" s="17"/>
      <c r="E1" s="17"/>
      <c r="F1" s="17"/>
      <c r="G1" s="17"/>
      <c r="H1" s="17"/>
      <c r="I1" s="17"/>
      <c r="J1" s="17"/>
      <c r="K1" s="17"/>
      <c r="L1" s="17"/>
      <c r="M1" s="17"/>
      <c r="N1" s="17"/>
      <c r="O1" s="17"/>
      <c r="P1" s="17"/>
      <c r="Q1" s="17"/>
      <c r="R1" s="17"/>
      <c r="S1" s="39"/>
      <c r="T1" s="17"/>
      <c r="U1" s="17"/>
      <c r="V1" s="17"/>
      <c r="W1" s="17"/>
      <c r="X1" s="17"/>
      <c r="Y1" s="17"/>
      <c r="Z1" s="17"/>
      <c r="AA1" s="17"/>
      <c r="AB1" s="17"/>
      <c r="AC1" s="39"/>
      <c r="AD1" s="39"/>
      <c r="AE1" s="17"/>
      <c r="AF1" s="17"/>
      <c r="AG1" s="1160" t="s">
        <v>0</v>
      </c>
      <c r="AH1" s="1160"/>
      <c r="AI1" s="1161">
        <v>43458</v>
      </c>
    </row>
    <row r="2" spans="1:306" s="273" customFormat="1" ht="33.75" customHeight="1" x14ac:dyDescent="0.25">
      <c r="A2" s="17"/>
      <c r="B2" s="17"/>
      <c r="C2" s="1162" t="s">
        <v>1</v>
      </c>
      <c r="D2" s="1162"/>
      <c r="E2" s="1162"/>
      <c r="F2" s="1162"/>
      <c r="G2" s="1162"/>
      <c r="H2" s="1162"/>
      <c r="I2" s="1162"/>
      <c r="J2" s="1162"/>
      <c r="K2" s="1162"/>
      <c r="L2" s="1162"/>
      <c r="M2" s="1162"/>
      <c r="N2" s="1162"/>
      <c r="O2" s="1162"/>
      <c r="P2" s="17"/>
      <c r="Q2" s="17"/>
      <c r="R2" s="17"/>
      <c r="S2" s="39"/>
      <c r="T2" s="17"/>
      <c r="U2" s="17"/>
      <c r="V2" s="17"/>
      <c r="W2" s="17"/>
      <c r="X2" s="17"/>
      <c r="Y2" s="17"/>
      <c r="Z2" s="17"/>
      <c r="AA2" s="17"/>
      <c r="AB2" s="17"/>
      <c r="AC2" s="39"/>
      <c r="AD2" s="39"/>
      <c r="AE2" s="17"/>
      <c r="AF2" s="17"/>
      <c r="AG2" s="1160" t="s">
        <v>2</v>
      </c>
      <c r="AH2" s="1160"/>
      <c r="AI2" s="274">
        <v>5</v>
      </c>
    </row>
    <row r="3" spans="1:306" s="273" customFormat="1" ht="35.25" customHeight="1" thickBot="1" x14ac:dyDescent="0.3">
      <c r="A3" s="17"/>
      <c r="B3" s="17"/>
      <c r="C3" s="17"/>
      <c r="D3" s="17"/>
      <c r="E3" s="17"/>
      <c r="F3" s="17"/>
      <c r="G3" s="17"/>
      <c r="H3" s="17"/>
      <c r="I3" s="17"/>
      <c r="J3" s="17"/>
      <c r="K3" s="17"/>
      <c r="L3" s="17"/>
      <c r="M3" s="17"/>
      <c r="N3" s="17"/>
      <c r="O3" s="17"/>
      <c r="P3" s="17"/>
      <c r="Q3" s="17"/>
      <c r="R3" s="17"/>
      <c r="S3" s="39"/>
      <c r="T3" s="17"/>
      <c r="U3" s="17"/>
      <c r="V3" s="17"/>
      <c r="W3" s="17"/>
      <c r="X3" s="17"/>
      <c r="Y3" s="17"/>
      <c r="Z3" s="17"/>
      <c r="AA3" s="17"/>
      <c r="AB3" s="17"/>
      <c r="AC3" s="39"/>
      <c r="AD3" s="39"/>
      <c r="AE3" s="17"/>
      <c r="AF3" s="17"/>
      <c r="AG3" s="1163" t="s">
        <v>3</v>
      </c>
      <c r="AH3" s="1163"/>
      <c r="AI3" s="1164" t="s">
        <v>4</v>
      </c>
    </row>
    <row r="4" spans="1:306" s="2" customFormat="1" ht="18.75" x14ac:dyDescent="0.25">
      <c r="O4" s="642"/>
      <c r="U4" s="642"/>
      <c r="AB4" s="643" t="s">
        <v>650</v>
      </c>
      <c r="AC4" s="643"/>
      <c r="AD4" s="643"/>
      <c r="AE4" s="643"/>
      <c r="AF4" s="643"/>
      <c r="AG4" s="643"/>
      <c r="AH4" s="643"/>
      <c r="AI4" s="643"/>
      <c r="AJ4" s="644" t="s">
        <v>651</v>
      </c>
      <c r="AK4" s="645"/>
      <c r="AL4" s="645"/>
      <c r="AM4" s="645"/>
      <c r="AN4" s="645"/>
      <c r="AO4" s="645"/>
      <c r="AP4" s="645"/>
      <c r="AQ4" s="646"/>
      <c r="AR4" s="644"/>
      <c r="AS4" s="645"/>
      <c r="AT4" s="645"/>
      <c r="AU4" s="645"/>
      <c r="AV4" s="645"/>
      <c r="AW4" s="645"/>
      <c r="AX4" s="645"/>
      <c r="AY4" s="646"/>
      <c r="AZ4" s="644" t="s">
        <v>652</v>
      </c>
      <c r="BA4" s="645"/>
      <c r="BB4" s="645"/>
      <c r="BC4" s="645"/>
      <c r="BD4" s="645"/>
      <c r="BE4" s="645"/>
      <c r="BF4" s="645"/>
      <c r="BG4" s="646"/>
      <c r="BH4" s="644" t="s">
        <v>653</v>
      </c>
      <c r="BI4" s="645"/>
      <c r="BJ4" s="645"/>
      <c r="BK4" s="645"/>
      <c r="BL4" s="645"/>
      <c r="BM4" s="645"/>
      <c r="BN4" s="645"/>
      <c r="BO4" s="646"/>
      <c r="BP4" s="644" t="s">
        <v>654</v>
      </c>
      <c r="BQ4" s="645"/>
      <c r="BR4" s="645"/>
      <c r="BS4" s="645"/>
      <c r="BT4" s="645"/>
      <c r="BU4" s="645"/>
      <c r="BV4" s="645"/>
      <c r="BW4" s="646"/>
      <c r="BX4" s="644" t="s">
        <v>655</v>
      </c>
      <c r="BY4" s="645"/>
      <c r="BZ4" s="645"/>
      <c r="CA4" s="645"/>
      <c r="CB4" s="645"/>
      <c r="CC4" s="645"/>
      <c r="CD4" s="645"/>
      <c r="CE4" s="646"/>
      <c r="CF4" s="644" t="s">
        <v>656</v>
      </c>
      <c r="CG4" s="645"/>
      <c r="CH4" s="645"/>
      <c r="CI4" s="645"/>
      <c r="CJ4" s="645"/>
      <c r="CK4" s="645"/>
      <c r="CL4" s="645"/>
      <c r="CM4" s="646"/>
      <c r="CN4" s="261" t="s">
        <v>210</v>
      </c>
      <c r="CO4" s="262"/>
      <c r="CP4" s="262"/>
      <c r="CQ4" s="262"/>
      <c r="CR4" s="262"/>
      <c r="CS4" s="262"/>
      <c r="CT4" s="262"/>
      <c r="CU4" s="263"/>
      <c r="CV4" s="17"/>
      <c r="CW4" s="17"/>
      <c r="CX4" s="17"/>
      <c r="CY4" s="17"/>
      <c r="CZ4" s="17"/>
      <c r="DA4" s="17"/>
      <c r="DB4" s="17"/>
      <c r="DC4" s="17"/>
      <c r="DD4" s="17"/>
      <c r="DE4" s="17"/>
      <c r="DF4" s="17"/>
      <c r="DG4" s="17"/>
      <c r="DH4" s="17"/>
      <c r="DI4" s="17"/>
      <c r="DJ4" s="17"/>
      <c r="DK4" s="17"/>
      <c r="DL4" s="17"/>
      <c r="DM4" s="17"/>
      <c r="DN4" s="17"/>
      <c r="DO4" s="17"/>
      <c r="DP4" s="17"/>
      <c r="DQ4" s="17"/>
      <c r="DR4" s="17"/>
      <c r="DS4" s="17"/>
      <c r="DT4" s="17"/>
      <c r="DU4" s="17"/>
      <c r="DV4" s="17"/>
      <c r="DW4" s="17"/>
      <c r="DX4" s="17"/>
      <c r="DY4" s="17"/>
      <c r="DZ4" s="17"/>
      <c r="EA4" s="17"/>
      <c r="EB4" s="17"/>
      <c r="EC4" s="17"/>
      <c r="ED4" s="17"/>
      <c r="EE4" s="17"/>
      <c r="EF4" s="17"/>
      <c r="EG4" s="17"/>
      <c r="EH4" s="17"/>
      <c r="EI4" s="17"/>
      <c r="EJ4" s="17"/>
      <c r="EK4" s="17"/>
      <c r="EL4" s="17"/>
      <c r="EM4" s="17"/>
      <c r="EN4" s="17"/>
      <c r="EO4" s="17"/>
      <c r="EP4" s="17"/>
      <c r="EQ4" s="17"/>
      <c r="ER4" s="17"/>
      <c r="ES4" s="17"/>
      <c r="ET4" s="17"/>
      <c r="EU4" s="17"/>
      <c r="EV4" s="17"/>
      <c r="EW4" s="17"/>
      <c r="EX4" s="17"/>
      <c r="EY4" s="17"/>
      <c r="EZ4" s="17"/>
      <c r="FA4" s="17"/>
      <c r="FB4" s="17"/>
      <c r="FC4" s="17"/>
      <c r="FD4" s="17"/>
      <c r="FE4" s="17"/>
      <c r="FF4" s="17"/>
      <c r="FG4" s="17"/>
      <c r="FH4" s="17"/>
      <c r="FI4" s="17"/>
      <c r="FJ4" s="17"/>
      <c r="FK4" s="17"/>
      <c r="FL4" s="17"/>
      <c r="FM4" s="17"/>
      <c r="FN4" s="17"/>
      <c r="FO4" s="17"/>
      <c r="FP4" s="17"/>
      <c r="FQ4" s="17"/>
      <c r="FR4" s="17"/>
      <c r="FS4" s="17"/>
      <c r="FT4" s="17"/>
      <c r="FU4" s="17"/>
      <c r="FV4" s="17"/>
      <c r="FW4" s="17"/>
      <c r="FX4" s="17"/>
      <c r="FY4" s="17"/>
      <c r="FZ4" s="17"/>
      <c r="GA4" s="17"/>
      <c r="GB4" s="17"/>
      <c r="GC4" s="17"/>
      <c r="GD4" s="17"/>
      <c r="GE4" s="17"/>
      <c r="GF4" s="17"/>
      <c r="GG4" s="17"/>
      <c r="GH4" s="17"/>
      <c r="GI4" s="17"/>
      <c r="GJ4" s="17"/>
      <c r="GK4" s="17"/>
      <c r="GL4" s="17"/>
      <c r="GM4" s="17"/>
      <c r="GN4" s="17"/>
      <c r="GO4" s="17"/>
      <c r="GP4" s="17"/>
      <c r="GQ4" s="17"/>
      <c r="GR4" s="17"/>
      <c r="GS4" s="17"/>
      <c r="GT4" s="17"/>
      <c r="GU4" s="17"/>
      <c r="GV4" s="17"/>
      <c r="GW4" s="17"/>
      <c r="GX4" s="17"/>
      <c r="GY4" s="17"/>
      <c r="GZ4" s="17"/>
      <c r="HA4" s="17"/>
      <c r="HB4" s="17"/>
      <c r="HC4" s="17"/>
      <c r="HD4" s="17"/>
      <c r="HE4" s="17"/>
      <c r="HF4" s="17"/>
      <c r="HG4" s="17"/>
      <c r="HH4" s="17"/>
      <c r="HI4" s="17"/>
      <c r="HJ4" s="17"/>
      <c r="HK4" s="17"/>
      <c r="HL4" s="17"/>
      <c r="HM4" s="17"/>
      <c r="HN4" s="17"/>
      <c r="HO4" s="17"/>
      <c r="HP4" s="17"/>
      <c r="HQ4" s="17"/>
      <c r="HR4" s="17"/>
      <c r="HS4" s="17"/>
      <c r="HT4" s="17"/>
      <c r="HU4" s="17"/>
      <c r="HV4" s="17"/>
      <c r="HW4" s="17"/>
      <c r="HX4" s="17"/>
      <c r="HY4" s="17"/>
      <c r="HZ4" s="17"/>
      <c r="IA4" s="17"/>
      <c r="IB4" s="17"/>
      <c r="IC4" s="17"/>
      <c r="ID4" s="17"/>
      <c r="IE4" s="17"/>
      <c r="IF4" s="17"/>
      <c r="IG4" s="17"/>
      <c r="IH4" s="17"/>
      <c r="II4" s="17"/>
      <c r="IJ4" s="17"/>
      <c r="IK4" s="17"/>
      <c r="IL4" s="17"/>
      <c r="IM4" s="17"/>
      <c r="IN4" s="17"/>
      <c r="IO4" s="17"/>
      <c r="IP4" s="17"/>
      <c r="IQ4" s="17"/>
      <c r="IR4" s="17"/>
      <c r="IS4" s="17"/>
      <c r="IT4" s="17"/>
      <c r="IU4" s="17"/>
      <c r="IV4" s="17"/>
      <c r="IW4" s="17"/>
      <c r="IX4" s="17"/>
      <c r="IY4" s="17"/>
      <c r="IZ4" s="17"/>
      <c r="JA4" s="17"/>
      <c r="JB4" s="17"/>
      <c r="JC4" s="17"/>
      <c r="JD4" s="17"/>
      <c r="JE4" s="17"/>
      <c r="JF4" s="17"/>
      <c r="JG4" s="17"/>
      <c r="JH4" s="17"/>
      <c r="JI4" s="17"/>
      <c r="JJ4" s="17"/>
      <c r="JK4" s="17"/>
      <c r="JL4" s="17"/>
      <c r="JM4" s="17"/>
      <c r="JN4" s="17"/>
      <c r="JO4" s="17"/>
      <c r="JP4" s="17"/>
      <c r="JQ4" s="17"/>
      <c r="JR4" s="17"/>
      <c r="JS4" s="17"/>
      <c r="JT4" s="17"/>
      <c r="JU4" s="17"/>
      <c r="JV4" s="17"/>
      <c r="JW4" s="17"/>
      <c r="JX4" s="17"/>
      <c r="JY4" s="17"/>
      <c r="JZ4" s="17"/>
      <c r="KA4" s="17"/>
      <c r="KB4" s="17"/>
      <c r="KC4" s="17"/>
      <c r="KD4" s="17"/>
      <c r="KE4" s="17"/>
      <c r="KF4" s="17"/>
      <c r="KG4" s="17"/>
      <c r="KH4" s="17"/>
      <c r="KI4" s="17"/>
      <c r="KJ4" s="17"/>
      <c r="KK4" s="17"/>
      <c r="KL4" s="17"/>
      <c r="KM4" s="17"/>
      <c r="KN4" s="17"/>
      <c r="KO4" s="17"/>
      <c r="KP4" s="17"/>
      <c r="KQ4" s="17"/>
      <c r="KR4" s="17"/>
      <c r="KS4" s="17"/>
      <c r="KT4" s="17"/>
    </row>
    <row r="5" spans="1:306" s="12" customFormat="1" ht="12" x14ac:dyDescent="0.25">
      <c r="A5" s="14"/>
      <c r="B5" s="14"/>
      <c r="C5" s="14"/>
      <c r="D5" s="14"/>
      <c r="E5" s="14"/>
      <c r="F5" s="14"/>
      <c r="G5" s="14"/>
      <c r="H5" s="14"/>
      <c r="I5" s="14"/>
      <c r="J5" s="14"/>
      <c r="K5" s="14"/>
      <c r="L5" s="14"/>
      <c r="M5" s="275" t="s">
        <v>5</v>
      </c>
      <c r="N5" s="14"/>
      <c r="O5" s="647"/>
      <c r="P5" s="14"/>
      <c r="Q5" s="14"/>
      <c r="R5" s="14"/>
      <c r="S5" s="14"/>
      <c r="T5" s="14"/>
      <c r="U5" s="647"/>
      <c r="V5" s="14"/>
      <c r="W5" s="14"/>
      <c r="X5" s="14"/>
      <c r="Y5" s="648" t="s">
        <v>6</v>
      </c>
      <c r="Z5" s="649"/>
      <c r="AA5" s="14"/>
      <c r="AB5" s="650" t="s">
        <v>658</v>
      </c>
      <c r="AC5" s="651"/>
      <c r="AD5" s="651"/>
      <c r="AE5" s="651"/>
      <c r="AF5" s="651"/>
      <c r="AG5" s="651"/>
      <c r="AH5" s="651"/>
      <c r="AI5" s="652"/>
      <c r="AJ5" s="650" t="s">
        <v>658</v>
      </c>
      <c r="AK5" s="651"/>
      <c r="AL5" s="651"/>
      <c r="AM5" s="651"/>
      <c r="AN5" s="651"/>
      <c r="AO5" s="651"/>
      <c r="AP5" s="651"/>
      <c r="AQ5" s="652"/>
      <c r="AR5" s="653" t="s">
        <v>282</v>
      </c>
      <c r="AS5" s="654"/>
      <c r="AT5" s="654"/>
      <c r="AU5" s="655"/>
      <c r="AV5" s="656"/>
      <c r="AW5" s="656"/>
      <c r="AX5" s="656"/>
      <c r="AY5" s="649"/>
      <c r="AZ5" s="653" t="s">
        <v>283</v>
      </c>
      <c r="BA5" s="654"/>
      <c r="BB5" s="654"/>
      <c r="BC5" s="655"/>
      <c r="BD5" s="656"/>
      <c r="BE5" s="656"/>
      <c r="BF5" s="656"/>
      <c r="BG5" s="649"/>
      <c r="BH5" s="653" t="s">
        <v>284</v>
      </c>
      <c r="BI5" s="654"/>
      <c r="BJ5" s="654"/>
      <c r="BK5" s="655"/>
      <c r="BL5" s="656"/>
      <c r="BM5" s="656"/>
      <c r="BN5" s="656"/>
      <c r="BO5" s="649"/>
      <c r="BP5" s="653" t="s">
        <v>285</v>
      </c>
      <c r="BQ5" s="654"/>
      <c r="BR5" s="654"/>
      <c r="BS5" s="655"/>
      <c r="BT5" s="656"/>
      <c r="BU5" s="656"/>
      <c r="BV5" s="656"/>
      <c r="BW5" s="649"/>
      <c r="BX5" s="653" t="s">
        <v>286</v>
      </c>
      <c r="BY5" s="654"/>
      <c r="BZ5" s="654"/>
      <c r="CA5" s="655"/>
      <c r="CB5" s="656"/>
      <c r="CC5" s="656"/>
      <c r="CD5" s="656"/>
      <c r="CE5" s="649"/>
      <c r="CF5" s="653" t="s">
        <v>287</v>
      </c>
      <c r="CG5" s="654"/>
      <c r="CH5" s="654"/>
      <c r="CI5" s="655"/>
      <c r="CJ5" s="656"/>
      <c r="CK5" s="656"/>
      <c r="CL5" s="656"/>
      <c r="CM5" s="649"/>
      <c r="CN5" s="653" t="s">
        <v>659</v>
      </c>
      <c r="CO5" s="654"/>
      <c r="CP5" s="654"/>
      <c r="CQ5" s="655"/>
      <c r="CR5" s="656"/>
      <c r="CS5" s="656"/>
      <c r="CT5" s="656"/>
      <c r="CU5" s="649"/>
      <c r="CV5" s="657"/>
      <c r="CW5" s="657"/>
      <c r="CX5" s="657"/>
      <c r="CY5" s="657"/>
      <c r="CZ5" s="657"/>
      <c r="DA5" s="657"/>
      <c r="DB5" s="657"/>
      <c r="DC5" s="657"/>
      <c r="DD5" s="657"/>
      <c r="DE5" s="657"/>
      <c r="DF5" s="657"/>
      <c r="DG5" s="657"/>
      <c r="DH5" s="657"/>
      <c r="DI5" s="657"/>
      <c r="DJ5" s="657"/>
      <c r="DK5" s="657"/>
      <c r="DL5" s="657"/>
      <c r="DM5" s="657"/>
      <c r="DN5" s="657"/>
      <c r="DO5" s="657"/>
      <c r="DP5" s="657"/>
      <c r="DQ5" s="657"/>
      <c r="DR5" s="657"/>
      <c r="DS5" s="657"/>
      <c r="DT5" s="657"/>
      <c r="DU5" s="657"/>
      <c r="DV5" s="657"/>
      <c r="DW5" s="657"/>
      <c r="DX5" s="657"/>
      <c r="DY5" s="657"/>
      <c r="DZ5" s="657"/>
      <c r="EA5" s="657"/>
      <c r="EB5" s="657"/>
      <c r="EC5" s="657"/>
      <c r="ED5" s="657"/>
      <c r="EE5" s="657"/>
      <c r="EF5" s="657"/>
      <c r="EG5" s="657"/>
      <c r="EH5" s="657"/>
      <c r="EI5" s="657"/>
      <c r="EJ5" s="657"/>
      <c r="EK5" s="657"/>
      <c r="EL5" s="657"/>
      <c r="EM5" s="657"/>
      <c r="EN5" s="657"/>
      <c r="EO5" s="657"/>
      <c r="EP5" s="657"/>
      <c r="EQ5" s="657"/>
      <c r="ER5" s="657"/>
      <c r="ES5" s="657"/>
      <c r="ET5" s="657"/>
      <c r="EU5" s="657"/>
      <c r="EV5" s="657"/>
      <c r="EW5" s="657"/>
      <c r="EX5" s="657"/>
      <c r="EY5" s="657"/>
      <c r="EZ5" s="657"/>
      <c r="FA5" s="657"/>
      <c r="FB5" s="657"/>
      <c r="FC5" s="657"/>
      <c r="FD5" s="657"/>
      <c r="FE5" s="657"/>
      <c r="FF5" s="657"/>
      <c r="FG5" s="657"/>
      <c r="FH5" s="657"/>
      <c r="FI5" s="657"/>
      <c r="FJ5" s="657"/>
      <c r="FK5" s="657"/>
      <c r="FL5" s="657"/>
      <c r="FM5" s="657"/>
      <c r="FN5" s="657"/>
      <c r="FO5" s="657"/>
      <c r="FP5" s="657"/>
      <c r="FQ5" s="657"/>
      <c r="FR5" s="657"/>
      <c r="FS5" s="657"/>
      <c r="FT5" s="657"/>
      <c r="FU5" s="657"/>
      <c r="FV5" s="657"/>
      <c r="FW5" s="657"/>
      <c r="FX5" s="657"/>
      <c r="FY5" s="657"/>
      <c r="FZ5" s="657"/>
      <c r="GA5" s="657"/>
      <c r="GB5" s="657"/>
      <c r="GC5" s="657"/>
      <c r="GD5" s="657"/>
      <c r="GE5" s="657"/>
      <c r="GF5" s="657"/>
      <c r="GG5" s="657"/>
      <c r="GH5" s="657"/>
      <c r="GI5" s="657"/>
      <c r="GJ5" s="657"/>
      <c r="GK5" s="657"/>
      <c r="GL5" s="657"/>
      <c r="GM5" s="657"/>
      <c r="GN5" s="657"/>
      <c r="GO5" s="657"/>
      <c r="GP5" s="657"/>
      <c r="GQ5" s="657"/>
      <c r="GR5" s="657"/>
      <c r="GS5" s="657"/>
      <c r="GT5" s="657"/>
      <c r="GU5" s="657"/>
      <c r="GV5" s="657"/>
      <c r="GW5" s="657"/>
      <c r="GX5" s="657"/>
      <c r="GY5" s="657"/>
      <c r="GZ5" s="657"/>
      <c r="HA5" s="657"/>
      <c r="HB5" s="657"/>
      <c r="HC5" s="657"/>
      <c r="HD5" s="657"/>
      <c r="HE5" s="657"/>
      <c r="HF5" s="657"/>
      <c r="HG5" s="657"/>
      <c r="HH5" s="657"/>
      <c r="HI5" s="657"/>
      <c r="HJ5" s="657"/>
      <c r="HK5" s="657"/>
      <c r="HL5" s="657"/>
      <c r="HM5" s="657"/>
      <c r="HN5" s="657"/>
      <c r="HO5" s="657"/>
      <c r="HP5" s="657"/>
      <c r="HQ5" s="657"/>
      <c r="HR5" s="657"/>
      <c r="HS5" s="657"/>
      <c r="HT5" s="657"/>
      <c r="HU5" s="657"/>
      <c r="HV5" s="657"/>
      <c r="HW5" s="657"/>
      <c r="HX5" s="657"/>
      <c r="HY5" s="657"/>
      <c r="HZ5" s="657"/>
      <c r="IA5" s="657"/>
      <c r="IB5" s="657"/>
      <c r="IC5" s="657"/>
      <c r="ID5" s="657"/>
      <c r="IE5" s="657"/>
      <c r="IF5" s="657"/>
      <c r="IG5" s="657"/>
      <c r="IH5" s="657"/>
      <c r="II5" s="657"/>
      <c r="IJ5" s="657"/>
      <c r="IK5" s="657"/>
      <c r="IL5" s="657"/>
      <c r="IM5" s="657"/>
      <c r="IN5" s="657"/>
      <c r="IO5" s="657"/>
      <c r="IP5" s="657"/>
      <c r="IQ5" s="657"/>
      <c r="IR5" s="657"/>
      <c r="IS5" s="657"/>
      <c r="IT5" s="657"/>
      <c r="IU5" s="657"/>
      <c r="IV5" s="657"/>
      <c r="IW5" s="657"/>
      <c r="IX5" s="657"/>
      <c r="IY5" s="657"/>
      <c r="IZ5" s="657"/>
      <c r="JA5" s="657"/>
      <c r="JB5" s="657"/>
      <c r="JC5" s="657"/>
      <c r="JD5" s="657"/>
      <c r="JE5" s="657"/>
      <c r="JF5" s="657"/>
      <c r="JG5" s="657"/>
      <c r="JH5" s="657"/>
      <c r="JI5" s="657"/>
      <c r="JJ5" s="657"/>
      <c r="JK5" s="657"/>
      <c r="JL5" s="657"/>
      <c r="JM5" s="657"/>
      <c r="JN5" s="657"/>
      <c r="JO5" s="657"/>
      <c r="JP5" s="657"/>
      <c r="JQ5" s="657"/>
      <c r="JR5" s="657"/>
      <c r="JS5" s="657"/>
      <c r="JT5" s="657"/>
      <c r="JU5" s="657"/>
      <c r="JV5" s="657"/>
      <c r="JW5" s="657"/>
      <c r="JX5" s="657"/>
      <c r="JY5" s="657"/>
      <c r="JZ5" s="657"/>
      <c r="KA5" s="657"/>
      <c r="KB5" s="657"/>
      <c r="KC5" s="657"/>
      <c r="KD5" s="657"/>
      <c r="KE5" s="657"/>
      <c r="KF5" s="657"/>
      <c r="KG5" s="657"/>
      <c r="KH5" s="657"/>
      <c r="KI5" s="657"/>
      <c r="KJ5" s="657"/>
      <c r="KK5" s="657"/>
      <c r="KL5" s="657"/>
      <c r="KM5" s="657"/>
      <c r="KN5" s="657"/>
      <c r="KO5" s="657"/>
      <c r="KP5" s="657"/>
      <c r="KQ5" s="657"/>
      <c r="KR5" s="657"/>
      <c r="KS5" s="657"/>
      <c r="KT5" s="657"/>
    </row>
    <row r="6" spans="1:306" s="13" customFormat="1" ht="12" x14ac:dyDescent="0.25">
      <c r="A6" s="264" t="s">
        <v>7</v>
      </c>
      <c r="B6" s="264"/>
      <c r="C6" s="264"/>
      <c r="D6" s="265" t="s">
        <v>8</v>
      </c>
      <c r="E6" s="266"/>
      <c r="F6" s="267"/>
      <c r="G6" s="265" t="s">
        <v>9</v>
      </c>
      <c r="H6" s="266"/>
      <c r="I6" s="267"/>
      <c r="J6" s="265"/>
      <c r="K6" s="266"/>
      <c r="L6" s="267"/>
      <c r="M6" s="294"/>
      <c r="N6" s="103"/>
      <c r="O6" s="658"/>
      <c r="P6" s="103"/>
      <c r="Q6" s="103"/>
      <c r="R6" s="103"/>
      <c r="S6" s="103"/>
      <c r="T6" s="265" t="s">
        <v>11</v>
      </c>
      <c r="U6" s="266"/>
      <c r="V6" s="266"/>
      <c r="W6" s="266"/>
      <c r="X6" s="267"/>
      <c r="Y6" s="103"/>
      <c r="Z6" s="103"/>
      <c r="AA6" s="103" t="s">
        <v>12</v>
      </c>
      <c r="AB6" s="265" t="s">
        <v>13</v>
      </c>
      <c r="AC6" s="266"/>
      <c r="AD6" s="266"/>
      <c r="AE6" s="267"/>
      <c r="AF6" s="265" t="s">
        <v>14</v>
      </c>
      <c r="AG6" s="266"/>
      <c r="AH6" s="266"/>
      <c r="AI6" s="267"/>
      <c r="AJ6" s="265" t="s">
        <v>13</v>
      </c>
      <c r="AK6" s="266"/>
      <c r="AL6" s="266"/>
      <c r="AM6" s="267"/>
      <c r="AN6" s="265" t="s">
        <v>14</v>
      </c>
      <c r="AO6" s="266"/>
      <c r="AP6" s="266"/>
      <c r="AQ6" s="267"/>
      <c r="AR6" s="659" t="s">
        <v>13</v>
      </c>
      <c r="AS6" s="660"/>
      <c r="AT6" s="660"/>
      <c r="AU6" s="661"/>
      <c r="AV6" s="662" t="s">
        <v>14</v>
      </c>
      <c r="AW6" s="663"/>
      <c r="AX6" s="663"/>
      <c r="AY6" s="664"/>
      <c r="AZ6" s="659" t="s">
        <v>13</v>
      </c>
      <c r="BA6" s="660"/>
      <c r="BB6" s="660"/>
      <c r="BC6" s="661"/>
      <c r="BD6" s="665" t="s">
        <v>14</v>
      </c>
      <c r="BE6" s="666"/>
      <c r="BF6" s="666"/>
      <c r="BG6" s="667"/>
      <c r="BH6" s="659" t="s">
        <v>13</v>
      </c>
      <c r="BI6" s="660"/>
      <c r="BJ6" s="660"/>
      <c r="BK6" s="661"/>
      <c r="BL6" s="665" t="s">
        <v>14</v>
      </c>
      <c r="BM6" s="666"/>
      <c r="BN6" s="666"/>
      <c r="BO6" s="667"/>
      <c r="BP6" s="659" t="s">
        <v>13</v>
      </c>
      <c r="BQ6" s="660"/>
      <c r="BR6" s="660"/>
      <c r="BS6" s="661"/>
      <c r="BT6" s="665" t="s">
        <v>14</v>
      </c>
      <c r="BU6" s="666"/>
      <c r="BV6" s="666"/>
      <c r="BW6" s="667"/>
      <c r="BX6" s="659" t="s">
        <v>13</v>
      </c>
      <c r="BY6" s="660"/>
      <c r="BZ6" s="660"/>
      <c r="CA6" s="661"/>
      <c r="CB6" s="665" t="s">
        <v>14</v>
      </c>
      <c r="CC6" s="666"/>
      <c r="CD6" s="666"/>
      <c r="CE6" s="667"/>
      <c r="CF6" s="659" t="s">
        <v>13</v>
      </c>
      <c r="CG6" s="660"/>
      <c r="CH6" s="660"/>
      <c r="CI6" s="661"/>
      <c r="CJ6" s="665" t="s">
        <v>14</v>
      </c>
      <c r="CK6" s="666"/>
      <c r="CL6" s="666"/>
      <c r="CM6" s="667"/>
      <c r="CN6" s="659" t="s">
        <v>13</v>
      </c>
      <c r="CO6" s="660"/>
      <c r="CP6" s="660"/>
      <c r="CQ6" s="661"/>
      <c r="CR6" s="665" t="s">
        <v>14</v>
      </c>
      <c r="CS6" s="666"/>
      <c r="CT6" s="666"/>
      <c r="CU6" s="667"/>
      <c r="CV6" s="657"/>
      <c r="CW6" s="657"/>
      <c r="CX6" s="657"/>
      <c r="CY6" s="657"/>
      <c r="CZ6" s="657"/>
      <c r="DA6" s="657"/>
      <c r="DB6" s="657"/>
      <c r="DC6" s="657"/>
      <c r="DD6" s="657"/>
      <c r="DE6" s="657"/>
      <c r="DF6" s="657"/>
      <c r="DG6" s="657"/>
      <c r="DH6" s="657"/>
      <c r="DI6" s="657"/>
      <c r="DJ6" s="657"/>
      <c r="DK6" s="657"/>
      <c r="DL6" s="657"/>
      <c r="DM6" s="657"/>
      <c r="DN6" s="657"/>
      <c r="DO6" s="657"/>
      <c r="DP6" s="657"/>
      <c r="DQ6" s="657"/>
      <c r="DR6" s="657"/>
      <c r="DS6" s="657"/>
      <c r="DT6" s="657"/>
      <c r="DU6" s="657"/>
      <c r="DV6" s="657"/>
      <c r="DW6" s="657"/>
      <c r="DX6" s="657"/>
      <c r="DY6" s="657"/>
      <c r="DZ6" s="657"/>
      <c r="EA6" s="657"/>
      <c r="EB6" s="657"/>
      <c r="EC6" s="657"/>
      <c r="ED6" s="657"/>
      <c r="EE6" s="657"/>
      <c r="EF6" s="657"/>
      <c r="EG6" s="657"/>
      <c r="EH6" s="657"/>
      <c r="EI6" s="657"/>
      <c r="EJ6" s="657"/>
      <c r="EK6" s="657"/>
      <c r="EL6" s="657"/>
      <c r="EM6" s="657"/>
      <c r="EN6" s="657"/>
      <c r="EO6" s="657"/>
      <c r="EP6" s="657"/>
      <c r="EQ6" s="657"/>
      <c r="ER6" s="657"/>
      <c r="ES6" s="657"/>
      <c r="ET6" s="657"/>
      <c r="EU6" s="657"/>
      <c r="EV6" s="657"/>
      <c r="EW6" s="657"/>
      <c r="EX6" s="657"/>
      <c r="EY6" s="657"/>
      <c r="EZ6" s="657"/>
      <c r="FA6" s="657"/>
      <c r="FB6" s="657"/>
      <c r="FC6" s="657"/>
      <c r="FD6" s="657"/>
      <c r="FE6" s="657"/>
      <c r="FF6" s="657"/>
      <c r="FG6" s="657"/>
      <c r="FH6" s="657"/>
      <c r="FI6" s="657"/>
      <c r="FJ6" s="657"/>
      <c r="FK6" s="657"/>
      <c r="FL6" s="657"/>
      <c r="FM6" s="657"/>
      <c r="FN6" s="657"/>
      <c r="FO6" s="657"/>
      <c r="FP6" s="657"/>
      <c r="FQ6" s="657"/>
      <c r="FR6" s="657"/>
      <c r="FS6" s="657"/>
      <c r="FT6" s="657"/>
      <c r="FU6" s="657"/>
      <c r="FV6" s="657"/>
      <c r="FW6" s="657"/>
      <c r="FX6" s="657"/>
      <c r="FY6" s="657"/>
      <c r="FZ6" s="657"/>
      <c r="GA6" s="657"/>
      <c r="GB6" s="657"/>
      <c r="GC6" s="657"/>
      <c r="GD6" s="657"/>
      <c r="GE6" s="657"/>
      <c r="GF6" s="657"/>
      <c r="GG6" s="657"/>
      <c r="GH6" s="657"/>
      <c r="GI6" s="657"/>
      <c r="GJ6" s="657"/>
      <c r="GK6" s="657"/>
      <c r="GL6" s="657"/>
      <c r="GM6" s="657"/>
      <c r="GN6" s="657"/>
      <c r="GO6" s="657"/>
      <c r="GP6" s="657"/>
      <c r="GQ6" s="657"/>
      <c r="GR6" s="657"/>
      <c r="GS6" s="657"/>
      <c r="GT6" s="657"/>
      <c r="GU6" s="657"/>
      <c r="GV6" s="657"/>
      <c r="GW6" s="657"/>
      <c r="GX6" s="657"/>
      <c r="GY6" s="657"/>
      <c r="GZ6" s="657"/>
      <c r="HA6" s="657"/>
      <c r="HB6" s="657"/>
      <c r="HC6" s="657"/>
      <c r="HD6" s="657"/>
      <c r="HE6" s="657"/>
      <c r="HF6" s="657"/>
      <c r="HG6" s="657"/>
      <c r="HH6" s="657"/>
      <c r="HI6" s="657"/>
      <c r="HJ6" s="657"/>
      <c r="HK6" s="657"/>
      <c r="HL6" s="657"/>
      <c r="HM6" s="657"/>
      <c r="HN6" s="657"/>
      <c r="HO6" s="657"/>
      <c r="HP6" s="657"/>
      <c r="HQ6" s="657"/>
      <c r="HR6" s="657"/>
      <c r="HS6" s="657"/>
      <c r="HT6" s="657"/>
      <c r="HU6" s="657"/>
      <c r="HV6" s="657"/>
      <c r="HW6" s="657"/>
      <c r="HX6" s="657"/>
      <c r="HY6" s="657"/>
      <c r="HZ6" s="657"/>
      <c r="IA6" s="657"/>
      <c r="IB6" s="657"/>
      <c r="IC6" s="657"/>
      <c r="ID6" s="657"/>
      <c r="IE6" s="657"/>
      <c r="IF6" s="657"/>
      <c r="IG6" s="657"/>
      <c r="IH6" s="657"/>
      <c r="II6" s="657"/>
      <c r="IJ6" s="657"/>
      <c r="IK6" s="657"/>
      <c r="IL6" s="657"/>
      <c r="IM6" s="657"/>
      <c r="IN6" s="657"/>
      <c r="IO6" s="657"/>
      <c r="IP6" s="657"/>
      <c r="IQ6" s="657"/>
      <c r="IR6" s="657"/>
      <c r="IS6" s="657"/>
      <c r="IT6" s="657"/>
      <c r="IU6" s="657"/>
      <c r="IV6" s="657"/>
      <c r="IW6" s="657"/>
      <c r="IX6" s="657"/>
      <c r="IY6" s="657"/>
      <c r="IZ6" s="657"/>
      <c r="JA6" s="657"/>
      <c r="JB6" s="657"/>
      <c r="JC6" s="657"/>
      <c r="JD6" s="657"/>
      <c r="JE6" s="657"/>
      <c r="JF6" s="657"/>
      <c r="JG6" s="657"/>
      <c r="JH6" s="657"/>
      <c r="JI6" s="657"/>
      <c r="JJ6" s="657"/>
      <c r="JK6" s="657"/>
      <c r="JL6" s="657"/>
      <c r="JM6" s="657"/>
      <c r="JN6" s="657"/>
      <c r="JO6" s="657"/>
      <c r="JP6" s="657"/>
      <c r="JQ6" s="657"/>
      <c r="JR6" s="657"/>
      <c r="JS6" s="657"/>
      <c r="JT6" s="657"/>
      <c r="JU6" s="657"/>
      <c r="JV6" s="657"/>
      <c r="JW6" s="657"/>
      <c r="JX6" s="657"/>
      <c r="JY6" s="657"/>
      <c r="JZ6" s="657"/>
      <c r="KA6" s="657"/>
      <c r="KB6" s="657"/>
      <c r="KC6" s="657"/>
      <c r="KD6" s="657"/>
      <c r="KE6" s="657"/>
      <c r="KF6" s="657"/>
      <c r="KG6" s="657"/>
      <c r="KH6" s="657"/>
      <c r="KI6" s="657"/>
      <c r="KJ6" s="657"/>
      <c r="KK6" s="657"/>
      <c r="KL6" s="657"/>
      <c r="KM6" s="657"/>
      <c r="KN6" s="657"/>
      <c r="KO6" s="657"/>
      <c r="KP6" s="657"/>
      <c r="KQ6" s="657"/>
      <c r="KR6" s="657"/>
      <c r="KS6" s="657"/>
      <c r="KT6" s="657"/>
    </row>
    <row r="7" spans="1:306" s="674" customFormat="1" ht="33.75" customHeight="1" x14ac:dyDescent="0.25">
      <c r="A7" s="296" t="s">
        <v>15</v>
      </c>
      <c r="B7" s="296" t="s">
        <v>16</v>
      </c>
      <c r="C7" s="296" t="s">
        <v>17</v>
      </c>
      <c r="D7" s="296" t="s">
        <v>18</v>
      </c>
      <c r="E7" s="296" t="s">
        <v>19</v>
      </c>
      <c r="F7" s="296" t="s">
        <v>20</v>
      </c>
      <c r="G7" s="296" t="s">
        <v>21</v>
      </c>
      <c r="H7" s="296" t="s">
        <v>22</v>
      </c>
      <c r="I7" s="296" t="s">
        <v>23</v>
      </c>
      <c r="J7" s="296" t="s">
        <v>24</v>
      </c>
      <c r="K7" s="296" t="s">
        <v>25</v>
      </c>
      <c r="L7" s="296" t="s">
        <v>26</v>
      </c>
      <c r="M7" s="296" t="s">
        <v>5</v>
      </c>
      <c r="N7" s="668" t="s">
        <v>27</v>
      </c>
      <c r="O7" s="668" t="s">
        <v>28</v>
      </c>
      <c r="P7" s="668" t="s">
        <v>29</v>
      </c>
      <c r="Q7" s="668" t="s">
        <v>30</v>
      </c>
      <c r="R7" s="668" t="s">
        <v>31</v>
      </c>
      <c r="S7" s="668" t="s">
        <v>32</v>
      </c>
      <c r="T7" s="668" t="s">
        <v>11</v>
      </c>
      <c r="U7" s="668" t="s">
        <v>33</v>
      </c>
      <c r="V7" s="668" t="s">
        <v>30</v>
      </c>
      <c r="W7" s="668" t="s">
        <v>31</v>
      </c>
      <c r="X7" s="668" t="s">
        <v>36</v>
      </c>
      <c r="Y7" s="668" t="s">
        <v>37</v>
      </c>
      <c r="Z7" s="668" t="s">
        <v>38</v>
      </c>
      <c r="AA7" s="668" t="s">
        <v>39</v>
      </c>
      <c r="AB7" s="668" t="s">
        <v>40</v>
      </c>
      <c r="AC7" s="296" t="s">
        <v>41</v>
      </c>
      <c r="AD7" s="296" t="s">
        <v>42</v>
      </c>
      <c r="AE7" s="296" t="s">
        <v>43</v>
      </c>
      <c r="AF7" s="296" t="s">
        <v>40</v>
      </c>
      <c r="AG7" s="296" t="s">
        <v>41</v>
      </c>
      <c r="AH7" s="296" t="s">
        <v>42</v>
      </c>
      <c r="AI7" s="296" t="s">
        <v>43</v>
      </c>
      <c r="AJ7" s="296" t="s">
        <v>40</v>
      </c>
      <c r="AK7" s="296" t="s">
        <v>41</v>
      </c>
      <c r="AL7" s="296" t="s">
        <v>42</v>
      </c>
      <c r="AM7" s="296" t="s">
        <v>43</v>
      </c>
      <c r="AN7" s="296" t="s">
        <v>40</v>
      </c>
      <c r="AO7" s="296" t="s">
        <v>41</v>
      </c>
      <c r="AP7" s="296" t="s">
        <v>42</v>
      </c>
      <c r="AQ7" s="669" t="s">
        <v>43</v>
      </c>
      <c r="AR7" s="670" t="s">
        <v>40</v>
      </c>
      <c r="AS7" s="670" t="s">
        <v>41</v>
      </c>
      <c r="AT7" s="670" t="s">
        <v>42</v>
      </c>
      <c r="AU7" s="670" t="s">
        <v>43</v>
      </c>
      <c r="AV7" s="671" t="s">
        <v>40</v>
      </c>
      <c r="AW7" s="668" t="s">
        <v>41</v>
      </c>
      <c r="AX7" s="668" t="s">
        <v>42</v>
      </c>
      <c r="AY7" s="668" t="s">
        <v>43</v>
      </c>
      <c r="AZ7" s="670" t="s">
        <v>40</v>
      </c>
      <c r="BA7" s="670" t="s">
        <v>41</v>
      </c>
      <c r="BB7" s="670" t="s">
        <v>42</v>
      </c>
      <c r="BC7" s="670" t="s">
        <v>43</v>
      </c>
      <c r="BD7" s="672" t="s">
        <v>40</v>
      </c>
      <c r="BE7" s="672" t="s">
        <v>41</v>
      </c>
      <c r="BF7" s="672" t="s">
        <v>42</v>
      </c>
      <c r="BG7" s="672" t="s">
        <v>43</v>
      </c>
      <c r="BH7" s="670" t="s">
        <v>40</v>
      </c>
      <c r="BI7" s="670" t="s">
        <v>41</v>
      </c>
      <c r="BJ7" s="670" t="s">
        <v>42</v>
      </c>
      <c r="BK7" s="670" t="s">
        <v>43</v>
      </c>
      <c r="BL7" s="672" t="s">
        <v>40</v>
      </c>
      <c r="BM7" s="672" t="s">
        <v>41</v>
      </c>
      <c r="BN7" s="672" t="s">
        <v>42</v>
      </c>
      <c r="BO7" s="672" t="s">
        <v>43</v>
      </c>
      <c r="BP7" s="670" t="s">
        <v>40</v>
      </c>
      <c r="BQ7" s="670" t="s">
        <v>41</v>
      </c>
      <c r="BR7" s="670" t="s">
        <v>42</v>
      </c>
      <c r="BS7" s="670" t="s">
        <v>43</v>
      </c>
      <c r="BT7" s="672" t="s">
        <v>40</v>
      </c>
      <c r="BU7" s="672" t="s">
        <v>41</v>
      </c>
      <c r="BV7" s="672" t="s">
        <v>42</v>
      </c>
      <c r="BW7" s="672" t="s">
        <v>43</v>
      </c>
      <c r="BX7" s="670" t="s">
        <v>40</v>
      </c>
      <c r="BY7" s="670" t="s">
        <v>41</v>
      </c>
      <c r="BZ7" s="670" t="s">
        <v>42</v>
      </c>
      <c r="CA7" s="670" t="s">
        <v>43</v>
      </c>
      <c r="CB7" s="672" t="s">
        <v>40</v>
      </c>
      <c r="CC7" s="672" t="s">
        <v>41</v>
      </c>
      <c r="CD7" s="672" t="s">
        <v>42</v>
      </c>
      <c r="CE7" s="672" t="s">
        <v>43</v>
      </c>
      <c r="CF7" s="670" t="s">
        <v>40</v>
      </c>
      <c r="CG7" s="670" t="s">
        <v>41</v>
      </c>
      <c r="CH7" s="670" t="s">
        <v>42</v>
      </c>
      <c r="CI7" s="670" t="s">
        <v>43</v>
      </c>
      <c r="CJ7" s="672" t="s">
        <v>40</v>
      </c>
      <c r="CK7" s="672" t="s">
        <v>41</v>
      </c>
      <c r="CL7" s="672" t="s">
        <v>42</v>
      </c>
      <c r="CM7" s="672" t="s">
        <v>43</v>
      </c>
      <c r="CN7" s="670" t="s">
        <v>40</v>
      </c>
      <c r="CO7" s="670" t="s">
        <v>41</v>
      </c>
      <c r="CP7" s="670" t="s">
        <v>42</v>
      </c>
      <c r="CQ7" s="670" t="s">
        <v>43</v>
      </c>
      <c r="CR7" s="672" t="s">
        <v>40</v>
      </c>
      <c r="CS7" s="672" t="s">
        <v>41</v>
      </c>
      <c r="CT7" s="672" t="s">
        <v>42</v>
      </c>
      <c r="CU7" s="672" t="s">
        <v>43</v>
      </c>
      <c r="CV7" s="673"/>
      <c r="CW7" s="673"/>
      <c r="CX7" s="673"/>
      <c r="CY7" s="673"/>
      <c r="CZ7" s="673"/>
      <c r="DA7" s="673"/>
      <c r="DB7" s="673"/>
      <c r="DC7" s="673"/>
      <c r="DD7" s="673"/>
      <c r="DE7" s="673"/>
      <c r="DF7" s="673"/>
      <c r="DG7" s="673"/>
      <c r="DH7" s="673"/>
      <c r="DI7" s="673"/>
      <c r="DJ7" s="673"/>
      <c r="DK7" s="673"/>
      <c r="DL7" s="673"/>
      <c r="DM7" s="673"/>
      <c r="DN7" s="673"/>
      <c r="DO7" s="673"/>
      <c r="DP7" s="673"/>
      <c r="DQ7" s="673"/>
      <c r="DR7" s="673"/>
      <c r="DS7" s="673"/>
      <c r="DT7" s="673"/>
      <c r="DU7" s="673"/>
      <c r="DV7" s="673"/>
      <c r="DW7" s="673"/>
      <c r="DX7" s="673"/>
      <c r="DY7" s="673"/>
      <c r="DZ7" s="673"/>
      <c r="EA7" s="673"/>
      <c r="EB7" s="673"/>
      <c r="EC7" s="673"/>
      <c r="ED7" s="673"/>
      <c r="EE7" s="673"/>
      <c r="EF7" s="673"/>
      <c r="EG7" s="673"/>
      <c r="EH7" s="673"/>
      <c r="EI7" s="673"/>
      <c r="EJ7" s="673"/>
      <c r="EK7" s="673"/>
      <c r="EL7" s="673"/>
      <c r="EM7" s="673"/>
      <c r="EN7" s="673"/>
      <c r="EO7" s="673"/>
      <c r="EP7" s="673"/>
      <c r="EQ7" s="673"/>
      <c r="ER7" s="673"/>
      <c r="ES7" s="673"/>
      <c r="ET7" s="673"/>
      <c r="EU7" s="673"/>
      <c r="EV7" s="673"/>
      <c r="EW7" s="673"/>
      <c r="EX7" s="673"/>
      <c r="EY7" s="673"/>
      <c r="EZ7" s="673"/>
      <c r="FA7" s="673"/>
      <c r="FB7" s="673"/>
      <c r="FC7" s="673"/>
      <c r="FD7" s="673"/>
      <c r="FE7" s="673"/>
      <c r="FF7" s="673"/>
      <c r="FG7" s="673"/>
      <c r="FH7" s="673"/>
      <c r="FI7" s="673"/>
      <c r="FJ7" s="673"/>
      <c r="FK7" s="673"/>
      <c r="FL7" s="673"/>
      <c r="FM7" s="673"/>
      <c r="FN7" s="673"/>
      <c r="FO7" s="673"/>
      <c r="FP7" s="673"/>
      <c r="FQ7" s="673"/>
      <c r="FR7" s="673"/>
      <c r="FS7" s="673"/>
      <c r="FT7" s="673"/>
      <c r="FU7" s="673"/>
      <c r="FV7" s="673"/>
      <c r="FW7" s="673"/>
      <c r="FX7" s="673"/>
      <c r="FY7" s="673"/>
      <c r="FZ7" s="673"/>
      <c r="GA7" s="673"/>
      <c r="GB7" s="673"/>
      <c r="GC7" s="673"/>
      <c r="GD7" s="673"/>
      <c r="GE7" s="673"/>
      <c r="GF7" s="673"/>
      <c r="GG7" s="673"/>
      <c r="GH7" s="673"/>
      <c r="GI7" s="673"/>
      <c r="GJ7" s="673"/>
      <c r="GK7" s="673"/>
      <c r="GL7" s="673"/>
      <c r="GM7" s="673"/>
      <c r="GN7" s="673"/>
      <c r="GO7" s="673"/>
      <c r="GP7" s="673"/>
      <c r="GQ7" s="673"/>
      <c r="GR7" s="673"/>
      <c r="GS7" s="673"/>
      <c r="GT7" s="673"/>
      <c r="GU7" s="673"/>
      <c r="GV7" s="673"/>
      <c r="GW7" s="673"/>
      <c r="GX7" s="673"/>
      <c r="GY7" s="673"/>
      <c r="GZ7" s="673"/>
      <c r="HA7" s="673"/>
      <c r="HB7" s="673"/>
      <c r="HC7" s="673"/>
      <c r="HD7" s="673"/>
      <c r="HE7" s="673"/>
      <c r="HF7" s="673"/>
      <c r="HG7" s="673"/>
      <c r="HH7" s="673"/>
      <c r="HI7" s="673"/>
      <c r="HJ7" s="673"/>
      <c r="HK7" s="673"/>
      <c r="HL7" s="673"/>
      <c r="HM7" s="673"/>
      <c r="HN7" s="673"/>
      <c r="HO7" s="673"/>
      <c r="HP7" s="673"/>
      <c r="HQ7" s="673"/>
      <c r="HR7" s="673"/>
      <c r="HS7" s="673"/>
      <c r="HT7" s="673"/>
      <c r="HU7" s="673"/>
      <c r="HV7" s="673"/>
      <c r="HW7" s="673"/>
      <c r="HX7" s="673"/>
      <c r="HY7" s="673"/>
      <c r="HZ7" s="673"/>
      <c r="IA7" s="673"/>
      <c r="IB7" s="673"/>
      <c r="IC7" s="673"/>
      <c r="ID7" s="673"/>
      <c r="IE7" s="673"/>
      <c r="IF7" s="673"/>
      <c r="IG7" s="673"/>
      <c r="IH7" s="673"/>
      <c r="II7" s="673"/>
      <c r="IJ7" s="673"/>
      <c r="IK7" s="673"/>
      <c r="IL7" s="673"/>
      <c r="IM7" s="673"/>
      <c r="IN7" s="673"/>
      <c r="IO7" s="673"/>
      <c r="IP7" s="673"/>
      <c r="IQ7" s="673"/>
      <c r="IR7" s="673"/>
      <c r="IS7" s="673"/>
      <c r="IT7" s="673"/>
      <c r="IU7" s="673"/>
      <c r="IV7" s="673"/>
      <c r="IW7" s="673"/>
      <c r="IX7" s="673"/>
      <c r="IY7" s="673"/>
      <c r="IZ7" s="673"/>
      <c r="JA7" s="673"/>
      <c r="JB7" s="673"/>
      <c r="JC7" s="673"/>
      <c r="JD7" s="673"/>
      <c r="JE7" s="673"/>
      <c r="JF7" s="673"/>
      <c r="JG7" s="673"/>
      <c r="JH7" s="673"/>
      <c r="JI7" s="673"/>
      <c r="JJ7" s="673"/>
      <c r="JK7" s="673"/>
      <c r="JL7" s="673"/>
      <c r="JM7" s="673"/>
      <c r="JN7" s="673"/>
      <c r="JO7" s="673"/>
      <c r="JP7" s="673"/>
      <c r="JQ7" s="673"/>
      <c r="JR7" s="673"/>
      <c r="JS7" s="673"/>
      <c r="JT7" s="673"/>
      <c r="JU7" s="673"/>
      <c r="JV7" s="673"/>
      <c r="JW7" s="673"/>
      <c r="JX7" s="673"/>
      <c r="JY7" s="673"/>
      <c r="JZ7" s="673"/>
      <c r="KA7" s="673"/>
      <c r="KB7" s="673"/>
      <c r="KC7" s="673"/>
      <c r="KD7" s="673"/>
      <c r="KE7" s="673"/>
      <c r="KF7" s="673"/>
      <c r="KG7" s="673"/>
      <c r="KH7" s="673"/>
      <c r="KI7" s="673"/>
      <c r="KJ7" s="673"/>
      <c r="KK7" s="673"/>
      <c r="KL7" s="673"/>
      <c r="KM7" s="673"/>
      <c r="KN7" s="673"/>
      <c r="KO7" s="673"/>
      <c r="KP7" s="673"/>
      <c r="KQ7" s="673"/>
      <c r="KR7" s="673"/>
      <c r="KS7" s="673"/>
      <c r="KT7" s="673"/>
    </row>
    <row r="8" spans="1:306" s="3" customFormat="1" ht="300" customHeight="1" x14ac:dyDescent="0.25">
      <c r="A8" s="10" t="s">
        <v>98</v>
      </c>
      <c r="B8" s="10" t="s">
        <v>100</v>
      </c>
      <c r="C8" s="10" t="s">
        <v>99</v>
      </c>
      <c r="D8" s="10" t="s">
        <v>660</v>
      </c>
      <c r="E8" s="10" t="s">
        <v>101</v>
      </c>
      <c r="F8" s="10" t="s">
        <v>661</v>
      </c>
      <c r="G8" s="297" t="s">
        <v>335</v>
      </c>
      <c r="H8" s="9" t="s">
        <v>662</v>
      </c>
      <c r="I8" s="297" t="s">
        <v>663</v>
      </c>
      <c r="J8" s="251" t="s">
        <v>664</v>
      </c>
      <c r="K8" s="190" t="s">
        <v>665</v>
      </c>
      <c r="L8" s="190" t="s">
        <v>505</v>
      </c>
      <c r="M8" s="675" t="s">
        <v>666</v>
      </c>
      <c r="N8" s="169" t="s">
        <v>667</v>
      </c>
      <c r="O8" s="676" t="s">
        <v>668</v>
      </c>
      <c r="P8" s="677" t="s">
        <v>669</v>
      </c>
      <c r="Q8" s="45" t="s">
        <v>51</v>
      </c>
      <c r="R8" s="45">
        <v>0</v>
      </c>
      <c r="S8" s="45">
        <v>100</v>
      </c>
      <c r="T8" s="678"/>
      <c r="U8" s="678"/>
      <c r="V8" s="97"/>
      <c r="W8" s="97"/>
      <c r="X8" s="97"/>
      <c r="Y8" s="679">
        <v>1512202734</v>
      </c>
      <c r="Z8" s="680">
        <f>+Y8+Y10+Y12+Y22+Y25+Y27+Y31+Y37+Y38</f>
        <v>29021601185.099998</v>
      </c>
      <c r="AA8" s="602" t="s">
        <v>670</v>
      </c>
      <c r="AB8" s="22">
        <f>352/354</f>
        <v>0.99435028248587576</v>
      </c>
      <c r="AC8" s="681">
        <v>1</v>
      </c>
      <c r="AD8" s="682">
        <f>+AB8/AC8</f>
        <v>0.99435028248587576</v>
      </c>
      <c r="AE8" s="683" t="s">
        <v>671</v>
      </c>
      <c r="AF8" s="304"/>
      <c r="AG8" s="304"/>
      <c r="AH8" s="682"/>
      <c r="AI8" s="683"/>
      <c r="AJ8" s="684">
        <f>455/456</f>
        <v>0.9978070175438597</v>
      </c>
      <c r="AK8" s="317">
        <v>1</v>
      </c>
      <c r="AL8" s="685"/>
      <c r="AM8" s="686" t="s">
        <v>672</v>
      </c>
      <c r="AN8" s="687"/>
      <c r="AO8" s="687"/>
      <c r="AP8" s="687"/>
      <c r="AQ8" s="687"/>
      <c r="AR8" s="688">
        <f>496/497</f>
        <v>0.99798792756539234</v>
      </c>
      <c r="AS8" s="22">
        <v>1</v>
      </c>
      <c r="AT8" s="689"/>
      <c r="AU8" s="690" t="s">
        <v>673</v>
      </c>
      <c r="AV8" s="689"/>
      <c r="AW8" s="689"/>
      <c r="AX8" s="689"/>
      <c r="AY8" s="689"/>
      <c r="AZ8" s="688">
        <f>375/376</f>
        <v>0.99734042553191493</v>
      </c>
      <c r="BA8" s="22">
        <v>1</v>
      </c>
      <c r="BB8" s="691">
        <v>0.997</v>
      </c>
      <c r="BC8" s="690" t="s">
        <v>674</v>
      </c>
      <c r="BD8" s="692"/>
      <c r="BE8" s="689"/>
      <c r="BF8" s="689"/>
      <c r="BG8" s="689"/>
      <c r="BH8" s="688">
        <v>1</v>
      </c>
      <c r="BI8" s="22">
        <v>1</v>
      </c>
      <c r="BJ8" s="691"/>
      <c r="BK8" s="690" t="s">
        <v>675</v>
      </c>
      <c r="BL8" s="692"/>
      <c r="BM8" s="689"/>
      <c r="BN8" s="689"/>
      <c r="BO8" s="689"/>
      <c r="BP8" s="688"/>
      <c r="BQ8" s="22"/>
      <c r="BR8" s="691"/>
      <c r="BS8" s="690"/>
      <c r="BT8" s="304">
        <v>1</v>
      </c>
      <c r="BU8" s="304">
        <v>1</v>
      </c>
      <c r="BV8" s="297"/>
      <c r="BW8" s="683" t="s">
        <v>676</v>
      </c>
      <c r="BX8" s="688"/>
      <c r="BY8" s="22"/>
      <c r="BZ8" s="691"/>
      <c r="CA8" s="690"/>
      <c r="CB8" s="304">
        <v>0.99820143884892087</v>
      </c>
      <c r="CC8" s="304">
        <v>1</v>
      </c>
      <c r="CD8" s="297"/>
      <c r="CE8" s="683" t="s">
        <v>677</v>
      </c>
      <c r="CF8" s="693">
        <v>0.99616122840690979</v>
      </c>
      <c r="CG8" s="304">
        <v>1</v>
      </c>
      <c r="CH8" s="297"/>
      <c r="CI8" s="683" t="s">
        <v>678</v>
      </c>
      <c r="CJ8" s="693"/>
      <c r="CK8" s="304"/>
      <c r="CL8" s="297"/>
      <c r="CM8" s="683"/>
      <c r="CN8" s="693">
        <f>487/491</f>
        <v>0.99185336048879835</v>
      </c>
      <c r="CO8" s="304">
        <v>1</v>
      </c>
      <c r="CP8" s="297"/>
      <c r="CQ8" s="1089" t="s">
        <v>1314</v>
      </c>
      <c r="CR8" s="693"/>
      <c r="CS8" s="304"/>
      <c r="CT8" s="297"/>
      <c r="CU8" s="683"/>
      <c r="CV8" s="16"/>
      <c r="CW8" s="16"/>
      <c r="CX8" s="16"/>
      <c r="CY8" s="16"/>
      <c r="CZ8" s="16"/>
      <c r="DA8" s="16"/>
      <c r="DB8" s="16"/>
      <c r="DC8" s="16"/>
      <c r="DD8" s="16"/>
      <c r="DE8" s="16"/>
      <c r="DF8" s="16"/>
      <c r="DG8" s="16"/>
      <c r="DH8" s="16"/>
      <c r="DI8" s="16"/>
      <c r="DJ8" s="16"/>
      <c r="DK8" s="16"/>
      <c r="DL8" s="16"/>
      <c r="DM8" s="16"/>
      <c r="DN8" s="16"/>
      <c r="DO8" s="16"/>
      <c r="DP8" s="16"/>
      <c r="DQ8" s="16"/>
      <c r="DR8" s="16"/>
      <c r="DS8" s="16"/>
      <c r="DT8" s="16"/>
      <c r="DU8" s="16"/>
      <c r="DV8" s="16"/>
      <c r="DW8" s="16"/>
      <c r="DX8" s="16"/>
      <c r="DY8" s="16"/>
      <c r="DZ8" s="16"/>
      <c r="EA8" s="16"/>
      <c r="EB8" s="16"/>
      <c r="EC8" s="16"/>
      <c r="ED8" s="16"/>
      <c r="EE8" s="16"/>
      <c r="EF8" s="16"/>
      <c r="EG8" s="16"/>
      <c r="EH8" s="16"/>
      <c r="EI8" s="16"/>
      <c r="EJ8" s="16"/>
      <c r="EK8" s="16"/>
      <c r="EL8" s="16"/>
      <c r="EM8" s="16"/>
      <c r="EN8" s="16"/>
      <c r="EO8" s="16"/>
      <c r="EP8" s="16"/>
      <c r="EQ8" s="16"/>
      <c r="ER8" s="16"/>
      <c r="ES8" s="16"/>
      <c r="ET8" s="16"/>
      <c r="EU8" s="16"/>
      <c r="EV8" s="16"/>
      <c r="EW8" s="16"/>
      <c r="EX8" s="16"/>
      <c r="EY8" s="16"/>
      <c r="EZ8" s="16"/>
      <c r="FA8" s="16"/>
      <c r="FB8" s="16"/>
      <c r="FC8" s="16"/>
      <c r="FD8" s="16"/>
      <c r="FE8" s="16"/>
      <c r="FF8" s="16"/>
      <c r="FG8" s="16"/>
      <c r="FH8" s="16"/>
      <c r="FI8" s="16"/>
      <c r="FJ8" s="16"/>
      <c r="FK8" s="16"/>
      <c r="FL8" s="16"/>
      <c r="FM8" s="16"/>
      <c r="FN8" s="16"/>
      <c r="FO8" s="16"/>
      <c r="FP8" s="16"/>
      <c r="FQ8" s="16"/>
      <c r="FR8" s="16"/>
      <c r="FS8" s="16"/>
      <c r="FT8" s="16"/>
      <c r="FU8" s="16"/>
      <c r="FV8" s="16"/>
      <c r="FW8" s="16"/>
      <c r="FX8" s="16"/>
      <c r="FY8" s="16"/>
      <c r="FZ8" s="16"/>
      <c r="GA8" s="16"/>
      <c r="GB8" s="16"/>
      <c r="GC8" s="16"/>
      <c r="GD8" s="16"/>
      <c r="GE8" s="16"/>
      <c r="GF8" s="16"/>
      <c r="GG8" s="16"/>
      <c r="GH8" s="16"/>
      <c r="GI8" s="16"/>
      <c r="GJ8" s="16"/>
      <c r="GK8" s="16"/>
      <c r="GL8" s="16"/>
      <c r="GM8" s="16"/>
      <c r="GN8" s="16"/>
      <c r="GO8" s="16"/>
      <c r="GP8" s="16"/>
      <c r="GQ8" s="16"/>
      <c r="GR8" s="16"/>
      <c r="GS8" s="16"/>
      <c r="GT8" s="16"/>
      <c r="GU8" s="16"/>
      <c r="GV8" s="16"/>
      <c r="GW8" s="16"/>
      <c r="GX8" s="16"/>
      <c r="GY8" s="16"/>
      <c r="GZ8" s="16"/>
      <c r="HA8" s="16"/>
      <c r="HB8" s="16"/>
      <c r="HC8" s="16"/>
      <c r="HD8" s="16"/>
      <c r="HE8" s="16"/>
      <c r="HF8" s="16"/>
      <c r="HG8" s="16"/>
      <c r="HH8" s="16"/>
      <c r="HI8" s="16"/>
      <c r="HJ8" s="16"/>
      <c r="HK8" s="16"/>
      <c r="HL8" s="16"/>
      <c r="HM8" s="16"/>
      <c r="HN8" s="16"/>
      <c r="HO8" s="16"/>
      <c r="HP8" s="16"/>
      <c r="HQ8" s="16"/>
      <c r="HR8" s="16"/>
      <c r="HS8" s="16"/>
      <c r="HT8" s="16"/>
      <c r="HU8" s="16"/>
      <c r="HV8" s="16"/>
      <c r="HW8" s="16"/>
      <c r="HX8" s="16"/>
      <c r="HY8" s="16"/>
      <c r="HZ8" s="16"/>
      <c r="IA8" s="16"/>
      <c r="IB8" s="16"/>
      <c r="IC8" s="16"/>
      <c r="ID8" s="16"/>
      <c r="IE8" s="16"/>
      <c r="IF8" s="16"/>
      <c r="IG8" s="16"/>
      <c r="IH8" s="16"/>
      <c r="II8" s="16"/>
      <c r="IJ8" s="16"/>
      <c r="IK8" s="16"/>
      <c r="IL8" s="16"/>
      <c r="IM8" s="16"/>
      <c r="IN8" s="16"/>
      <c r="IO8" s="16"/>
      <c r="IP8" s="16"/>
      <c r="IQ8" s="16"/>
      <c r="IR8" s="16"/>
      <c r="IS8" s="16"/>
      <c r="IT8" s="16"/>
      <c r="IU8" s="16"/>
      <c r="IV8" s="16"/>
      <c r="IW8" s="16"/>
      <c r="IX8" s="16"/>
      <c r="IY8" s="16"/>
      <c r="IZ8" s="16"/>
      <c r="JA8" s="16"/>
      <c r="JB8" s="16"/>
      <c r="JC8" s="16"/>
      <c r="JD8" s="16"/>
      <c r="JE8" s="16"/>
      <c r="JF8" s="16"/>
      <c r="JG8" s="16"/>
      <c r="JH8" s="16"/>
      <c r="JI8" s="16"/>
      <c r="JJ8" s="16"/>
      <c r="JK8" s="16"/>
      <c r="JL8" s="16"/>
      <c r="JM8" s="16"/>
      <c r="JN8" s="16"/>
      <c r="JO8" s="16"/>
      <c r="JP8" s="16"/>
      <c r="JQ8" s="16"/>
      <c r="JR8" s="16"/>
      <c r="JS8" s="16"/>
      <c r="JT8" s="16"/>
      <c r="JU8" s="16"/>
      <c r="JV8" s="16"/>
      <c r="JW8" s="16"/>
      <c r="JX8" s="16"/>
      <c r="JY8" s="16"/>
      <c r="JZ8" s="16"/>
      <c r="KA8" s="16"/>
      <c r="KB8" s="16"/>
      <c r="KC8" s="16"/>
      <c r="KD8" s="16"/>
      <c r="KE8" s="16"/>
      <c r="KF8" s="16"/>
      <c r="KG8" s="16"/>
      <c r="KH8" s="16"/>
      <c r="KI8" s="16"/>
      <c r="KJ8" s="16"/>
      <c r="KK8" s="16"/>
      <c r="KL8" s="16"/>
      <c r="KM8" s="16"/>
      <c r="KN8" s="16"/>
      <c r="KO8" s="16"/>
      <c r="KP8" s="16"/>
      <c r="KQ8" s="16"/>
      <c r="KR8" s="16"/>
      <c r="KS8" s="16"/>
      <c r="KT8" s="16"/>
    </row>
    <row r="9" spans="1:306" s="4" customFormat="1" ht="144" x14ac:dyDescent="0.25">
      <c r="A9" s="88" t="s">
        <v>98</v>
      </c>
      <c r="B9" s="88" t="s">
        <v>100</v>
      </c>
      <c r="C9" s="88" t="s">
        <v>99</v>
      </c>
      <c r="D9" s="88" t="s">
        <v>108</v>
      </c>
      <c r="E9" s="88" t="s">
        <v>101</v>
      </c>
      <c r="F9" s="88" t="s">
        <v>661</v>
      </c>
      <c r="G9" s="488" t="s">
        <v>335</v>
      </c>
      <c r="H9" s="455" t="s">
        <v>662</v>
      </c>
      <c r="I9" s="488" t="s">
        <v>679</v>
      </c>
      <c r="J9" s="252"/>
      <c r="K9" s="222"/>
      <c r="L9" s="222"/>
      <c r="M9" s="694"/>
      <c r="N9" s="169"/>
      <c r="O9" s="695" t="s">
        <v>680</v>
      </c>
      <c r="P9" s="696" t="s">
        <v>681</v>
      </c>
      <c r="Q9" s="697" t="s">
        <v>50</v>
      </c>
      <c r="R9" s="697">
        <v>0</v>
      </c>
      <c r="S9" s="697">
        <v>1</v>
      </c>
      <c r="T9" s="698" t="s">
        <v>682</v>
      </c>
      <c r="U9" s="30" t="s">
        <v>683</v>
      </c>
      <c r="V9" s="99" t="s">
        <v>51</v>
      </c>
      <c r="W9" s="99">
        <v>0</v>
      </c>
      <c r="X9" s="99">
        <v>100</v>
      </c>
      <c r="Y9" s="699"/>
      <c r="Z9" s="680"/>
      <c r="AA9" s="602"/>
      <c r="AB9" s="21"/>
      <c r="AC9" s="700"/>
      <c r="AD9" s="701"/>
      <c r="AE9" s="702"/>
      <c r="AF9" s="311">
        <v>0.11</v>
      </c>
      <c r="AG9" s="311">
        <v>1</v>
      </c>
      <c r="AH9" s="701">
        <f>+AF9/AG9</f>
        <v>0.11</v>
      </c>
      <c r="AI9" s="702" t="s">
        <v>684</v>
      </c>
      <c r="AJ9" s="703"/>
      <c r="AK9" s="703"/>
      <c r="AL9" s="701"/>
      <c r="AM9" s="704"/>
      <c r="AN9" s="321">
        <f>2/9</f>
        <v>0.22222222222222221</v>
      </c>
      <c r="AO9" s="321">
        <v>1</v>
      </c>
      <c r="AP9" s="701">
        <v>0.22222222222222221</v>
      </c>
      <c r="AQ9" s="705" t="s">
        <v>685</v>
      </c>
      <c r="AR9" s="52"/>
      <c r="AS9" s="52"/>
      <c r="AT9" s="706"/>
      <c r="AU9" s="707"/>
      <c r="AV9" s="21">
        <f>3/9</f>
        <v>0.33333333333333331</v>
      </c>
      <c r="AW9" s="21">
        <v>1</v>
      </c>
      <c r="AX9" s="708"/>
      <c r="AY9" s="709" t="s">
        <v>686</v>
      </c>
      <c r="AZ9" s="97">
        <v>0</v>
      </c>
      <c r="BA9" s="97">
        <v>1</v>
      </c>
      <c r="BB9" s="710">
        <v>0</v>
      </c>
      <c r="BC9" s="101" t="s">
        <v>687</v>
      </c>
      <c r="BD9" s="21">
        <f>4/9</f>
        <v>0.44444444444444442</v>
      </c>
      <c r="BE9" s="21">
        <v>1</v>
      </c>
      <c r="BF9" s="574">
        <v>0.44</v>
      </c>
      <c r="BG9" s="711" t="s">
        <v>688</v>
      </c>
      <c r="BH9" s="97">
        <v>0</v>
      </c>
      <c r="BI9" s="97">
        <v>1</v>
      </c>
      <c r="BJ9" s="710">
        <v>0</v>
      </c>
      <c r="BK9" s="101" t="s">
        <v>689</v>
      </c>
      <c r="BL9" s="311">
        <f>5/9</f>
        <v>0.55555555555555558</v>
      </c>
      <c r="BM9" s="311">
        <v>1</v>
      </c>
      <c r="BN9" s="712">
        <v>0.56000000000000005</v>
      </c>
      <c r="BO9" s="702" t="s">
        <v>690</v>
      </c>
      <c r="BP9" s="97">
        <v>0</v>
      </c>
      <c r="BQ9" s="97">
        <v>1</v>
      </c>
      <c r="BR9" s="710">
        <v>0</v>
      </c>
      <c r="BS9" s="101" t="s">
        <v>691</v>
      </c>
      <c r="BT9" s="311">
        <f>6/9</f>
        <v>0.66666666666666663</v>
      </c>
      <c r="BU9" s="311">
        <v>1</v>
      </c>
      <c r="BV9" s="305"/>
      <c r="BW9" s="702" t="s">
        <v>692</v>
      </c>
      <c r="BX9" s="97"/>
      <c r="BY9" s="97"/>
      <c r="BZ9" s="710"/>
      <c r="CA9" s="101"/>
      <c r="CB9" s="311">
        <v>0.77777777777777779</v>
      </c>
      <c r="CC9" s="311">
        <v>1</v>
      </c>
      <c r="CD9" s="305"/>
      <c r="CE9" s="702" t="s">
        <v>693</v>
      </c>
      <c r="CF9" s="97"/>
      <c r="CG9" s="97"/>
      <c r="CH9" s="710"/>
      <c r="CI9" s="101"/>
      <c r="CJ9" s="311">
        <v>0.77777777777777779</v>
      </c>
      <c r="CK9" s="311">
        <v>1</v>
      </c>
      <c r="CL9" s="305"/>
      <c r="CM9" s="702" t="s">
        <v>693</v>
      </c>
      <c r="CN9" s="97"/>
      <c r="CO9" s="97"/>
      <c r="CP9" s="710"/>
      <c r="CQ9" s="101"/>
      <c r="CR9" s="311">
        <f>7/9</f>
        <v>0.77777777777777779</v>
      </c>
      <c r="CS9" s="311">
        <v>1</v>
      </c>
      <c r="CT9" s="305"/>
      <c r="CU9" s="702" t="s">
        <v>693</v>
      </c>
      <c r="CV9" s="16"/>
      <c r="CW9" s="16"/>
      <c r="CX9" s="16"/>
      <c r="CY9" s="16"/>
      <c r="CZ9" s="16"/>
      <c r="DA9" s="713">
        <v>0.33</v>
      </c>
      <c r="DB9" s="713">
        <f>+DA9</f>
        <v>0.33</v>
      </c>
      <c r="DC9" s="16"/>
      <c r="DE9" s="16"/>
      <c r="DF9" s="16"/>
      <c r="DG9" s="16"/>
      <c r="DH9" s="16"/>
      <c r="DI9" s="16"/>
      <c r="DJ9" s="16"/>
      <c r="DK9" s="16"/>
      <c r="DL9" s="16"/>
      <c r="DM9" s="16"/>
      <c r="DN9" s="16"/>
      <c r="DO9" s="16"/>
      <c r="DP9" s="16"/>
      <c r="DQ9" s="16"/>
      <c r="DR9" s="16"/>
      <c r="DS9" s="16"/>
      <c r="DT9" s="16"/>
      <c r="DU9" s="16"/>
      <c r="DV9" s="16"/>
      <c r="DW9" s="16"/>
      <c r="DX9" s="16"/>
      <c r="DY9" s="16"/>
      <c r="DZ9" s="16"/>
      <c r="EA9" s="16"/>
      <c r="EB9" s="16"/>
      <c r="EC9" s="16"/>
      <c r="ED9" s="16"/>
      <c r="EE9" s="16"/>
      <c r="EF9" s="16"/>
      <c r="EG9" s="16"/>
      <c r="EH9" s="16"/>
      <c r="EI9" s="16"/>
      <c r="EJ9" s="16"/>
      <c r="EK9" s="16"/>
      <c r="EL9" s="16"/>
      <c r="EM9" s="16"/>
      <c r="EN9" s="16"/>
      <c r="EO9" s="16"/>
      <c r="EP9" s="16"/>
      <c r="EQ9" s="16"/>
      <c r="ER9" s="16"/>
      <c r="ES9" s="16"/>
      <c r="ET9" s="16"/>
      <c r="EU9" s="16"/>
      <c r="EV9" s="16"/>
      <c r="EW9" s="16"/>
      <c r="EX9" s="16"/>
      <c r="EY9" s="16"/>
      <c r="EZ9" s="16"/>
      <c r="FA9" s="16"/>
      <c r="FB9" s="16"/>
      <c r="FC9" s="16"/>
      <c r="FD9" s="16"/>
      <c r="FE9" s="16"/>
      <c r="FF9" s="16"/>
      <c r="FG9" s="16"/>
      <c r="FH9" s="16"/>
      <c r="FI9" s="16"/>
      <c r="FJ9" s="16"/>
      <c r="FK9" s="16"/>
      <c r="FL9" s="16"/>
      <c r="FM9" s="16"/>
      <c r="FN9" s="16"/>
      <c r="FO9" s="16"/>
      <c r="FP9" s="16"/>
      <c r="FQ9" s="16"/>
      <c r="FR9" s="16"/>
      <c r="FS9" s="16"/>
      <c r="FT9" s="16"/>
      <c r="FU9" s="16"/>
      <c r="FV9" s="16"/>
      <c r="FW9" s="16"/>
      <c r="FX9" s="16"/>
      <c r="FY9" s="16"/>
      <c r="FZ9" s="16"/>
      <c r="GA9" s="16"/>
      <c r="GB9" s="16"/>
      <c r="GC9" s="16"/>
      <c r="GD9" s="16"/>
      <c r="GE9" s="16"/>
      <c r="GF9" s="16"/>
      <c r="GG9" s="16"/>
      <c r="GH9" s="16"/>
      <c r="GI9" s="16"/>
      <c r="GJ9" s="16"/>
      <c r="GK9" s="16"/>
      <c r="GL9" s="16"/>
      <c r="GM9" s="16"/>
      <c r="GN9" s="16"/>
      <c r="GO9" s="16"/>
      <c r="GP9" s="16"/>
      <c r="GQ9" s="16"/>
      <c r="GR9" s="16"/>
      <c r="GS9" s="16"/>
      <c r="GT9" s="16"/>
      <c r="GU9" s="16"/>
      <c r="GV9" s="16"/>
      <c r="GW9" s="16"/>
      <c r="GX9" s="16"/>
      <c r="GY9" s="16"/>
      <c r="GZ9" s="16"/>
      <c r="HA9" s="16"/>
      <c r="HB9" s="16"/>
      <c r="HC9" s="16"/>
      <c r="HD9" s="16"/>
      <c r="HE9" s="16"/>
      <c r="HF9" s="16"/>
      <c r="HG9" s="16"/>
      <c r="HH9" s="16"/>
      <c r="HI9" s="16"/>
      <c r="HJ9" s="16"/>
      <c r="HK9" s="16"/>
      <c r="HL9" s="16"/>
      <c r="HM9" s="16"/>
      <c r="HN9" s="16"/>
      <c r="HO9" s="16"/>
      <c r="HP9" s="16"/>
      <c r="HQ9" s="16"/>
      <c r="HR9" s="16"/>
      <c r="HS9" s="16"/>
      <c r="HT9" s="16"/>
      <c r="HU9" s="16"/>
      <c r="HV9" s="16"/>
      <c r="HW9" s="16"/>
      <c r="HX9" s="16"/>
      <c r="HY9" s="16"/>
      <c r="HZ9" s="16"/>
      <c r="IA9" s="16"/>
      <c r="IB9" s="16"/>
      <c r="IC9" s="16"/>
      <c r="ID9" s="16"/>
      <c r="IE9" s="16"/>
      <c r="IF9" s="16"/>
      <c r="IG9" s="16"/>
      <c r="IH9" s="16"/>
      <c r="II9" s="16"/>
      <c r="IJ9" s="16"/>
      <c r="IK9" s="16"/>
      <c r="IL9" s="16"/>
      <c r="IM9" s="16"/>
      <c r="IN9" s="16"/>
      <c r="IO9" s="16"/>
      <c r="IP9" s="16"/>
      <c r="IQ9" s="16"/>
      <c r="IR9" s="16"/>
      <c r="IS9" s="16"/>
      <c r="IT9" s="16"/>
      <c r="IU9" s="16"/>
      <c r="IV9" s="16"/>
      <c r="IW9" s="16"/>
      <c r="IX9" s="16"/>
      <c r="IY9" s="16"/>
      <c r="IZ9" s="16"/>
      <c r="JA9" s="16"/>
      <c r="JB9" s="16"/>
      <c r="JC9" s="16"/>
      <c r="JD9" s="16"/>
      <c r="JE9" s="16"/>
      <c r="JF9" s="16"/>
      <c r="JG9" s="16"/>
      <c r="JH9" s="16"/>
      <c r="JI9" s="16"/>
      <c r="JJ9" s="16"/>
      <c r="JK9" s="16"/>
      <c r="JL9" s="16"/>
      <c r="JM9" s="16"/>
      <c r="JN9" s="16"/>
      <c r="JO9" s="16"/>
      <c r="JP9" s="16"/>
      <c r="JQ9" s="16"/>
      <c r="JR9" s="16"/>
      <c r="JS9" s="16"/>
      <c r="JT9" s="16"/>
      <c r="JU9" s="16"/>
      <c r="JV9" s="16"/>
      <c r="JW9" s="16"/>
      <c r="JX9" s="16"/>
      <c r="JY9" s="16"/>
      <c r="JZ9" s="16"/>
      <c r="KA9" s="16"/>
      <c r="KB9" s="16"/>
      <c r="KC9" s="16"/>
      <c r="KD9" s="16"/>
      <c r="KE9" s="16"/>
      <c r="KF9" s="16"/>
      <c r="KG9" s="16"/>
      <c r="KH9" s="16"/>
      <c r="KI9" s="16"/>
      <c r="KJ9" s="16"/>
      <c r="KK9" s="16"/>
      <c r="KL9" s="16"/>
      <c r="KM9" s="16"/>
      <c r="KN9" s="16"/>
      <c r="KO9" s="16"/>
      <c r="KP9" s="16"/>
      <c r="KQ9" s="16"/>
      <c r="KR9" s="16"/>
      <c r="KS9" s="16"/>
      <c r="KT9" s="16"/>
    </row>
    <row r="10" spans="1:306" s="3" customFormat="1" ht="138.75" customHeight="1" x14ac:dyDescent="0.25">
      <c r="A10" s="10" t="s">
        <v>98</v>
      </c>
      <c r="B10" s="10" t="s">
        <v>100</v>
      </c>
      <c r="C10" s="10" t="s">
        <v>99</v>
      </c>
      <c r="D10" s="10" t="s">
        <v>694</v>
      </c>
      <c r="E10" s="7" t="s">
        <v>695</v>
      </c>
      <c r="F10" s="9" t="s">
        <v>696</v>
      </c>
      <c r="G10" s="297" t="s">
        <v>291</v>
      </c>
      <c r="H10" s="9" t="s">
        <v>392</v>
      </c>
      <c r="I10" s="9" t="s">
        <v>697</v>
      </c>
      <c r="J10" s="252"/>
      <c r="K10" s="714" t="s">
        <v>698</v>
      </c>
      <c r="L10" s="714" t="s">
        <v>699</v>
      </c>
      <c r="M10" s="694"/>
      <c r="N10" s="170" t="s">
        <v>700</v>
      </c>
      <c r="O10" s="676" t="s">
        <v>701</v>
      </c>
      <c r="P10" s="677" t="s">
        <v>702</v>
      </c>
      <c r="Q10" s="45" t="s">
        <v>51</v>
      </c>
      <c r="R10" s="45">
        <v>0</v>
      </c>
      <c r="S10" s="45">
        <v>100</v>
      </c>
      <c r="T10" s="715"/>
      <c r="U10" s="101"/>
      <c r="V10" s="97"/>
      <c r="W10" s="97"/>
      <c r="X10" s="97"/>
      <c r="Y10" s="716">
        <v>926524704</v>
      </c>
      <c r="Z10" s="680"/>
      <c r="AA10" s="602"/>
      <c r="AB10" s="7">
        <v>306</v>
      </c>
      <c r="AC10" s="7">
        <v>100</v>
      </c>
      <c r="AD10" s="317">
        <v>0.60236220472440904</v>
      </c>
      <c r="AE10" s="297"/>
      <c r="AF10" s="7"/>
      <c r="AG10" s="7"/>
      <c r="AH10" s="317"/>
      <c r="AI10" s="297"/>
      <c r="AJ10" s="327" t="s">
        <v>703</v>
      </c>
      <c r="AK10" s="549">
        <v>1</v>
      </c>
      <c r="AL10" s="317">
        <v>0.62882096069868998</v>
      </c>
      <c r="AM10" s="685"/>
      <c r="AN10" s="327"/>
      <c r="AO10" s="327"/>
      <c r="AP10" s="317"/>
      <c r="AQ10" s="717"/>
      <c r="AR10" s="45" t="s">
        <v>704</v>
      </c>
      <c r="AS10" s="718">
        <v>1</v>
      </c>
      <c r="AT10" s="46">
        <v>0.859375</v>
      </c>
      <c r="AU10" s="719" t="s">
        <v>705</v>
      </c>
      <c r="AV10" s="49"/>
      <c r="AW10" s="49"/>
      <c r="AX10" s="720"/>
      <c r="AY10" s="719"/>
      <c r="AZ10" s="46">
        <f>42/50</f>
        <v>0.84</v>
      </c>
      <c r="BA10" s="718">
        <v>1</v>
      </c>
      <c r="BB10" s="46">
        <v>0.84</v>
      </c>
      <c r="BC10" s="719" t="s">
        <v>706</v>
      </c>
      <c r="BD10" s="49"/>
      <c r="BE10" s="49"/>
      <c r="BF10" s="720"/>
      <c r="BG10" s="719"/>
      <c r="BH10" s="46" t="s">
        <v>707</v>
      </c>
      <c r="BI10" s="718">
        <v>1</v>
      </c>
      <c r="BJ10" s="46">
        <v>0.97637795275590555</v>
      </c>
      <c r="BK10" s="719" t="s">
        <v>708</v>
      </c>
      <c r="BL10" s="49"/>
      <c r="BM10" s="49"/>
      <c r="BN10" s="720"/>
      <c r="BO10" s="719"/>
      <c r="BP10" s="721">
        <v>4.7619047619047616E-2</v>
      </c>
      <c r="BQ10" s="718">
        <v>1</v>
      </c>
      <c r="BR10" s="46">
        <v>0.95238095238095233</v>
      </c>
      <c r="BS10" s="719" t="s">
        <v>709</v>
      </c>
      <c r="BT10" s="722"/>
      <c r="BU10" s="49"/>
      <c r="BV10" s="720"/>
      <c r="BW10" s="719"/>
      <c r="BX10" s="721" t="s">
        <v>710</v>
      </c>
      <c r="BY10" s="718">
        <v>1</v>
      </c>
      <c r="BZ10" s="46">
        <v>1</v>
      </c>
      <c r="CA10" s="719" t="s">
        <v>711</v>
      </c>
      <c r="CB10" s="722"/>
      <c r="CC10" s="49"/>
      <c r="CD10" s="720"/>
      <c r="CE10" s="719"/>
      <c r="CF10" s="721" t="s">
        <v>712</v>
      </c>
      <c r="CG10" s="718">
        <v>1</v>
      </c>
      <c r="CH10" s="46">
        <v>1</v>
      </c>
      <c r="CI10" s="719" t="s">
        <v>713</v>
      </c>
      <c r="CJ10" s="722"/>
      <c r="CK10" s="49"/>
      <c r="CL10" s="720"/>
      <c r="CM10" s="719"/>
      <c r="CN10" s="722" t="s">
        <v>714</v>
      </c>
      <c r="CO10" s="49">
        <v>100</v>
      </c>
      <c r="CP10" s="720">
        <v>1</v>
      </c>
      <c r="CQ10" s="719" t="s">
        <v>715</v>
      </c>
      <c r="CR10" s="722"/>
      <c r="CS10" s="49"/>
      <c r="CT10" s="720"/>
      <c r="CU10" s="719"/>
      <c r="CV10" s="723"/>
      <c r="CW10" s="723"/>
      <c r="CX10" s="723"/>
      <c r="CY10" s="723"/>
      <c r="CZ10" s="723"/>
      <c r="DA10" s="723"/>
      <c r="DB10" s="723"/>
      <c r="DC10" s="723"/>
      <c r="DD10" s="713">
        <v>0.33</v>
      </c>
      <c r="DE10" s="723"/>
      <c r="DF10" s="723"/>
      <c r="DG10" s="723"/>
      <c r="DH10" s="723"/>
      <c r="DI10" s="723"/>
      <c r="DJ10" s="723"/>
      <c r="DK10" s="723"/>
      <c r="DL10" s="723"/>
      <c r="DM10" s="723"/>
      <c r="DN10" s="723"/>
      <c r="DO10" s="723"/>
      <c r="DP10" s="723"/>
      <c r="DQ10" s="723"/>
      <c r="DR10" s="723"/>
      <c r="DS10" s="723"/>
      <c r="DT10" s="723"/>
      <c r="DU10" s="723"/>
      <c r="DV10" s="723"/>
      <c r="DW10" s="723"/>
      <c r="DX10" s="723"/>
      <c r="DY10" s="16"/>
      <c r="DZ10" s="16"/>
      <c r="EA10" s="16"/>
      <c r="EB10" s="16"/>
      <c r="EC10" s="16"/>
      <c r="ED10" s="16"/>
      <c r="EE10" s="16"/>
      <c r="EF10" s="16"/>
      <c r="EG10" s="16"/>
      <c r="EH10" s="16"/>
      <c r="EI10" s="16"/>
      <c r="EJ10" s="16"/>
      <c r="EK10" s="16"/>
      <c r="EL10" s="16"/>
      <c r="EM10" s="16"/>
      <c r="EN10" s="16"/>
      <c r="EO10" s="16"/>
      <c r="EP10" s="16"/>
      <c r="EQ10" s="16"/>
      <c r="ER10" s="16"/>
      <c r="ES10" s="16"/>
      <c r="ET10" s="16"/>
      <c r="EU10" s="16"/>
      <c r="EV10" s="16"/>
      <c r="EW10" s="16"/>
      <c r="EX10" s="16"/>
      <c r="EY10" s="16"/>
      <c r="EZ10" s="16"/>
      <c r="FA10" s="16"/>
      <c r="FB10" s="16"/>
      <c r="FC10" s="16"/>
      <c r="FD10" s="16"/>
      <c r="FE10" s="16"/>
      <c r="FF10" s="16"/>
      <c r="FG10" s="16"/>
      <c r="FH10" s="16"/>
      <c r="FI10" s="16"/>
      <c r="FJ10" s="16"/>
      <c r="FK10" s="16"/>
      <c r="FL10" s="16"/>
      <c r="FM10" s="16"/>
      <c r="FN10" s="16"/>
      <c r="FO10" s="16"/>
      <c r="FP10" s="16"/>
      <c r="FQ10" s="16"/>
      <c r="FR10" s="16"/>
      <c r="FS10" s="16"/>
      <c r="FT10" s="16"/>
      <c r="FU10" s="16"/>
      <c r="FV10" s="16"/>
      <c r="FW10" s="16"/>
      <c r="FX10" s="16"/>
      <c r="FY10" s="16"/>
      <c r="FZ10" s="16"/>
      <c r="GA10" s="16"/>
      <c r="GB10" s="16"/>
      <c r="GC10" s="16"/>
      <c r="GD10" s="16"/>
      <c r="GE10" s="16"/>
      <c r="GF10" s="16"/>
      <c r="GG10" s="16"/>
      <c r="GH10" s="16"/>
      <c r="GI10" s="16"/>
      <c r="GJ10" s="16"/>
      <c r="GK10" s="16"/>
      <c r="GL10" s="16"/>
      <c r="GM10" s="16"/>
      <c r="GN10" s="16"/>
      <c r="GO10" s="16"/>
      <c r="GP10" s="16"/>
      <c r="GQ10" s="16"/>
      <c r="GR10" s="16"/>
      <c r="GS10" s="16"/>
      <c r="GT10" s="16"/>
      <c r="GU10" s="16"/>
      <c r="GV10" s="16"/>
      <c r="GW10" s="16"/>
      <c r="GX10" s="16"/>
      <c r="GY10" s="16"/>
      <c r="GZ10" s="16"/>
      <c r="HA10" s="16"/>
      <c r="HB10" s="16"/>
      <c r="HC10" s="16"/>
      <c r="HD10" s="16"/>
      <c r="HE10" s="16"/>
      <c r="HF10" s="16"/>
      <c r="HG10" s="16"/>
      <c r="HH10" s="16"/>
      <c r="HI10" s="16"/>
      <c r="HJ10" s="16"/>
      <c r="HK10" s="16"/>
      <c r="HL10" s="16"/>
      <c r="HM10" s="16"/>
      <c r="HN10" s="16"/>
      <c r="HO10" s="16"/>
      <c r="HP10" s="16"/>
      <c r="HQ10" s="16"/>
      <c r="HR10" s="16"/>
      <c r="HS10" s="16"/>
      <c r="HT10" s="16"/>
      <c r="HU10" s="16"/>
      <c r="HV10" s="16"/>
      <c r="HW10" s="16"/>
      <c r="HX10" s="16"/>
      <c r="HY10" s="16"/>
      <c r="HZ10" s="16"/>
      <c r="IA10" s="16"/>
      <c r="IB10" s="16"/>
      <c r="IC10" s="16"/>
      <c r="ID10" s="16"/>
      <c r="IE10" s="16"/>
      <c r="IF10" s="16"/>
      <c r="IG10" s="16"/>
      <c r="IH10" s="16"/>
      <c r="II10" s="16"/>
      <c r="IJ10" s="16"/>
      <c r="IK10" s="16"/>
      <c r="IL10" s="16"/>
      <c r="IM10" s="16"/>
      <c r="IN10" s="16"/>
      <c r="IO10" s="16"/>
      <c r="IP10" s="16"/>
      <c r="IQ10" s="16"/>
      <c r="IR10" s="16"/>
      <c r="IS10" s="16"/>
      <c r="IT10" s="16"/>
      <c r="IU10" s="16"/>
      <c r="IV10" s="16"/>
      <c r="IW10" s="16"/>
      <c r="IX10" s="16"/>
      <c r="IY10" s="16"/>
      <c r="IZ10" s="16"/>
      <c r="JA10" s="16"/>
      <c r="JB10" s="16"/>
      <c r="JC10" s="16"/>
      <c r="JD10" s="16"/>
      <c r="JE10" s="16"/>
      <c r="JF10" s="16"/>
      <c r="JG10" s="16"/>
      <c r="JH10" s="16"/>
      <c r="JI10" s="16"/>
      <c r="JJ10" s="16"/>
      <c r="JK10" s="16"/>
      <c r="JL10" s="16"/>
      <c r="JM10" s="16"/>
      <c r="JN10" s="16"/>
      <c r="JO10" s="16"/>
      <c r="JP10" s="16"/>
      <c r="JQ10" s="16"/>
      <c r="JR10" s="16"/>
      <c r="JS10" s="16"/>
      <c r="JT10" s="16"/>
      <c r="JU10" s="16"/>
      <c r="JV10" s="16"/>
      <c r="JW10" s="16"/>
      <c r="JX10" s="16"/>
      <c r="JY10" s="16"/>
      <c r="JZ10" s="16"/>
      <c r="KA10" s="16"/>
      <c r="KB10" s="16"/>
      <c r="KC10" s="16"/>
      <c r="KD10" s="16"/>
      <c r="KE10" s="16"/>
      <c r="KF10" s="16"/>
      <c r="KG10" s="16"/>
      <c r="KH10" s="16"/>
      <c r="KI10" s="16"/>
      <c r="KJ10" s="16"/>
      <c r="KK10" s="16"/>
      <c r="KL10" s="16"/>
      <c r="KM10" s="16"/>
      <c r="KN10" s="16"/>
      <c r="KO10" s="16"/>
      <c r="KP10" s="16"/>
      <c r="KQ10" s="16"/>
      <c r="KR10" s="16"/>
      <c r="KS10" s="16"/>
      <c r="KT10" s="16"/>
    </row>
    <row r="11" spans="1:306" s="4" customFormat="1" ht="120" customHeight="1" x14ac:dyDescent="0.25">
      <c r="A11" s="330" t="s">
        <v>98</v>
      </c>
      <c r="B11" s="330" t="s">
        <v>100</v>
      </c>
      <c r="C11" s="330" t="s">
        <v>99</v>
      </c>
      <c r="D11" s="330" t="s">
        <v>694</v>
      </c>
      <c r="E11" s="6" t="s">
        <v>695</v>
      </c>
      <c r="F11" s="8" t="s">
        <v>696</v>
      </c>
      <c r="G11" s="305" t="s">
        <v>291</v>
      </c>
      <c r="H11" s="8" t="s">
        <v>392</v>
      </c>
      <c r="I11" s="8" t="s">
        <v>697</v>
      </c>
      <c r="J11" s="252"/>
      <c r="K11" s="724"/>
      <c r="L11" s="724"/>
      <c r="M11" s="694"/>
      <c r="N11" s="170"/>
      <c r="O11" s="725" t="s">
        <v>716</v>
      </c>
      <c r="P11" s="726" t="s">
        <v>717</v>
      </c>
      <c r="Q11" s="51" t="s">
        <v>51</v>
      </c>
      <c r="R11" s="51">
        <v>0</v>
      </c>
      <c r="S11" s="727">
        <v>0.5</v>
      </c>
      <c r="T11" s="708"/>
      <c r="U11" s="30"/>
      <c r="V11" s="99"/>
      <c r="W11" s="99"/>
      <c r="X11" s="99"/>
      <c r="Y11" s="728"/>
      <c r="Z11" s="680"/>
      <c r="AA11" s="602"/>
      <c r="AB11" s="6">
        <v>170</v>
      </c>
      <c r="AC11" s="6">
        <v>5</v>
      </c>
      <c r="AD11" s="321">
        <v>0.33</v>
      </c>
      <c r="AE11" s="305"/>
      <c r="AF11" s="6"/>
      <c r="AG11" s="305"/>
      <c r="AH11" s="321"/>
      <c r="AI11" s="305"/>
      <c r="AJ11" s="475" t="s">
        <v>718</v>
      </c>
      <c r="AK11" s="476">
        <v>0.5</v>
      </c>
      <c r="AL11" s="321">
        <v>0.58951965065502188</v>
      </c>
      <c r="AM11" s="729"/>
      <c r="AN11" s="475"/>
      <c r="AO11" s="729"/>
      <c r="AP11" s="321"/>
      <c r="AQ11" s="730"/>
      <c r="AR11" s="51" t="s">
        <v>719</v>
      </c>
      <c r="AS11" s="727">
        <v>0.5</v>
      </c>
      <c r="AT11" s="52">
        <v>0.625</v>
      </c>
      <c r="AU11" s="504" t="s">
        <v>720</v>
      </c>
      <c r="AV11" s="56"/>
      <c r="AW11" s="504"/>
      <c r="AX11" s="731"/>
      <c r="AY11" s="504"/>
      <c r="AZ11" s="52">
        <f>20/50</f>
        <v>0.4</v>
      </c>
      <c r="BA11" s="727">
        <v>0.5</v>
      </c>
      <c r="BB11" s="52">
        <v>0.4</v>
      </c>
      <c r="BC11" s="504" t="s">
        <v>721</v>
      </c>
      <c r="BD11" s="56"/>
      <c r="BE11" s="504"/>
      <c r="BF11" s="731"/>
      <c r="BG11" s="504"/>
      <c r="BH11" s="52" t="s">
        <v>722</v>
      </c>
      <c r="BI11" s="727">
        <v>0.5</v>
      </c>
      <c r="BJ11" s="52">
        <v>0.42519685039370081</v>
      </c>
      <c r="BK11" s="504" t="s">
        <v>723</v>
      </c>
      <c r="BL11" s="56"/>
      <c r="BM11" s="504"/>
      <c r="BN11" s="731"/>
      <c r="BO11" s="504"/>
      <c r="BP11" s="52" t="s">
        <v>724</v>
      </c>
      <c r="BQ11" s="727">
        <v>0.5</v>
      </c>
      <c r="BR11" s="52">
        <v>0.61904761904761907</v>
      </c>
      <c r="BS11" s="504" t="s">
        <v>725</v>
      </c>
      <c r="BT11" s="56"/>
      <c r="BU11" s="504"/>
      <c r="BV11" s="731"/>
      <c r="BW11" s="504"/>
      <c r="BX11" s="52" t="s">
        <v>726</v>
      </c>
      <c r="BY11" s="727">
        <v>0.5</v>
      </c>
      <c r="BZ11" s="52">
        <v>0.10714285714285714</v>
      </c>
      <c r="CA11" s="504" t="s">
        <v>727</v>
      </c>
      <c r="CB11" s="56"/>
      <c r="CC11" s="504"/>
      <c r="CD11" s="731"/>
      <c r="CE11" s="504"/>
      <c r="CF11" s="52" t="s">
        <v>728</v>
      </c>
      <c r="CG11" s="727"/>
      <c r="CH11" s="52">
        <v>0.1184573002754821</v>
      </c>
      <c r="CI11" s="504" t="s">
        <v>729</v>
      </c>
      <c r="CJ11" s="56"/>
      <c r="CK11" s="504"/>
      <c r="CL11" s="731"/>
      <c r="CM11" s="504"/>
      <c r="CN11" s="56" t="s">
        <v>730</v>
      </c>
      <c r="CO11" s="504"/>
      <c r="CP11" s="731">
        <v>5.2447552447552448E-2</v>
      </c>
      <c r="CQ11" s="504" t="s">
        <v>731</v>
      </c>
      <c r="CR11" s="56"/>
      <c r="CS11" s="504"/>
      <c r="CT11" s="731"/>
      <c r="CU11" s="504"/>
      <c r="CV11" s="723"/>
      <c r="CW11" s="723"/>
      <c r="CX11" s="723"/>
      <c r="CY11" s="723"/>
      <c r="CZ11" s="723"/>
      <c r="DA11" s="723"/>
      <c r="DB11" s="723"/>
      <c r="DC11" s="723"/>
      <c r="DD11" s="732">
        <v>0.38669999999999999</v>
      </c>
      <c r="DE11" s="723"/>
      <c r="DF11" s="723"/>
      <c r="DG11" s="723"/>
      <c r="DH11" s="723"/>
      <c r="DI11" s="723"/>
      <c r="DJ11" s="723"/>
      <c r="DK11" s="723"/>
      <c r="DL11" s="723"/>
      <c r="DM11" s="723"/>
      <c r="DN11" s="723"/>
      <c r="DO11" s="723"/>
      <c r="DP11" s="723"/>
      <c r="DQ11" s="723"/>
      <c r="DR11" s="723"/>
      <c r="DS11" s="723"/>
      <c r="DT11" s="723"/>
      <c r="DU11" s="723"/>
      <c r="DV11" s="723"/>
      <c r="DW11" s="723"/>
      <c r="DX11" s="723"/>
      <c r="DY11" s="16"/>
      <c r="DZ11" s="16"/>
      <c r="EA11" s="16"/>
      <c r="EB11" s="16"/>
      <c r="EC11" s="16"/>
      <c r="ED11" s="16"/>
      <c r="EE11" s="16"/>
      <c r="EF11" s="16"/>
      <c r="EG11" s="16"/>
      <c r="EH11" s="16"/>
      <c r="EI11" s="16"/>
      <c r="EJ11" s="16"/>
      <c r="EK11" s="16"/>
      <c r="EL11" s="16"/>
      <c r="EM11" s="16"/>
      <c r="EN11" s="16"/>
      <c r="EO11" s="16"/>
      <c r="EP11" s="16"/>
      <c r="EQ11" s="16"/>
      <c r="ER11" s="16"/>
      <c r="ES11" s="16"/>
      <c r="ET11" s="16"/>
      <c r="EU11" s="16"/>
      <c r="EV11" s="16"/>
      <c r="EW11" s="16"/>
      <c r="EX11" s="16"/>
      <c r="EY11" s="16"/>
      <c r="EZ11" s="16"/>
      <c r="FA11" s="16"/>
      <c r="FB11" s="16"/>
      <c r="FC11" s="16"/>
      <c r="FD11" s="16"/>
      <c r="FE11" s="16"/>
      <c r="FF11" s="16"/>
      <c r="FG11" s="16"/>
      <c r="FH11" s="16"/>
      <c r="FI11" s="16"/>
      <c r="FJ11" s="16"/>
      <c r="FK11" s="16"/>
      <c r="FL11" s="16"/>
      <c r="FM11" s="16"/>
      <c r="FN11" s="16"/>
      <c r="FO11" s="16"/>
      <c r="FP11" s="16"/>
      <c r="FQ11" s="16"/>
      <c r="FR11" s="16"/>
      <c r="FS11" s="16"/>
      <c r="FT11" s="16"/>
      <c r="FU11" s="16"/>
      <c r="FV11" s="16"/>
      <c r="FW11" s="16"/>
      <c r="FX11" s="16"/>
      <c r="FY11" s="16"/>
      <c r="FZ11" s="16"/>
      <c r="GA11" s="16"/>
      <c r="GB11" s="16"/>
      <c r="GC11" s="16"/>
      <c r="GD11" s="16"/>
      <c r="GE11" s="16"/>
      <c r="GF11" s="16"/>
      <c r="GG11" s="16"/>
      <c r="GH11" s="16"/>
      <c r="GI11" s="16"/>
      <c r="GJ11" s="16"/>
      <c r="GK11" s="16"/>
      <c r="GL11" s="16"/>
      <c r="GM11" s="16"/>
      <c r="GN11" s="16"/>
      <c r="GO11" s="16"/>
      <c r="GP11" s="16"/>
      <c r="GQ11" s="16"/>
      <c r="GR11" s="16"/>
      <c r="GS11" s="16"/>
      <c r="GT11" s="16"/>
      <c r="GU11" s="16"/>
      <c r="GV11" s="16"/>
      <c r="GW11" s="16"/>
      <c r="GX11" s="16"/>
      <c r="GY11" s="16"/>
      <c r="GZ11" s="16"/>
      <c r="HA11" s="16"/>
      <c r="HB11" s="16"/>
      <c r="HC11" s="16"/>
      <c r="HD11" s="16"/>
      <c r="HE11" s="16"/>
      <c r="HF11" s="16"/>
      <c r="HG11" s="16"/>
      <c r="HH11" s="16"/>
      <c r="HI11" s="16"/>
      <c r="HJ11" s="16"/>
      <c r="HK11" s="16"/>
      <c r="HL11" s="16"/>
      <c r="HM11" s="16"/>
      <c r="HN11" s="16"/>
      <c r="HO11" s="16"/>
      <c r="HP11" s="16"/>
      <c r="HQ11" s="16"/>
      <c r="HR11" s="16"/>
      <c r="HS11" s="16"/>
      <c r="HT11" s="16"/>
      <c r="HU11" s="16"/>
      <c r="HV11" s="16"/>
      <c r="HW11" s="16"/>
      <c r="HX11" s="16"/>
      <c r="HY11" s="16"/>
      <c r="HZ11" s="16"/>
      <c r="IA11" s="16"/>
      <c r="IB11" s="16"/>
      <c r="IC11" s="16"/>
      <c r="ID11" s="16"/>
      <c r="IE11" s="16"/>
      <c r="IF11" s="16"/>
      <c r="IG11" s="16"/>
      <c r="IH11" s="16"/>
      <c r="II11" s="16"/>
      <c r="IJ11" s="16"/>
      <c r="IK11" s="16"/>
      <c r="IL11" s="16"/>
      <c r="IM11" s="16"/>
      <c r="IN11" s="16"/>
      <c r="IO11" s="16"/>
      <c r="IP11" s="16"/>
      <c r="IQ11" s="16"/>
      <c r="IR11" s="16"/>
      <c r="IS11" s="16"/>
      <c r="IT11" s="16"/>
      <c r="IU11" s="16"/>
      <c r="IV11" s="16"/>
      <c r="IW11" s="16"/>
      <c r="IX11" s="16"/>
      <c r="IY11" s="16"/>
      <c r="IZ11" s="16"/>
      <c r="JA11" s="16"/>
      <c r="JB11" s="16"/>
      <c r="JC11" s="16"/>
      <c r="JD11" s="16"/>
      <c r="JE11" s="16"/>
      <c r="JF11" s="16"/>
      <c r="JG11" s="16"/>
      <c r="JH11" s="16"/>
      <c r="JI11" s="16"/>
      <c r="JJ11" s="16"/>
      <c r="JK11" s="16"/>
      <c r="JL11" s="16"/>
      <c r="JM11" s="16"/>
      <c r="JN11" s="16"/>
      <c r="JO11" s="16"/>
      <c r="JP11" s="16"/>
      <c r="JQ11" s="16"/>
      <c r="JR11" s="16"/>
      <c r="JS11" s="16"/>
      <c r="JT11" s="16"/>
      <c r="JU11" s="16"/>
      <c r="JV11" s="16"/>
      <c r="JW11" s="16"/>
      <c r="JX11" s="16"/>
      <c r="JY11" s="16"/>
      <c r="JZ11" s="16"/>
      <c r="KA11" s="16"/>
      <c r="KB11" s="16"/>
      <c r="KC11" s="16"/>
      <c r="KD11" s="16"/>
      <c r="KE11" s="16"/>
      <c r="KF11" s="16"/>
      <c r="KG11" s="16"/>
      <c r="KH11" s="16"/>
      <c r="KI11" s="16"/>
      <c r="KJ11" s="16"/>
      <c r="KK11" s="16"/>
      <c r="KL11" s="16"/>
      <c r="KM11" s="16"/>
      <c r="KN11" s="16"/>
      <c r="KO11" s="16"/>
      <c r="KP11" s="16"/>
      <c r="KQ11" s="16"/>
      <c r="KR11" s="16"/>
      <c r="KS11" s="16"/>
      <c r="KT11" s="16"/>
    </row>
    <row r="12" spans="1:306" s="3" customFormat="1" ht="48" customHeight="1" x14ac:dyDescent="0.25">
      <c r="A12" s="190" t="s">
        <v>98</v>
      </c>
      <c r="B12" s="190" t="s">
        <v>100</v>
      </c>
      <c r="C12" s="190" t="s">
        <v>99</v>
      </c>
      <c r="D12" s="190" t="s">
        <v>694</v>
      </c>
      <c r="E12" s="201" t="s">
        <v>695</v>
      </c>
      <c r="F12" s="192" t="s">
        <v>696</v>
      </c>
      <c r="G12" s="297" t="s">
        <v>291</v>
      </c>
      <c r="H12" s="9" t="s">
        <v>392</v>
      </c>
      <c r="I12" s="9"/>
      <c r="J12" s="252"/>
      <c r="K12" s="190" t="s">
        <v>698</v>
      </c>
      <c r="L12" s="190" t="s">
        <v>732</v>
      </c>
      <c r="M12" s="694"/>
      <c r="N12" s="169" t="s">
        <v>733</v>
      </c>
      <c r="O12" s="733" t="s">
        <v>734</v>
      </c>
      <c r="P12" s="734" t="s">
        <v>735</v>
      </c>
      <c r="Q12" s="735" t="s">
        <v>51</v>
      </c>
      <c r="R12" s="735">
        <v>0</v>
      </c>
      <c r="S12" s="735">
        <v>92</v>
      </c>
      <c r="T12" s="678" t="s">
        <v>736</v>
      </c>
      <c r="U12" s="678" t="s">
        <v>737</v>
      </c>
      <c r="V12" s="97" t="s">
        <v>51</v>
      </c>
      <c r="W12" s="97">
        <v>0</v>
      </c>
      <c r="X12" s="97">
        <v>92</v>
      </c>
      <c r="Y12" s="679">
        <v>1228172959</v>
      </c>
      <c r="Z12" s="680"/>
      <c r="AA12" s="602"/>
      <c r="AB12" s="736">
        <v>9851432390</v>
      </c>
      <c r="AC12" s="303">
        <v>0.92</v>
      </c>
      <c r="AD12" s="737">
        <f>+AB12/86171137348.553</f>
        <v>0.11432403810746995</v>
      </c>
      <c r="AE12" s="190" t="s">
        <v>738</v>
      </c>
      <c r="AF12" s="738">
        <v>1093714000</v>
      </c>
      <c r="AG12" s="304">
        <v>0.92</v>
      </c>
      <c r="AH12" s="684">
        <v>0.05</v>
      </c>
      <c r="AI12" s="563" t="s">
        <v>739</v>
      </c>
      <c r="AJ12" s="739">
        <v>21811503877</v>
      </c>
      <c r="AK12" s="740">
        <v>0.92</v>
      </c>
      <c r="AL12" s="741">
        <f>+AJ12/86171137348.553</f>
        <v>0.2531184402124671</v>
      </c>
      <c r="AM12" s="742" t="s">
        <v>740</v>
      </c>
      <c r="AN12" s="743">
        <v>2282996555</v>
      </c>
      <c r="AO12" s="317">
        <v>0.92</v>
      </c>
      <c r="AP12" s="317">
        <v>0.1</v>
      </c>
      <c r="AQ12" s="744" t="s">
        <v>739</v>
      </c>
      <c r="AR12" s="745">
        <v>28011349781</v>
      </c>
      <c r="AS12" s="746">
        <v>0.92</v>
      </c>
      <c r="AT12" s="747">
        <f>+AR12/85633531370</f>
        <v>0.32710725965475268</v>
      </c>
      <c r="AU12" s="136" t="s">
        <v>741</v>
      </c>
      <c r="AV12" s="748">
        <v>4478753555</v>
      </c>
      <c r="AW12" s="22">
        <v>0.92</v>
      </c>
      <c r="AX12" s="22">
        <v>0.19</v>
      </c>
      <c r="AY12" s="749" t="s">
        <v>742</v>
      </c>
      <c r="AZ12" s="745">
        <v>33551810520</v>
      </c>
      <c r="BA12" s="746">
        <v>0.92</v>
      </c>
      <c r="BB12" s="750">
        <f>+AZ12/85633531370</f>
        <v>0.39180692403109524</v>
      </c>
      <c r="BC12" s="136" t="s">
        <v>743</v>
      </c>
      <c r="BD12" s="748">
        <v>5636999935</v>
      </c>
      <c r="BE12" s="22">
        <v>0.92</v>
      </c>
      <c r="BF12" s="22">
        <f>+BD12/23823474729</f>
        <v>0.236615355195779</v>
      </c>
      <c r="BG12" s="749" t="s">
        <v>744</v>
      </c>
      <c r="BH12" s="745">
        <v>44825522994</v>
      </c>
      <c r="BI12" s="746">
        <v>0.92</v>
      </c>
      <c r="BJ12" s="747">
        <f>+BH12/85633531370</f>
        <v>0.52345760214326198</v>
      </c>
      <c r="BK12" s="136" t="s">
        <v>745</v>
      </c>
      <c r="BL12" s="748">
        <v>7258130555</v>
      </c>
      <c r="BM12" s="22">
        <v>0.92</v>
      </c>
      <c r="BN12" s="22">
        <f>+BL12/23823474729</f>
        <v>0.30466296951068911</v>
      </c>
      <c r="BO12" s="749" t="s">
        <v>744</v>
      </c>
      <c r="BP12" s="736">
        <v>54315127871.5</v>
      </c>
      <c r="BQ12" s="303">
        <v>0.92</v>
      </c>
      <c r="BR12" s="302">
        <f>+BP12/85633531370</f>
        <v>0.63427406300481293</v>
      </c>
      <c r="BS12" s="190" t="s">
        <v>745</v>
      </c>
      <c r="BT12" s="738">
        <v>8662875120</v>
      </c>
      <c r="BU12" s="304">
        <v>0.92</v>
      </c>
      <c r="BV12" s="304">
        <f>+BT12/23823474729</f>
        <v>0.36362769153295665</v>
      </c>
      <c r="BW12" s="563" t="s">
        <v>744</v>
      </c>
      <c r="BX12" s="736">
        <f>+CB12+CB13+CB14+CB15+CB16</f>
        <v>67522958517.5</v>
      </c>
      <c r="BY12" s="303">
        <v>0.92</v>
      </c>
      <c r="BZ12" s="302">
        <f>+BX12/85633531370</f>
        <v>0.7885107321541025</v>
      </c>
      <c r="CA12" s="190" t="s">
        <v>745</v>
      </c>
      <c r="CB12" s="738">
        <v>11519610315</v>
      </c>
      <c r="CC12" s="304">
        <v>0.92</v>
      </c>
      <c r="CD12" s="304">
        <f>+CB12/23823474729</f>
        <v>0.48354030829001327</v>
      </c>
      <c r="CE12" s="563" t="s">
        <v>744</v>
      </c>
      <c r="CF12" s="736">
        <f>+CJ12+CJ13+CJ14+CJ15+CJ16</f>
        <v>75842854370.5</v>
      </c>
      <c r="CG12" s="303">
        <v>0.92</v>
      </c>
      <c r="CH12" s="751">
        <f>+CF12/85633531370</f>
        <v>0.88566771867439342</v>
      </c>
      <c r="CI12" s="190" t="s">
        <v>745</v>
      </c>
      <c r="CJ12" s="738">
        <v>12705440750</v>
      </c>
      <c r="CK12" s="304">
        <v>0.92</v>
      </c>
      <c r="CL12" s="304">
        <f>+CJ12/23823474729</f>
        <v>0.53331602104767006</v>
      </c>
      <c r="CM12" s="563" t="s">
        <v>744</v>
      </c>
      <c r="CN12" s="736">
        <f>+CR12+CR13+CR14+CR15+CR16</f>
        <v>83675854343.5</v>
      </c>
      <c r="CO12" s="303">
        <v>0.92</v>
      </c>
      <c r="CP12" s="302">
        <f>+CN12/85633531370</f>
        <v>0.97713889646753682</v>
      </c>
      <c r="CQ12" s="190" t="s">
        <v>745</v>
      </c>
      <c r="CR12" s="738">
        <v>14490170750</v>
      </c>
      <c r="CS12" s="304">
        <v>0.92</v>
      </c>
      <c r="CT12" s="304">
        <f>+CR12/23823474729</f>
        <v>0.60823078559406396</v>
      </c>
      <c r="CU12" s="563" t="s">
        <v>744</v>
      </c>
      <c r="CV12" s="16"/>
      <c r="CW12" s="16"/>
      <c r="CX12" s="16"/>
      <c r="CY12" s="16"/>
      <c r="CZ12" s="16"/>
      <c r="DA12" s="16">
        <v>0.18799749431799184</v>
      </c>
      <c r="DB12" s="16"/>
      <c r="DC12" s="16"/>
      <c r="DD12" s="713">
        <v>0.33</v>
      </c>
      <c r="DE12" s="16"/>
      <c r="DF12" s="16"/>
      <c r="DG12" s="16"/>
      <c r="DH12" s="16"/>
      <c r="DI12" s="16"/>
      <c r="DJ12" s="16"/>
      <c r="DK12" s="16"/>
      <c r="DL12" s="16"/>
      <c r="DM12" s="16"/>
      <c r="DN12" s="16"/>
      <c r="DO12" s="16"/>
      <c r="DP12" s="16"/>
      <c r="DQ12" s="16"/>
      <c r="DR12" s="16"/>
      <c r="DS12" s="16"/>
      <c r="DT12" s="16"/>
      <c r="DU12" s="16"/>
      <c r="DV12" s="16"/>
      <c r="DW12" s="16"/>
      <c r="DX12" s="16"/>
      <c r="DY12" s="16"/>
      <c r="DZ12" s="16"/>
      <c r="EA12" s="16"/>
      <c r="EB12" s="16"/>
      <c r="EC12" s="16"/>
      <c r="ED12" s="16"/>
      <c r="EE12" s="16"/>
      <c r="EF12" s="16"/>
      <c r="EG12" s="16"/>
      <c r="EH12" s="16"/>
      <c r="EI12" s="16"/>
      <c r="EJ12" s="16"/>
      <c r="EK12" s="16"/>
      <c r="EL12" s="16"/>
      <c r="EM12" s="16"/>
      <c r="EN12" s="16"/>
      <c r="EO12" s="16"/>
      <c r="EP12" s="16"/>
      <c r="EQ12" s="16"/>
      <c r="ER12" s="16"/>
      <c r="ES12" s="16"/>
      <c r="ET12" s="16"/>
      <c r="EU12" s="16"/>
      <c r="EV12" s="16"/>
      <c r="EW12" s="16"/>
      <c r="EX12" s="16"/>
      <c r="EY12" s="16"/>
      <c r="EZ12" s="16"/>
      <c r="FA12" s="16"/>
      <c r="FB12" s="16"/>
      <c r="FC12" s="16"/>
      <c r="FD12" s="16"/>
      <c r="FE12" s="16"/>
      <c r="FF12" s="16"/>
      <c r="FG12" s="16"/>
      <c r="FH12" s="16"/>
      <c r="FI12" s="16"/>
      <c r="FJ12" s="16"/>
      <c r="FK12" s="16"/>
      <c r="FL12" s="16"/>
      <c r="FM12" s="16"/>
      <c r="FN12" s="16"/>
      <c r="FO12" s="16"/>
      <c r="FP12" s="16"/>
      <c r="FQ12" s="16"/>
      <c r="FR12" s="16"/>
      <c r="FS12" s="16"/>
      <c r="FT12" s="16"/>
      <c r="FU12" s="16"/>
      <c r="FV12" s="16"/>
      <c r="FW12" s="16"/>
      <c r="FX12" s="16"/>
      <c r="FY12" s="16"/>
      <c r="FZ12" s="16"/>
      <c r="GA12" s="16"/>
      <c r="GB12" s="16"/>
      <c r="GC12" s="16"/>
      <c r="GD12" s="16"/>
      <c r="GE12" s="16"/>
      <c r="GF12" s="16"/>
      <c r="GG12" s="16"/>
      <c r="GH12" s="16"/>
      <c r="GI12" s="16"/>
      <c r="GJ12" s="16"/>
      <c r="GK12" s="16"/>
      <c r="GL12" s="16"/>
      <c r="GM12" s="16"/>
      <c r="GN12" s="16"/>
      <c r="GO12" s="16"/>
      <c r="GP12" s="16"/>
      <c r="GQ12" s="16"/>
      <c r="GR12" s="16"/>
      <c r="GS12" s="16"/>
      <c r="GT12" s="16"/>
      <c r="GU12" s="16"/>
      <c r="GV12" s="16"/>
      <c r="GW12" s="16"/>
      <c r="GX12" s="16"/>
      <c r="GY12" s="16"/>
      <c r="GZ12" s="16"/>
      <c r="HA12" s="16"/>
      <c r="HB12" s="16"/>
      <c r="HC12" s="16"/>
      <c r="HD12" s="16"/>
      <c r="HE12" s="16"/>
      <c r="HF12" s="16"/>
      <c r="HG12" s="16"/>
      <c r="HH12" s="16"/>
      <c r="HI12" s="16"/>
      <c r="HJ12" s="16"/>
      <c r="HK12" s="16"/>
      <c r="HL12" s="16"/>
      <c r="HM12" s="16"/>
      <c r="HN12" s="16"/>
      <c r="HO12" s="16"/>
      <c r="HP12" s="16"/>
      <c r="HQ12" s="16"/>
      <c r="HR12" s="16"/>
      <c r="HS12" s="16"/>
      <c r="HT12" s="16"/>
      <c r="HU12" s="16"/>
      <c r="HV12" s="16"/>
      <c r="HW12" s="16"/>
      <c r="HX12" s="16"/>
      <c r="HY12" s="16"/>
      <c r="HZ12" s="16"/>
      <c r="IA12" s="16"/>
      <c r="IB12" s="16"/>
      <c r="IC12" s="16"/>
      <c r="ID12" s="16"/>
      <c r="IE12" s="16"/>
      <c r="IF12" s="16"/>
      <c r="IG12" s="16"/>
      <c r="IH12" s="16"/>
      <c r="II12" s="16"/>
      <c r="IJ12" s="16"/>
      <c r="IK12" s="16"/>
      <c r="IL12" s="16"/>
      <c r="IM12" s="16"/>
      <c r="IN12" s="16"/>
      <c r="IO12" s="16"/>
      <c r="IP12" s="16"/>
      <c r="IQ12" s="16"/>
      <c r="IR12" s="16"/>
      <c r="IS12" s="16"/>
      <c r="IT12" s="16"/>
      <c r="IU12" s="16"/>
      <c r="IV12" s="16"/>
      <c r="IW12" s="16"/>
      <c r="IX12" s="16"/>
      <c r="IY12" s="16"/>
      <c r="IZ12" s="16"/>
      <c r="JA12" s="16"/>
      <c r="JB12" s="16"/>
      <c r="JC12" s="16"/>
      <c r="JD12" s="16"/>
      <c r="JE12" s="16"/>
      <c r="JF12" s="16"/>
      <c r="JG12" s="16"/>
      <c r="JH12" s="16"/>
      <c r="JI12" s="16"/>
      <c r="JJ12" s="16"/>
      <c r="JK12" s="16"/>
      <c r="JL12" s="16"/>
      <c r="JM12" s="16"/>
      <c r="JN12" s="16"/>
      <c r="JO12" s="16"/>
      <c r="JP12" s="16"/>
      <c r="JQ12" s="16"/>
      <c r="JR12" s="16"/>
      <c r="JS12" s="16"/>
      <c r="JT12" s="16"/>
      <c r="JU12" s="16"/>
      <c r="JV12" s="16"/>
      <c r="JW12" s="16"/>
      <c r="JX12" s="16"/>
      <c r="JY12" s="16"/>
      <c r="JZ12" s="16"/>
      <c r="KA12" s="16"/>
      <c r="KB12" s="16"/>
      <c r="KC12" s="16"/>
      <c r="KD12" s="16"/>
      <c r="KE12" s="16"/>
      <c r="KF12" s="16"/>
      <c r="KG12" s="16"/>
      <c r="KH12" s="16"/>
      <c r="KI12" s="16"/>
      <c r="KJ12" s="16"/>
      <c r="KK12" s="16"/>
      <c r="KL12" s="16"/>
      <c r="KM12" s="16"/>
      <c r="KN12" s="16"/>
      <c r="KO12" s="16"/>
      <c r="KP12" s="16"/>
      <c r="KQ12" s="16"/>
      <c r="KR12" s="16"/>
      <c r="KS12" s="16"/>
      <c r="KT12" s="16"/>
    </row>
    <row r="13" spans="1:306" s="4" customFormat="1" ht="48" x14ac:dyDescent="0.25">
      <c r="A13" s="222"/>
      <c r="B13" s="222"/>
      <c r="C13" s="222"/>
      <c r="D13" s="222"/>
      <c r="E13" s="223"/>
      <c r="F13" s="212"/>
      <c r="G13" s="297" t="s">
        <v>291</v>
      </c>
      <c r="H13" s="9" t="s">
        <v>392</v>
      </c>
      <c r="I13" s="9"/>
      <c r="J13" s="252"/>
      <c r="K13" s="222"/>
      <c r="L13" s="222"/>
      <c r="M13" s="694"/>
      <c r="N13" s="169"/>
      <c r="O13" s="733"/>
      <c r="P13" s="734"/>
      <c r="Q13" s="735"/>
      <c r="R13" s="735"/>
      <c r="S13" s="735"/>
      <c r="T13" s="752" t="s">
        <v>746</v>
      </c>
      <c r="U13" s="752" t="s">
        <v>747</v>
      </c>
      <c r="V13" s="99" t="s">
        <v>51</v>
      </c>
      <c r="W13" s="99">
        <v>0</v>
      </c>
      <c r="X13" s="99">
        <v>92</v>
      </c>
      <c r="Y13" s="753"/>
      <c r="Z13" s="680"/>
      <c r="AA13" s="602"/>
      <c r="AB13" s="754"/>
      <c r="AC13" s="223"/>
      <c r="AD13" s="755"/>
      <c r="AE13" s="222"/>
      <c r="AF13" s="756">
        <v>3959793000</v>
      </c>
      <c r="AG13" s="311">
        <v>0.92</v>
      </c>
      <c r="AH13" s="757">
        <v>7.0000000000000007E-2</v>
      </c>
      <c r="AI13" s="557" t="s">
        <v>748</v>
      </c>
      <c r="AJ13" s="758"/>
      <c r="AK13" s="759"/>
      <c r="AL13" s="760"/>
      <c r="AM13" s="761"/>
      <c r="AN13" s="762">
        <v>13677948087</v>
      </c>
      <c r="AO13" s="321">
        <v>0.92</v>
      </c>
      <c r="AP13" s="321">
        <v>0.25</v>
      </c>
      <c r="AQ13" s="763" t="s">
        <v>748</v>
      </c>
      <c r="AR13" s="745"/>
      <c r="AS13" s="138"/>
      <c r="AT13" s="747"/>
      <c r="AU13" s="136"/>
      <c r="AV13" s="764">
        <v>17584523928</v>
      </c>
      <c r="AW13" s="21">
        <v>0.92</v>
      </c>
      <c r="AX13" s="21">
        <v>0.32</v>
      </c>
      <c r="AY13" s="765" t="s">
        <v>748</v>
      </c>
      <c r="AZ13" s="745"/>
      <c r="BA13" s="138"/>
      <c r="BB13" s="750"/>
      <c r="BC13" s="136"/>
      <c r="BD13" s="764">
        <v>19482638575</v>
      </c>
      <c r="BE13" s="21">
        <v>0.92</v>
      </c>
      <c r="BF13" s="21">
        <f>+BD13/54220148806</f>
        <v>0.35932469762687286</v>
      </c>
      <c r="BG13" s="765" t="s">
        <v>749</v>
      </c>
      <c r="BH13" s="745"/>
      <c r="BI13" s="138"/>
      <c r="BJ13" s="747"/>
      <c r="BK13" s="136"/>
      <c r="BL13" s="764">
        <v>28522503694</v>
      </c>
      <c r="BM13" s="21">
        <v>0.92</v>
      </c>
      <c r="BN13" s="21">
        <f>+BL13/54220148806</f>
        <v>0.5260498969867029</v>
      </c>
      <c r="BO13" s="765" t="s">
        <v>749</v>
      </c>
      <c r="BP13" s="754"/>
      <c r="BQ13" s="223"/>
      <c r="BR13" s="310"/>
      <c r="BS13" s="222"/>
      <c r="BT13" s="756">
        <v>35936461924.5</v>
      </c>
      <c r="BU13" s="311">
        <v>0.92</v>
      </c>
      <c r="BV13" s="311">
        <f>+BT13/54220148806</f>
        <v>0.66278796196375012</v>
      </c>
      <c r="BW13" s="557" t="s">
        <v>749</v>
      </c>
      <c r="BX13" s="754"/>
      <c r="BY13" s="223"/>
      <c r="BZ13" s="310"/>
      <c r="CA13" s="222"/>
      <c r="CB13" s="756">
        <v>46205974074.5</v>
      </c>
      <c r="CC13" s="311">
        <v>0.92</v>
      </c>
      <c r="CD13" s="311">
        <f>+CB13/54220148806</f>
        <v>0.85219194509821872</v>
      </c>
      <c r="CE13" s="557" t="s">
        <v>749</v>
      </c>
      <c r="CF13" s="754"/>
      <c r="CG13" s="223"/>
      <c r="CH13" s="766"/>
      <c r="CI13" s="222"/>
      <c r="CJ13" s="756">
        <v>53272129522.5</v>
      </c>
      <c r="CK13" s="311">
        <v>0.92</v>
      </c>
      <c r="CL13" s="311">
        <f>+CJ13/54220148806</f>
        <v>0.98251536920542182</v>
      </c>
      <c r="CM13" s="557" t="s">
        <v>749</v>
      </c>
      <c r="CN13" s="754"/>
      <c r="CO13" s="223"/>
      <c r="CP13" s="310"/>
      <c r="CQ13" s="222"/>
      <c r="CR13" s="756">
        <v>59283821790.5</v>
      </c>
      <c r="CS13" s="311">
        <v>0.92</v>
      </c>
      <c r="CT13" s="311">
        <f>+CR13/54220148806</f>
        <v>1.0933909827989932</v>
      </c>
      <c r="CU13" s="557" t="s">
        <v>749</v>
      </c>
      <c r="CV13" s="16"/>
      <c r="CW13" s="16"/>
      <c r="CX13" s="16"/>
      <c r="CY13" s="16"/>
      <c r="CZ13" s="16"/>
      <c r="DA13" s="16">
        <v>0.32431714621288715</v>
      </c>
      <c r="DB13" s="16"/>
      <c r="DC13" s="16"/>
      <c r="DD13" s="713">
        <v>1</v>
      </c>
      <c r="DE13" s="16"/>
      <c r="DF13" s="16"/>
      <c r="DG13" s="16"/>
      <c r="DH13" s="16"/>
      <c r="DI13" s="16"/>
      <c r="DJ13" s="16"/>
      <c r="DK13" s="16"/>
      <c r="DL13" s="16"/>
      <c r="DM13" s="16"/>
      <c r="DN13" s="16"/>
      <c r="DO13" s="16"/>
      <c r="DP13" s="16"/>
      <c r="DQ13" s="16"/>
      <c r="DR13" s="16"/>
      <c r="DS13" s="16"/>
      <c r="DT13" s="16"/>
      <c r="DU13" s="16"/>
      <c r="DV13" s="16"/>
      <c r="DW13" s="16"/>
      <c r="DX13" s="16"/>
      <c r="DY13" s="16"/>
      <c r="DZ13" s="16"/>
      <c r="EA13" s="16"/>
      <c r="EB13" s="16"/>
      <c r="EC13" s="16"/>
      <c r="ED13" s="16"/>
      <c r="EE13" s="16"/>
      <c r="EF13" s="16"/>
      <c r="EG13" s="16"/>
      <c r="EH13" s="16"/>
      <c r="EI13" s="16"/>
      <c r="EJ13" s="16"/>
      <c r="EK13" s="16"/>
      <c r="EL13" s="16"/>
      <c r="EM13" s="16"/>
      <c r="EN13" s="16"/>
      <c r="EO13" s="16"/>
      <c r="EP13" s="16"/>
      <c r="EQ13" s="16"/>
      <c r="ER13" s="16"/>
      <c r="ES13" s="16"/>
      <c r="ET13" s="16"/>
      <c r="EU13" s="16"/>
      <c r="EV13" s="16"/>
      <c r="EW13" s="16"/>
      <c r="EX13" s="16"/>
      <c r="EY13" s="16"/>
      <c r="EZ13" s="16"/>
      <c r="FA13" s="16"/>
      <c r="FB13" s="16"/>
      <c r="FC13" s="16"/>
      <c r="FD13" s="16"/>
      <c r="FE13" s="16"/>
      <c r="FF13" s="16"/>
      <c r="FG13" s="16"/>
      <c r="FH13" s="16"/>
      <c r="FI13" s="16"/>
      <c r="FJ13" s="16"/>
      <c r="FK13" s="16"/>
      <c r="FL13" s="16"/>
      <c r="FM13" s="16"/>
      <c r="FN13" s="16"/>
      <c r="FO13" s="16"/>
      <c r="FP13" s="16"/>
      <c r="FQ13" s="16"/>
      <c r="FR13" s="16"/>
      <c r="FS13" s="16"/>
      <c r="FT13" s="16"/>
      <c r="FU13" s="16"/>
      <c r="FV13" s="16"/>
      <c r="FW13" s="16"/>
      <c r="FX13" s="16"/>
      <c r="FY13" s="16"/>
      <c r="FZ13" s="16"/>
      <c r="GA13" s="16"/>
      <c r="GB13" s="16"/>
      <c r="GC13" s="16"/>
      <c r="GD13" s="16"/>
      <c r="GE13" s="16"/>
      <c r="GF13" s="16"/>
      <c r="GG13" s="16"/>
      <c r="GH13" s="16"/>
      <c r="GI13" s="16"/>
      <c r="GJ13" s="16"/>
      <c r="GK13" s="16"/>
      <c r="GL13" s="16"/>
      <c r="GM13" s="16"/>
      <c r="GN13" s="16"/>
      <c r="GO13" s="16"/>
      <c r="GP13" s="16"/>
      <c r="GQ13" s="16"/>
      <c r="GR13" s="16"/>
      <c r="GS13" s="16"/>
      <c r="GT13" s="16"/>
      <c r="GU13" s="16"/>
      <c r="GV13" s="16"/>
      <c r="GW13" s="16"/>
      <c r="GX13" s="16"/>
      <c r="GY13" s="16"/>
      <c r="GZ13" s="16"/>
      <c r="HA13" s="16"/>
      <c r="HB13" s="16"/>
      <c r="HC13" s="16"/>
      <c r="HD13" s="16"/>
      <c r="HE13" s="16"/>
      <c r="HF13" s="16"/>
      <c r="HG13" s="16"/>
      <c r="HH13" s="16"/>
      <c r="HI13" s="16"/>
      <c r="HJ13" s="16"/>
      <c r="HK13" s="16"/>
      <c r="HL13" s="16"/>
      <c r="HM13" s="16"/>
      <c r="HN13" s="16"/>
      <c r="HO13" s="16"/>
      <c r="HP13" s="16"/>
      <c r="HQ13" s="16"/>
      <c r="HR13" s="16"/>
      <c r="HS13" s="16"/>
      <c r="HT13" s="16"/>
      <c r="HU13" s="16"/>
      <c r="HV13" s="16"/>
      <c r="HW13" s="16"/>
      <c r="HX13" s="16"/>
      <c r="HY13" s="16"/>
      <c r="HZ13" s="16"/>
      <c r="IA13" s="16"/>
      <c r="IB13" s="16"/>
      <c r="IC13" s="16"/>
      <c r="ID13" s="16"/>
      <c r="IE13" s="16"/>
      <c r="IF13" s="16"/>
      <c r="IG13" s="16"/>
      <c r="IH13" s="16"/>
      <c r="II13" s="16"/>
      <c r="IJ13" s="16"/>
      <c r="IK13" s="16"/>
      <c r="IL13" s="16"/>
      <c r="IM13" s="16"/>
      <c r="IN13" s="16"/>
      <c r="IO13" s="16"/>
      <c r="IP13" s="16"/>
      <c r="IQ13" s="16"/>
      <c r="IR13" s="16"/>
      <c r="IS13" s="16"/>
      <c r="IT13" s="16"/>
      <c r="IU13" s="16"/>
      <c r="IV13" s="16"/>
      <c r="IW13" s="16"/>
      <c r="IX13" s="16"/>
      <c r="IY13" s="16"/>
      <c r="IZ13" s="16"/>
      <c r="JA13" s="16"/>
      <c r="JB13" s="16"/>
      <c r="JC13" s="16"/>
      <c r="JD13" s="16"/>
      <c r="JE13" s="16"/>
      <c r="JF13" s="16"/>
      <c r="JG13" s="16"/>
      <c r="JH13" s="16"/>
      <c r="JI13" s="16"/>
      <c r="JJ13" s="16"/>
      <c r="JK13" s="16"/>
      <c r="JL13" s="16"/>
      <c r="JM13" s="16"/>
      <c r="JN13" s="16"/>
      <c r="JO13" s="16"/>
      <c r="JP13" s="16"/>
      <c r="JQ13" s="16"/>
      <c r="JR13" s="16"/>
      <c r="JS13" s="16"/>
      <c r="JT13" s="16"/>
      <c r="JU13" s="16"/>
      <c r="JV13" s="16"/>
      <c r="JW13" s="16"/>
      <c r="JX13" s="16"/>
      <c r="JY13" s="16"/>
      <c r="JZ13" s="16"/>
      <c r="KA13" s="16"/>
      <c r="KB13" s="16"/>
      <c r="KC13" s="16"/>
      <c r="KD13" s="16"/>
      <c r="KE13" s="16"/>
      <c r="KF13" s="16"/>
      <c r="KG13" s="16"/>
      <c r="KH13" s="16"/>
      <c r="KI13" s="16"/>
      <c r="KJ13" s="16"/>
      <c r="KK13" s="16"/>
      <c r="KL13" s="16"/>
      <c r="KM13" s="16"/>
      <c r="KN13" s="16"/>
      <c r="KO13" s="16"/>
      <c r="KP13" s="16"/>
      <c r="KQ13" s="16"/>
      <c r="KR13" s="16"/>
      <c r="KS13" s="16"/>
      <c r="KT13" s="16"/>
    </row>
    <row r="14" spans="1:306" s="3" customFormat="1" ht="48" x14ac:dyDescent="0.25">
      <c r="A14" s="222"/>
      <c r="B14" s="222"/>
      <c r="C14" s="222"/>
      <c r="D14" s="222"/>
      <c r="E14" s="223"/>
      <c r="F14" s="212"/>
      <c r="G14" s="297" t="s">
        <v>291</v>
      </c>
      <c r="H14" s="9" t="s">
        <v>392</v>
      </c>
      <c r="I14" s="9"/>
      <c r="J14" s="252"/>
      <c r="K14" s="222"/>
      <c r="L14" s="222"/>
      <c r="M14" s="694"/>
      <c r="N14" s="169"/>
      <c r="O14" s="733"/>
      <c r="P14" s="734"/>
      <c r="Q14" s="735"/>
      <c r="R14" s="735"/>
      <c r="S14" s="735"/>
      <c r="T14" s="678" t="s">
        <v>750</v>
      </c>
      <c r="U14" s="678" t="s">
        <v>751</v>
      </c>
      <c r="V14" s="97" t="s">
        <v>51</v>
      </c>
      <c r="W14" s="97">
        <v>0</v>
      </c>
      <c r="X14" s="97">
        <v>92</v>
      </c>
      <c r="Y14" s="753"/>
      <c r="Z14" s="680"/>
      <c r="AA14" s="602"/>
      <c r="AB14" s="754"/>
      <c r="AC14" s="223"/>
      <c r="AD14" s="755"/>
      <c r="AE14" s="222"/>
      <c r="AF14" s="738">
        <v>4796867068</v>
      </c>
      <c r="AG14" s="304">
        <v>0.92</v>
      </c>
      <c r="AH14" s="684">
        <v>0.77</v>
      </c>
      <c r="AI14" s="563" t="s">
        <v>752</v>
      </c>
      <c r="AJ14" s="758"/>
      <c r="AK14" s="759"/>
      <c r="AL14" s="760"/>
      <c r="AM14" s="761"/>
      <c r="AN14" s="743">
        <v>5840957424</v>
      </c>
      <c r="AO14" s="317">
        <v>0.92</v>
      </c>
      <c r="AP14" s="317">
        <v>0.94</v>
      </c>
      <c r="AQ14" s="744" t="s">
        <v>752</v>
      </c>
      <c r="AR14" s="745"/>
      <c r="AS14" s="138"/>
      <c r="AT14" s="747"/>
      <c r="AU14" s="136"/>
      <c r="AV14" s="748">
        <v>5840957424</v>
      </c>
      <c r="AW14" s="22">
        <v>0.92</v>
      </c>
      <c r="AX14" s="22">
        <v>0.94</v>
      </c>
      <c r="AY14" s="749" t="s">
        <v>752</v>
      </c>
      <c r="AZ14" s="745"/>
      <c r="BA14" s="138"/>
      <c r="BB14" s="750"/>
      <c r="BC14" s="136"/>
      <c r="BD14" s="748">
        <v>8260638898</v>
      </c>
      <c r="BE14" s="22">
        <v>0.92</v>
      </c>
      <c r="BF14" s="22">
        <f>+BD14/6195243539</f>
        <v>1.3333840463248978</v>
      </c>
      <c r="BG14" s="749" t="s">
        <v>753</v>
      </c>
      <c r="BH14" s="745"/>
      <c r="BI14" s="138"/>
      <c r="BJ14" s="747"/>
      <c r="BK14" s="136"/>
      <c r="BL14" s="748">
        <v>8756329629</v>
      </c>
      <c r="BM14" s="22">
        <v>0.92</v>
      </c>
      <c r="BN14" s="22">
        <f>+BL14/6195243539</f>
        <v>1.4133955467412336</v>
      </c>
      <c r="BO14" s="749" t="s">
        <v>753</v>
      </c>
      <c r="BP14" s="754"/>
      <c r="BQ14" s="223"/>
      <c r="BR14" s="310"/>
      <c r="BS14" s="222"/>
      <c r="BT14" s="738">
        <v>9346969510</v>
      </c>
      <c r="BU14" s="304">
        <v>0.92</v>
      </c>
      <c r="BV14" s="304">
        <f>+BT14/6195243539</f>
        <v>1.5087331839595015</v>
      </c>
      <c r="BW14" s="563" t="s">
        <v>753</v>
      </c>
      <c r="BX14" s="754"/>
      <c r="BY14" s="223"/>
      <c r="BZ14" s="310"/>
      <c r="CA14" s="222"/>
      <c r="CB14" s="738">
        <v>9346969510</v>
      </c>
      <c r="CC14" s="304">
        <v>0.92</v>
      </c>
      <c r="CD14" s="304">
        <f>+CB14/6195243539</f>
        <v>1.5087331839595015</v>
      </c>
      <c r="CE14" s="563" t="s">
        <v>753</v>
      </c>
      <c r="CF14" s="754"/>
      <c r="CG14" s="223"/>
      <c r="CH14" s="766"/>
      <c r="CI14" s="222"/>
      <c r="CJ14" s="738">
        <v>9346969510</v>
      </c>
      <c r="CK14" s="304">
        <v>0.92</v>
      </c>
      <c r="CL14" s="304">
        <f>+CJ14/6195243539</f>
        <v>1.5087331839595015</v>
      </c>
      <c r="CM14" s="563" t="s">
        <v>753</v>
      </c>
      <c r="CN14" s="754"/>
      <c r="CO14" s="223"/>
      <c r="CP14" s="310"/>
      <c r="CQ14" s="222"/>
      <c r="CR14" s="738">
        <v>9346969510</v>
      </c>
      <c r="CS14" s="304">
        <v>0.92</v>
      </c>
      <c r="CT14" s="304">
        <f>+CR14/6195243539</f>
        <v>1.5087331839595015</v>
      </c>
      <c r="CU14" s="563" t="s">
        <v>753</v>
      </c>
      <c r="CV14" s="16"/>
      <c r="CW14" s="16"/>
      <c r="CX14" s="16"/>
      <c r="CY14" s="16"/>
      <c r="CZ14" s="16"/>
      <c r="DA14" s="16">
        <v>0.94281320616861708</v>
      </c>
      <c r="DB14" s="16">
        <f>+AVERAGE(DA12:DA21)</f>
        <v>0.38671908374197062</v>
      </c>
      <c r="DD14" s="713">
        <v>0.19</v>
      </c>
      <c r="DE14" s="16"/>
      <c r="DF14" s="16"/>
      <c r="DG14" s="16"/>
      <c r="DH14" s="16"/>
      <c r="DI14" s="16"/>
      <c r="DJ14" s="16"/>
      <c r="DK14" s="16"/>
      <c r="DL14" s="16"/>
      <c r="DM14" s="16"/>
      <c r="DN14" s="16"/>
      <c r="DO14" s="16"/>
      <c r="DP14" s="16"/>
      <c r="DQ14" s="16"/>
      <c r="DR14" s="16"/>
      <c r="DS14" s="16"/>
      <c r="DT14" s="16"/>
      <c r="DU14" s="16"/>
      <c r="DV14" s="16"/>
      <c r="DW14" s="16"/>
      <c r="DX14" s="16"/>
      <c r="DY14" s="16"/>
      <c r="DZ14" s="16"/>
      <c r="EA14" s="16"/>
      <c r="EB14" s="16"/>
      <c r="EC14" s="16"/>
      <c r="ED14" s="16"/>
      <c r="EE14" s="16"/>
      <c r="EF14" s="16"/>
      <c r="EG14" s="16"/>
      <c r="EH14" s="16"/>
      <c r="EI14" s="16"/>
      <c r="EJ14" s="16"/>
      <c r="EK14" s="16"/>
      <c r="EL14" s="16"/>
      <c r="EM14" s="16"/>
      <c r="EN14" s="16"/>
      <c r="EO14" s="16"/>
      <c r="EP14" s="16"/>
      <c r="EQ14" s="16"/>
      <c r="ER14" s="16"/>
      <c r="ES14" s="16"/>
      <c r="ET14" s="16"/>
      <c r="EU14" s="16"/>
      <c r="EV14" s="16"/>
      <c r="EW14" s="16"/>
      <c r="EX14" s="16"/>
      <c r="EY14" s="16"/>
      <c r="EZ14" s="16"/>
      <c r="FA14" s="16"/>
      <c r="FB14" s="16"/>
      <c r="FC14" s="16"/>
      <c r="FD14" s="16"/>
      <c r="FE14" s="16"/>
      <c r="FF14" s="16"/>
      <c r="FG14" s="16"/>
      <c r="FH14" s="16"/>
      <c r="FI14" s="16"/>
      <c r="FJ14" s="16"/>
      <c r="FK14" s="16"/>
      <c r="FL14" s="16"/>
      <c r="FM14" s="16"/>
      <c r="FN14" s="16"/>
      <c r="FO14" s="16"/>
      <c r="FP14" s="16"/>
      <c r="FQ14" s="16"/>
      <c r="FR14" s="16"/>
      <c r="FS14" s="16"/>
      <c r="FT14" s="16"/>
      <c r="FU14" s="16"/>
      <c r="FV14" s="16"/>
      <c r="FW14" s="16"/>
      <c r="FX14" s="16"/>
      <c r="FY14" s="16"/>
      <c r="FZ14" s="16"/>
      <c r="GA14" s="16"/>
      <c r="GB14" s="16"/>
      <c r="GC14" s="16"/>
      <c r="GD14" s="16"/>
      <c r="GE14" s="16"/>
      <c r="GF14" s="16"/>
      <c r="GG14" s="16"/>
      <c r="GH14" s="16"/>
      <c r="GI14" s="16"/>
      <c r="GJ14" s="16"/>
      <c r="GK14" s="16"/>
      <c r="GL14" s="16"/>
      <c r="GM14" s="16"/>
      <c r="GN14" s="16"/>
      <c r="GO14" s="16"/>
      <c r="GP14" s="16"/>
      <c r="GQ14" s="16"/>
      <c r="GR14" s="16"/>
      <c r="GS14" s="16"/>
      <c r="GT14" s="16"/>
      <c r="GU14" s="16"/>
      <c r="GV14" s="16"/>
      <c r="GW14" s="16"/>
      <c r="GX14" s="16"/>
      <c r="GY14" s="16"/>
      <c r="GZ14" s="16"/>
      <c r="HA14" s="16"/>
      <c r="HB14" s="16"/>
      <c r="HC14" s="16"/>
      <c r="HD14" s="16"/>
      <c r="HE14" s="16"/>
      <c r="HF14" s="16"/>
      <c r="HG14" s="16"/>
      <c r="HH14" s="16"/>
      <c r="HI14" s="16"/>
      <c r="HJ14" s="16"/>
      <c r="HK14" s="16"/>
      <c r="HL14" s="16"/>
      <c r="HM14" s="16"/>
      <c r="HN14" s="16"/>
      <c r="HO14" s="16"/>
      <c r="HP14" s="16"/>
      <c r="HQ14" s="16"/>
      <c r="HR14" s="16"/>
      <c r="HS14" s="16"/>
      <c r="HT14" s="16"/>
      <c r="HU14" s="16"/>
      <c r="HV14" s="16"/>
      <c r="HW14" s="16"/>
      <c r="HX14" s="16"/>
      <c r="HY14" s="16"/>
      <c r="HZ14" s="16"/>
      <c r="IA14" s="16"/>
      <c r="IB14" s="16"/>
      <c r="IC14" s="16"/>
      <c r="ID14" s="16"/>
      <c r="IE14" s="16"/>
      <c r="IF14" s="16"/>
      <c r="IG14" s="16"/>
      <c r="IH14" s="16"/>
      <c r="II14" s="16"/>
      <c r="IJ14" s="16"/>
      <c r="IK14" s="16"/>
      <c r="IL14" s="16"/>
      <c r="IM14" s="16"/>
      <c r="IN14" s="16"/>
      <c r="IO14" s="16"/>
      <c r="IP14" s="16"/>
      <c r="IQ14" s="16"/>
      <c r="IR14" s="16"/>
      <c r="IS14" s="16"/>
      <c r="IT14" s="16"/>
      <c r="IU14" s="16"/>
      <c r="IV14" s="16"/>
      <c r="IW14" s="16"/>
      <c r="IX14" s="16"/>
      <c r="IY14" s="16"/>
      <c r="IZ14" s="16"/>
      <c r="JA14" s="16"/>
      <c r="JB14" s="16"/>
      <c r="JC14" s="16"/>
      <c r="JD14" s="16"/>
      <c r="JE14" s="16"/>
      <c r="JF14" s="16"/>
      <c r="JG14" s="16"/>
      <c r="JH14" s="16"/>
      <c r="JI14" s="16"/>
      <c r="JJ14" s="16"/>
      <c r="JK14" s="16"/>
      <c r="JL14" s="16"/>
      <c r="JM14" s="16"/>
      <c r="JN14" s="16"/>
      <c r="JO14" s="16"/>
      <c r="JP14" s="16"/>
      <c r="JQ14" s="16"/>
      <c r="JR14" s="16"/>
      <c r="JS14" s="16"/>
      <c r="JT14" s="16"/>
      <c r="JU14" s="16"/>
      <c r="JV14" s="16"/>
      <c r="JW14" s="16"/>
      <c r="JX14" s="16"/>
      <c r="JY14" s="16"/>
      <c r="JZ14" s="16"/>
      <c r="KA14" s="16"/>
      <c r="KB14" s="16"/>
      <c r="KC14" s="16"/>
      <c r="KD14" s="16"/>
      <c r="KE14" s="16"/>
      <c r="KF14" s="16"/>
      <c r="KG14" s="16"/>
      <c r="KH14" s="16"/>
      <c r="KI14" s="16"/>
      <c r="KJ14" s="16"/>
      <c r="KK14" s="16"/>
      <c r="KL14" s="16"/>
      <c r="KM14" s="16"/>
      <c r="KN14" s="16"/>
      <c r="KO14" s="16"/>
      <c r="KP14" s="16"/>
      <c r="KQ14" s="16"/>
      <c r="KR14" s="16"/>
      <c r="KS14" s="16"/>
      <c r="KT14" s="16"/>
    </row>
    <row r="15" spans="1:306" s="772" customFormat="1" ht="48" x14ac:dyDescent="0.25">
      <c r="A15" s="222"/>
      <c r="B15" s="222"/>
      <c r="C15" s="222"/>
      <c r="D15" s="222"/>
      <c r="E15" s="223"/>
      <c r="F15" s="212"/>
      <c r="G15" s="297" t="s">
        <v>291</v>
      </c>
      <c r="H15" s="9" t="s">
        <v>392</v>
      </c>
      <c r="I15" s="9"/>
      <c r="J15" s="252"/>
      <c r="K15" s="222"/>
      <c r="L15" s="222"/>
      <c r="M15" s="694"/>
      <c r="N15" s="169"/>
      <c r="O15" s="733"/>
      <c r="P15" s="734"/>
      <c r="Q15" s="735"/>
      <c r="R15" s="735"/>
      <c r="S15" s="735"/>
      <c r="T15" s="726" t="s">
        <v>754</v>
      </c>
      <c r="U15" s="726" t="s">
        <v>755</v>
      </c>
      <c r="V15" s="51" t="s">
        <v>51</v>
      </c>
      <c r="W15" s="51">
        <v>0</v>
      </c>
      <c r="X15" s="51">
        <v>92</v>
      </c>
      <c r="Y15" s="753"/>
      <c r="Z15" s="680"/>
      <c r="AA15" s="602"/>
      <c r="AB15" s="754"/>
      <c r="AC15" s="223"/>
      <c r="AD15" s="755"/>
      <c r="AE15" s="222"/>
      <c r="AF15" s="762">
        <v>62007</v>
      </c>
      <c r="AG15" s="321">
        <v>0.92</v>
      </c>
      <c r="AH15" s="757">
        <v>0</v>
      </c>
      <c r="AI15" s="558" t="s">
        <v>756</v>
      </c>
      <c r="AJ15" s="758"/>
      <c r="AK15" s="759"/>
      <c r="AL15" s="760"/>
      <c r="AM15" s="761"/>
      <c r="AN15" s="762">
        <v>7272909</v>
      </c>
      <c r="AO15" s="321">
        <v>0.92</v>
      </c>
      <c r="AP15" s="321">
        <v>0.01</v>
      </c>
      <c r="AQ15" s="763" t="s">
        <v>756</v>
      </c>
      <c r="AR15" s="745"/>
      <c r="AS15" s="138"/>
      <c r="AT15" s="747"/>
      <c r="AU15" s="136"/>
      <c r="AV15" s="767">
        <v>93656009</v>
      </c>
      <c r="AW15" s="52">
        <v>0.92</v>
      </c>
      <c r="AX15" s="52">
        <v>7.0000000000000007E-2</v>
      </c>
      <c r="AY15" s="731" t="s">
        <v>756</v>
      </c>
      <c r="AZ15" s="745"/>
      <c r="BA15" s="138"/>
      <c r="BB15" s="750"/>
      <c r="BC15" s="136"/>
      <c r="BD15" s="767">
        <v>151790986</v>
      </c>
      <c r="BE15" s="52">
        <v>0.92</v>
      </c>
      <c r="BF15" s="52">
        <f>+BD15/1353296747</f>
        <v>0.11216385935789144</v>
      </c>
      <c r="BG15" s="731" t="s">
        <v>757</v>
      </c>
      <c r="BH15" s="745"/>
      <c r="BI15" s="138"/>
      <c r="BJ15" s="747"/>
      <c r="BK15" s="136"/>
      <c r="BL15" s="767">
        <v>257184951</v>
      </c>
      <c r="BM15" s="52">
        <v>0.92</v>
      </c>
      <c r="BN15" s="52">
        <f>+BL15/1353296747</f>
        <v>0.19004327880794056</v>
      </c>
      <c r="BO15" s="731" t="s">
        <v>757</v>
      </c>
      <c r="BP15" s="754"/>
      <c r="BQ15" s="223"/>
      <c r="BR15" s="310"/>
      <c r="BS15" s="222"/>
      <c r="BT15" s="762">
        <v>334528706</v>
      </c>
      <c r="BU15" s="321">
        <v>0.92</v>
      </c>
      <c r="BV15" s="321">
        <f>+BT15/1353296747</f>
        <v>0.24719538175317879</v>
      </c>
      <c r="BW15" s="558" t="s">
        <v>757</v>
      </c>
      <c r="BX15" s="754"/>
      <c r="BY15" s="223"/>
      <c r="BZ15" s="310"/>
      <c r="CA15" s="222"/>
      <c r="CB15" s="762">
        <v>412134405</v>
      </c>
      <c r="CC15" s="321">
        <v>0.92</v>
      </c>
      <c r="CD15" s="321">
        <f>+CB15/1353296747</f>
        <v>0.30454104461096437</v>
      </c>
      <c r="CE15" s="558" t="s">
        <v>757</v>
      </c>
      <c r="CF15" s="754"/>
      <c r="CG15" s="223"/>
      <c r="CH15" s="766"/>
      <c r="CI15" s="222"/>
      <c r="CJ15" s="762">
        <v>474387823</v>
      </c>
      <c r="CK15" s="321">
        <v>0.92</v>
      </c>
      <c r="CL15" s="321">
        <f>+CJ15/1353296747</f>
        <v>0.35054235078272894</v>
      </c>
      <c r="CM15" s="558" t="s">
        <v>757</v>
      </c>
      <c r="CN15" s="754"/>
      <c r="CO15" s="223"/>
      <c r="CP15" s="310"/>
      <c r="CQ15" s="222"/>
      <c r="CR15" s="762">
        <v>505745899</v>
      </c>
      <c r="CS15" s="321">
        <v>0.92</v>
      </c>
      <c r="CT15" s="321">
        <f>+CR15/1353296747</f>
        <v>0.3737139693279703</v>
      </c>
      <c r="CU15" s="558" t="s">
        <v>757</v>
      </c>
      <c r="CV15" s="768" t="s">
        <v>758</v>
      </c>
      <c r="CW15" s="769"/>
      <c r="CX15" s="770"/>
      <c r="CY15" s="770" t="s">
        <v>759</v>
      </c>
      <c r="CZ15" s="770"/>
      <c r="DA15" s="770">
        <v>6.9205818463406094E-2</v>
      </c>
      <c r="DB15" s="770"/>
      <c r="DC15" s="770"/>
      <c r="DD15" s="771">
        <v>0.16600000000000001</v>
      </c>
      <c r="DE15" s="770" t="s">
        <v>760</v>
      </c>
      <c r="DF15" s="770"/>
      <c r="DG15" s="770"/>
      <c r="DH15" s="770"/>
      <c r="DI15" s="770"/>
      <c r="DJ15" s="770"/>
      <c r="DK15" s="770"/>
      <c r="DL15" s="770"/>
      <c r="DM15" s="770"/>
      <c r="DN15" s="770"/>
      <c r="DO15" s="770"/>
      <c r="DP15" s="770"/>
      <c r="DQ15" s="770"/>
      <c r="DR15" s="770"/>
      <c r="DS15" s="770"/>
      <c r="DT15" s="770"/>
      <c r="DU15" s="770"/>
      <c r="DV15" s="770"/>
      <c r="DW15" s="770"/>
      <c r="DX15" s="770"/>
      <c r="DY15" s="770"/>
      <c r="DZ15" s="770"/>
      <c r="EA15" s="770"/>
      <c r="EB15" s="770"/>
      <c r="EC15" s="770"/>
      <c r="ED15" s="770"/>
      <c r="EE15" s="770"/>
      <c r="EF15" s="770"/>
      <c r="EG15" s="770"/>
      <c r="EH15" s="770"/>
      <c r="EI15" s="770"/>
      <c r="EJ15" s="770"/>
      <c r="EK15" s="770"/>
      <c r="EL15" s="770"/>
      <c r="EM15" s="770"/>
      <c r="EN15" s="770"/>
      <c r="EO15" s="770"/>
      <c r="EP15" s="770"/>
      <c r="EQ15" s="770"/>
      <c r="ER15" s="770"/>
      <c r="ES15" s="770"/>
      <c r="ET15" s="770"/>
      <c r="EU15" s="770"/>
      <c r="EV15" s="770"/>
      <c r="EW15" s="770"/>
      <c r="EX15" s="770"/>
      <c r="EY15" s="770"/>
      <c r="EZ15" s="770"/>
      <c r="FA15" s="770"/>
      <c r="FB15" s="770"/>
      <c r="FC15" s="770"/>
      <c r="FD15" s="770"/>
      <c r="FE15" s="770"/>
      <c r="FF15" s="770"/>
      <c r="FG15" s="770"/>
      <c r="FH15" s="770"/>
      <c r="FI15" s="770"/>
      <c r="FJ15" s="770"/>
      <c r="FK15" s="770"/>
      <c r="FL15" s="770"/>
      <c r="FM15" s="770"/>
      <c r="FN15" s="770"/>
      <c r="FO15" s="770"/>
      <c r="FP15" s="770"/>
      <c r="FQ15" s="770"/>
      <c r="FR15" s="770"/>
      <c r="FS15" s="770"/>
      <c r="FT15" s="770"/>
      <c r="FU15" s="770"/>
      <c r="FV15" s="770"/>
      <c r="FW15" s="770"/>
      <c r="FX15" s="770"/>
      <c r="FY15" s="770"/>
      <c r="FZ15" s="770"/>
      <c r="GA15" s="770"/>
      <c r="GB15" s="770"/>
      <c r="GC15" s="770"/>
      <c r="GD15" s="770"/>
      <c r="GE15" s="770"/>
      <c r="GF15" s="770"/>
      <c r="GG15" s="770"/>
      <c r="GH15" s="770"/>
      <c r="GI15" s="770"/>
      <c r="GJ15" s="770"/>
      <c r="GK15" s="770"/>
      <c r="GL15" s="770"/>
      <c r="GM15" s="770"/>
      <c r="GN15" s="770"/>
      <c r="GO15" s="770"/>
      <c r="GP15" s="770"/>
      <c r="GQ15" s="770"/>
      <c r="GR15" s="770"/>
      <c r="GS15" s="770"/>
      <c r="GT15" s="770"/>
      <c r="GU15" s="770"/>
      <c r="GV15" s="770"/>
      <c r="GW15" s="770"/>
      <c r="GX15" s="770"/>
      <c r="GY15" s="770"/>
      <c r="GZ15" s="770"/>
      <c r="HA15" s="770"/>
      <c r="HB15" s="770"/>
      <c r="HC15" s="770"/>
      <c r="HD15" s="770"/>
      <c r="HE15" s="770"/>
      <c r="HF15" s="770"/>
      <c r="HG15" s="770"/>
      <c r="HH15" s="770"/>
      <c r="HI15" s="770"/>
      <c r="HJ15" s="770"/>
      <c r="HK15" s="770"/>
      <c r="HL15" s="770"/>
      <c r="HM15" s="770"/>
      <c r="HN15" s="770"/>
      <c r="HO15" s="770"/>
      <c r="HP15" s="770"/>
      <c r="HQ15" s="770"/>
      <c r="HR15" s="770"/>
      <c r="HS15" s="770"/>
      <c r="HT15" s="770"/>
      <c r="HU15" s="770"/>
      <c r="HV15" s="770"/>
      <c r="HW15" s="770"/>
      <c r="HX15" s="770"/>
      <c r="HY15" s="770"/>
      <c r="HZ15" s="770"/>
      <c r="IA15" s="770"/>
      <c r="IB15" s="770"/>
      <c r="IC15" s="770"/>
      <c r="ID15" s="770"/>
      <c r="IE15" s="770"/>
      <c r="IF15" s="770"/>
      <c r="IG15" s="770"/>
      <c r="IH15" s="770"/>
      <c r="II15" s="770"/>
      <c r="IJ15" s="770"/>
      <c r="IK15" s="770"/>
      <c r="IL15" s="770"/>
      <c r="IM15" s="770"/>
      <c r="IN15" s="770"/>
      <c r="IO15" s="770"/>
      <c r="IP15" s="770"/>
      <c r="IQ15" s="770"/>
      <c r="IR15" s="770"/>
      <c r="IS15" s="770"/>
      <c r="IT15" s="770"/>
      <c r="IU15" s="770"/>
      <c r="IV15" s="770"/>
      <c r="IW15" s="770"/>
      <c r="IX15" s="770"/>
      <c r="IY15" s="770"/>
      <c r="IZ15" s="770"/>
      <c r="JA15" s="770"/>
      <c r="JB15" s="770"/>
      <c r="JC15" s="770"/>
      <c r="JD15" s="770"/>
      <c r="JE15" s="770"/>
      <c r="JF15" s="770"/>
      <c r="JG15" s="770"/>
      <c r="JH15" s="770"/>
      <c r="JI15" s="770"/>
      <c r="JJ15" s="770"/>
      <c r="JK15" s="770"/>
      <c r="JL15" s="770"/>
      <c r="JM15" s="770"/>
      <c r="JN15" s="770"/>
      <c r="JO15" s="770"/>
      <c r="JP15" s="770"/>
      <c r="JQ15" s="770"/>
      <c r="JR15" s="770"/>
      <c r="JS15" s="770"/>
      <c r="JT15" s="770"/>
      <c r="JU15" s="770"/>
      <c r="JV15" s="770"/>
      <c r="JW15" s="770"/>
      <c r="JX15" s="770"/>
      <c r="JY15" s="770"/>
      <c r="JZ15" s="770"/>
      <c r="KA15" s="770"/>
      <c r="KB15" s="770"/>
      <c r="KC15" s="770"/>
      <c r="KD15" s="770"/>
      <c r="KE15" s="770"/>
      <c r="KF15" s="770"/>
      <c r="KG15" s="770"/>
      <c r="KH15" s="770"/>
      <c r="KI15" s="770"/>
      <c r="KJ15" s="770"/>
      <c r="KK15" s="770"/>
      <c r="KL15" s="770"/>
      <c r="KM15" s="770"/>
      <c r="KN15" s="770"/>
      <c r="KO15" s="770"/>
      <c r="KP15" s="770"/>
      <c r="KQ15" s="770"/>
      <c r="KR15" s="770"/>
      <c r="KS15" s="770"/>
      <c r="KT15" s="770"/>
    </row>
    <row r="16" spans="1:306" s="3" customFormat="1" ht="48" x14ac:dyDescent="0.25">
      <c r="A16" s="191"/>
      <c r="B16" s="191"/>
      <c r="C16" s="191"/>
      <c r="D16" s="191"/>
      <c r="E16" s="202"/>
      <c r="F16" s="193"/>
      <c r="G16" s="297" t="s">
        <v>291</v>
      </c>
      <c r="H16" s="9" t="s">
        <v>392</v>
      </c>
      <c r="I16" s="9"/>
      <c r="J16" s="252"/>
      <c r="K16" s="222"/>
      <c r="L16" s="222"/>
      <c r="M16" s="694"/>
      <c r="N16" s="169"/>
      <c r="O16" s="733"/>
      <c r="P16" s="734"/>
      <c r="Q16" s="735"/>
      <c r="R16" s="735"/>
      <c r="S16" s="735"/>
      <c r="T16" s="678" t="s">
        <v>761</v>
      </c>
      <c r="U16" s="678" t="s">
        <v>762</v>
      </c>
      <c r="V16" s="97" t="s">
        <v>51</v>
      </c>
      <c r="W16" s="97">
        <v>0</v>
      </c>
      <c r="X16" s="97">
        <v>92</v>
      </c>
      <c r="Y16" s="753"/>
      <c r="Z16" s="680"/>
      <c r="AA16" s="602"/>
      <c r="AB16" s="773"/>
      <c r="AC16" s="774"/>
      <c r="AD16" s="775"/>
      <c r="AE16" s="776"/>
      <c r="AF16" s="777">
        <v>996315</v>
      </c>
      <c r="AG16" s="778">
        <v>0.92</v>
      </c>
      <c r="AH16" s="779">
        <v>0.02</v>
      </c>
      <c r="AI16" s="780" t="s">
        <v>763</v>
      </c>
      <c r="AJ16" s="781"/>
      <c r="AK16" s="782"/>
      <c r="AL16" s="783"/>
      <c r="AM16" s="784"/>
      <c r="AN16" s="785">
        <v>2328902</v>
      </c>
      <c r="AO16" s="786">
        <v>0.92</v>
      </c>
      <c r="AP16" s="786">
        <v>0.06</v>
      </c>
      <c r="AQ16" s="787" t="s">
        <v>763</v>
      </c>
      <c r="AR16" s="745"/>
      <c r="AS16" s="138"/>
      <c r="AT16" s="747"/>
      <c r="AU16" s="136"/>
      <c r="AV16" s="748">
        <v>13458865</v>
      </c>
      <c r="AW16" s="22">
        <v>0.92</v>
      </c>
      <c r="AX16" s="22">
        <v>0.33</v>
      </c>
      <c r="AY16" s="749" t="s">
        <v>763</v>
      </c>
      <c r="AZ16" s="745"/>
      <c r="BA16" s="138"/>
      <c r="BB16" s="750"/>
      <c r="BC16" s="136"/>
      <c r="BD16" s="748">
        <v>19742126</v>
      </c>
      <c r="BE16" s="22">
        <v>0.92</v>
      </c>
      <c r="BF16" s="22">
        <f>+BD16/41367548</f>
        <v>0.47723703614243707</v>
      </c>
      <c r="BG16" s="749" t="s">
        <v>764</v>
      </c>
      <c r="BH16" s="745"/>
      <c r="BI16" s="138"/>
      <c r="BJ16" s="747"/>
      <c r="BK16" s="136"/>
      <c r="BL16" s="748">
        <v>31374165</v>
      </c>
      <c r="BM16" s="22">
        <v>0.92</v>
      </c>
      <c r="BN16" s="22">
        <f>+BL16/41367548</f>
        <v>0.75842457474153413</v>
      </c>
      <c r="BO16" s="749" t="s">
        <v>764</v>
      </c>
      <c r="BP16" s="773"/>
      <c r="BQ16" s="774"/>
      <c r="BR16" s="788"/>
      <c r="BS16" s="776"/>
      <c r="BT16" s="777">
        <v>34292611</v>
      </c>
      <c r="BU16" s="778">
        <v>0.92</v>
      </c>
      <c r="BV16" s="778">
        <f>+BT16/41367548</f>
        <v>0.82897374047888939</v>
      </c>
      <c r="BW16" s="780" t="s">
        <v>764</v>
      </c>
      <c r="BX16" s="773"/>
      <c r="BY16" s="774"/>
      <c r="BZ16" s="788"/>
      <c r="CA16" s="776"/>
      <c r="CB16" s="777">
        <v>38270213</v>
      </c>
      <c r="CC16" s="778">
        <v>0.92</v>
      </c>
      <c r="CD16" s="778">
        <f>+CB16/41367548</f>
        <v>0.92512645419544803</v>
      </c>
      <c r="CE16" s="780" t="s">
        <v>764</v>
      </c>
      <c r="CF16" s="773"/>
      <c r="CG16" s="774"/>
      <c r="CH16" s="789"/>
      <c r="CI16" s="776"/>
      <c r="CJ16" s="777">
        <v>43926765</v>
      </c>
      <c r="CK16" s="778">
        <v>0.92</v>
      </c>
      <c r="CL16" s="778">
        <f>+CJ16/41367548</f>
        <v>1.0618653297990976</v>
      </c>
      <c r="CM16" s="780" t="s">
        <v>764</v>
      </c>
      <c r="CN16" s="773"/>
      <c r="CO16" s="774"/>
      <c r="CP16" s="788"/>
      <c r="CQ16" s="776"/>
      <c r="CR16" s="777">
        <v>49146394</v>
      </c>
      <c r="CS16" s="778">
        <v>0.92</v>
      </c>
      <c r="CT16" s="778">
        <f>+CR16/41367548</f>
        <v>1.1880422305909937</v>
      </c>
      <c r="CU16" s="780" t="s">
        <v>764</v>
      </c>
      <c r="CV16" s="16" t="s">
        <v>765</v>
      </c>
      <c r="CW16" s="16" t="s">
        <v>766</v>
      </c>
      <c r="CX16" s="16"/>
      <c r="CY16" s="16" t="s">
        <v>765</v>
      </c>
      <c r="CZ16" s="16" t="s">
        <v>766</v>
      </c>
      <c r="DA16" s="16">
        <v>0.32534838661455112</v>
      </c>
      <c r="DB16" s="16"/>
      <c r="DC16" s="16"/>
      <c r="DD16" s="713">
        <f>+AVERAGE(DD10:DD15)</f>
        <v>0.40044999999999997</v>
      </c>
      <c r="DE16" s="16"/>
      <c r="DF16" s="16"/>
      <c r="DG16" s="16"/>
      <c r="DH16" s="16"/>
      <c r="DI16" s="16"/>
      <c r="DJ16" s="16"/>
      <c r="DK16" s="16"/>
      <c r="DL16" s="16"/>
      <c r="DM16" s="16"/>
      <c r="DN16" s="16"/>
      <c r="DO16" s="16"/>
      <c r="DP16" s="16"/>
      <c r="DQ16" s="16"/>
      <c r="DR16" s="16"/>
      <c r="DS16" s="16"/>
      <c r="DT16" s="16"/>
      <c r="DU16" s="16"/>
      <c r="DV16" s="16"/>
      <c r="DW16" s="16"/>
      <c r="DX16" s="16"/>
      <c r="DY16" s="16"/>
      <c r="DZ16" s="16"/>
      <c r="EA16" s="16"/>
      <c r="EB16" s="16"/>
      <c r="EC16" s="16"/>
      <c r="ED16" s="16"/>
      <c r="EE16" s="16"/>
      <c r="EF16" s="16"/>
      <c r="EG16" s="16"/>
      <c r="EH16" s="16"/>
      <c r="EI16" s="16"/>
      <c r="EJ16" s="16"/>
      <c r="EK16" s="16"/>
      <c r="EL16" s="16"/>
      <c r="EM16" s="16"/>
      <c r="EN16" s="16"/>
      <c r="EO16" s="16"/>
      <c r="EP16" s="16"/>
      <c r="EQ16" s="16"/>
      <c r="ER16" s="16"/>
      <c r="ES16" s="16"/>
      <c r="ET16" s="16"/>
      <c r="EU16" s="16"/>
      <c r="EV16" s="16"/>
      <c r="EW16" s="16"/>
      <c r="EX16" s="16"/>
      <c r="EY16" s="16"/>
      <c r="EZ16" s="16"/>
      <c r="FA16" s="16"/>
      <c r="FB16" s="16"/>
      <c r="FC16" s="16"/>
      <c r="FD16" s="16"/>
      <c r="FE16" s="16"/>
      <c r="FF16" s="16"/>
      <c r="FG16" s="16"/>
      <c r="FH16" s="16"/>
      <c r="FI16" s="16"/>
      <c r="FJ16" s="16"/>
      <c r="FK16" s="16"/>
      <c r="FL16" s="16"/>
      <c r="FM16" s="16"/>
      <c r="FN16" s="16"/>
      <c r="FO16" s="16"/>
      <c r="FP16" s="16"/>
      <c r="FQ16" s="16"/>
      <c r="FR16" s="16"/>
      <c r="FS16" s="16"/>
      <c r="FT16" s="16"/>
      <c r="FU16" s="16"/>
      <c r="FV16" s="16"/>
      <c r="FW16" s="16"/>
      <c r="FX16" s="16"/>
      <c r="FY16" s="16"/>
      <c r="FZ16" s="16"/>
      <c r="GA16" s="16"/>
      <c r="GB16" s="16"/>
      <c r="GC16" s="16"/>
      <c r="GD16" s="16"/>
      <c r="GE16" s="16"/>
      <c r="GF16" s="16"/>
      <c r="GG16" s="16"/>
      <c r="GH16" s="16"/>
      <c r="GI16" s="16"/>
      <c r="GJ16" s="16"/>
      <c r="GK16" s="16"/>
      <c r="GL16" s="16"/>
      <c r="GM16" s="16"/>
      <c r="GN16" s="16"/>
      <c r="GO16" s="16"/>
      <c r="GP16" s="16"/>
      <c r="GQ16" s="16"/>
      <c r="GR16" s="16"/>
      <c r="GS16" s="16"/>
      <c r="GT16" s="16"/>
      <c r="GU16" s="16"/>
      <c r="GV16" s="16"/>
      <c r="GW16" s="16"/>
      <c r="GX16" s="16"/>
      <c r="GY16" s="16"/>
      <c r="GZ16" s="16"/>
      <c r="HA16" s="16"/>
      <c r="HB16" s="16"/>
      <c r="HC16" s="16"/>
      <c r="HD16" s="16"/>
      <c r="HE16" s="16"/>
      <c r="HF16" s="16"/>
      <c r="HG16" s="16"/>
      <c r="HH16" s="16"/>
      <c r="HI16" s="16"/>
      <c r="HJ16" s="16"/>
      <c r="HK16" s="16"/>
      <c r="HL16" s="16"/>
      <c r="HM16" s="16"/>
      <c r="HN16" s="16"/>
      <c r="HO16" s="16"/>
      <c r="HP16" s="16"/>
      <c r="HQ16" s="16"/>
      <c r="HR16" s="16"/>
      <c r="HS16" s="16"/>
      <c r="HT16" s="16"/>
      <c r="HU16" s="16"/>
      <c r="HV16" s="16"/>
      <c r="HW16" s="16"/>
      <c r="HX16" s="16"/>
      <c r="HY16" s="16"/>
      <c r="HZ16" s="16"/>
      <c r="IA16" s="16"/>
      <c r="IB16" s="16"/>
      <c r="IC16" s="16"/>
      <c r="ID16" s="16"/>
      <c r="IE16" s="16"/>
      <c r="IF16" s="16"/>
      <c r="IG16" s="16"/>
      <c r="IH16" s="16"/>
      <c r="II16" s="16"/>
      <c r="IJ16" s="16"/>
      <c r="IK16" s="16"/>
      <c r="IL16" s="16"/>
      <c r="IM16" s="16"/>
      <c r="IN16" s="16"/>
      <c r="IO16" s="16"/>
      <c r="IP16" s="16"/>
      <c r="IQ16" s="16"/>
      <c r="IR16" s="16"/>
      <c r="IS16" s="16"/>
      <c r="IT16" s="16"/>
      <c r="IU16" s="16"/>
      <c r="IV16" s="16"/>
      <c r="IW16" s="16"/>
      <c r="IX16" s="16"/>
      <c r="IY16" s="16"/>
      <c r="IZ16" s="16"/>
      <c r="JA16" s="16"/>
      <c r="JB16" s="16"/>
      <c r="JC16" s="16"/>
      <c r="JD16" s="16"/>
      <c r="JE16" s="16"/>
      <c r="JF16" s="16"/>
      <c r="JG16" s="16"/>
      <c r="JH16" s="16"/>
      <c r="JI16" s="16"/>
      <c r="JJ16" s="16"/>
      <c r="JK16" s="16"/>
      <c r="JL16" s="16"/>
      <c r="JM16" s="16"/>
      <c r="JN16" s="16"/>
      <c r="JO16" s="16"/>
      <c r="JP16" s="16"/>
      <c r="JQ16" s="16"/>
      <c r="JR16" s="16"/>
      <c r="JS16" s="16"/>
      <c r="JT16" s="16"/>
      <c r="JU16" s="16"/>
      <c r="JV16" s="16"/>
      <c r="JW16" s="16"/>
      <c r="JX16" s="16"/>
      <c r="JY16" s="16"/>
      <c r="JZ16" s="16"/>
      <c r="KA16" s="16"/>
      <c r="KB16" s="16"/>
      <c r="KC16" s="16"/>
      <c r="KD16" s="16"/>
      <c r="KE16" s="16"/>
      <c r="KF16" s="16"/>
      <c r="KG16" s="16"/>
      <c r="KH16" s="16"/>
      <c r="KI16" s="16"/>
      <c r="KJ16" s="16"/>
      <c r="KK16" s="16"/>
      <c r="KL16" s="16"/>
      <c r="KM16" s="16"/>
      <c r="KN16" s="16"/>
      <c r="KO16" s="16"/>
      <c r="KP16" s="16"/>
      <c r="KQ16" s="16"/>
      <c r="KR16" s="16"/>
      <c r="KS16" s="16"/>
      <c r="KT16" s="16"/>
    </row>
    <row r="17" spans="1:306" s="3" customFormat="1" ht="48" customHeight="1" x14ac:dyDescent="0.25">
      <c r="A17" s="185"/>
      <c r="B17" s="185"/>
      <c r="C17" s="185"/>
      <c r="D17" s="185"/>
      <c r="E17" s="187"/>
      <c r="F17" s="175"/>
      <c r="G17" s="790" t="s">
        <v>291</v>
      </c>
      <c r="H17" s="790" t="s">
        <v>392</v>
      </c>
      <c r="I17" s="455" t="s">
        <v>767</v>
      </c>
      <c r="J17" s="252"/>
      <c r="K17" s="222"/>
      <c r="L17" s="222"/>
      <c r="M17" s="694"/>
      <c r="N17" s="169"/>
      <c r="O17" s="791" t="s">
        <v>768</v>
      </c>
      <c r="P17" s="792" t="s">
        <v>769</v>
      </c>
      <c r="Q17" s="792" t="s">
        <v>51</v>
      </c>
      <c r="R17" s="792">
        <v>0</v>
      </c>
      <c r="S17" s="792">
        <v>95</v>
      </c>
      <c r="T17" s="678" t="s">
        <v>770</v>
      </c>
      <c r="U17" s="678" t="s">
        <v>771</v>
      </c>
      <c r="V17" s="793" t="s">
        <v>51</v>
      </c>
      <c r="W17" s="97">
        <v>0</v>
      </c>
      <c r="X17" s="97">
        <v>95</v>
      </c>
      <c r="Y17" s="753"/>
      <c r="Z17" s="680"/>
      <c r="AA17" s="602"/>
      <c r="AB17" s="794">
        <v>1676295838.52</v>
      </c>
      <c r="AC17" s="795">
        <v>95</v>
      </c>
      <c r="AD17" s="796">
        <f>+AB17/111257208656</f>
        <v>1.506685147659058E-2</v>
      </c>
      <c r="AE17" s="797" t="s">
        <v>772</v>
      </c>
      <c r="AF17" s="798">
        <v>606767566.59000015</v>
      </c>
      <c r="AG17" s="475">
        <v>95</v>
      </c>
      <c r="AH17" s="799">
        <v>7.240733789664072E-3</v>
      </c>
      <c r="AI17" s="800" t="s">
        <v>773</v>
      </c>
      <c r="AJ17" s="794">
        <v>5071206553.8100004</v>
      </c>
      <c r="AK17" s="795">
        <v>95</v>
      </c>
      <c r="AL17" s="796">
        <f>+AJ17/111257208656</f>
        <v>4.5580925632332181E-2</v>
      </c>
      <c r="AM17" s="797" t="s">
        <v>774</v>
      </c>
      <c r="AN17" s="798">
        <v>2703011706.6100006</v>
      </c>
      <c r="AO17" s="321">
        <v>0.95</v>
      </c>
      <c r="AP17" s="757">
        <v>3.2000000000000001E-2</v>
      </c>
      <c r="AQ17" s="801" t="s">
        <v>775</v>
      </c>
      <c r="AR17" s="507">
        <f>+AV17+AV18</f>
        <v>11845184561.07</v>
      </c>
      <c r="AS17" s="516">
        <v>95</v>
      </c>
      <c r="AT17" s="802">
        <f>+AR17/111257208656</f>
        <v>0.10646667037723852</v>
      </c>
      <c r="AU17" s="803" t="s">
        <v>776</v>
      </c>
      <c r="AV17" s="804">
        <v>8015761942.9499998</v>
      </c>
      <c r="AW17" s="51">
        <v>95</v>
      </c>
      <c r="AX17" s="805">
        <v>9.6000000000000002E-2</v>
      </c>
      <c r="AY17" s="806" t="s">
        <v>777</v>
      </c>
      <c r="AZ17" s="507">
        <f>+BD17+BD18</f>
        <v>18280546063.539997</v>
      </c>
      <c r="BA17" s="516">
        <v>95</v>
      </c>
      <c r="BB17" s="802">
        <f>+AZ17/111257208656</f>
        <v>0.16430886847127585</v>
      </c>
      <c r="BC17" s="803" t="s">
        <v>778</v>
      </c>
      <c r="BD17" s="804">
        <v>13283710601.329998</v>
      </c>
      <c r="BE17" s="51">
        <v>95</v>
      </c>
      <c r="BF17" s="805">
        <f>+BD17/83799181715</f>
        <v>0.15851838084180508</v>
      </c>
      <c r="BG17" s="806" t="s">
        <v>779</v>
      </c>
      <c r="BH17" s="507">
        <f>+BL17+BL18</f>
        <v>25453805774.130001</v>
      </c>
      <c r="BI17" s="516">
        <v>95</v>
      </c>
      <c r="BJ17" s="802">
        <f>+BH17/118757208656</f>
        <v>0.21433482701552192</v>
      </c>
      <c r="BK17" s="803" t="s">
        <v>780</v>
      </c>
      <c r="BL17" s="804">
        <v>19289104149.060001</v>
      </c>
      <c r="BM17" s="51">
        <v>95</v>
      </c>
      <c r="BN17" s="52">
        <f>+BL17/83799181715</f>
        <v>0.23018248811381012</v>
      </c>
      <c r="BO17" s="806" t="s">
        <v>781</v>
      </c>
      <c r="BP17" s="794">
        <f>+BT17+BT18</f>
        <v>33956900023.02</v>
      </c>
      <c r="BQ17" s="795">
        <v>95</v>
      </c>
      <c r="BR17" s="796">
        <f>+BP17/118757208656</f>
        <v>0.28593548473660918</v>
      </c>
      <c r="BS17" s="797" t="s">
        <v>782</v>
      </c>
      <c r="BT17" s="798">
        <v>25798703553.560001</v>
      </c>
      <c r="BU17" s="475">
        <v>95</v>
      </c>
      <c r="BV17" s="757">
        <f>+BT17/83799181715</f>
        <v>0.307863430472401</v>
      </c>
      <c r="BW17" s="800" t="s">
        <v>783</v>
      </c>
      <c r="BX17" s="794">
        <f>+CB17+CB18</f>
        <v>42923823484.550003</v>
      </c>
      <c r="BY17" s="795">
        <v>95</v>
      </c>
      <c r="BZ17" s="796">
        <f>+BX17/118757208656</f>
        <v>0.36144183557636483</v>
      </c>
      <c r="CA17" s="797" t="s">
        <v>784</v>
      </c>
      <c r="CB17" s="798">
        <v>32641924163.099998</v>
      </c>
      <c r="CC17" s="475">
        <v>95</v>
      </c>
      <c r="CD17" s="757">
        <f>+CB17/83799181715</f>
        <v>0.38952557167103119</v>
      </c>
      <c r="CE17" s="800" t="s">
        <v>785</v>
      </c>
      <c r="CF17" s="794">
        <f>+CJ17+CJ18</f>
        <v>51844092985.979996</v>
      </c>
      <c r="CG17" s="795">
        <v>95</v>
      </c>
      <c r="CH17" s="796">
        <f>+CF17/118757208656</f>
        <v>0.43655533481049585</v>
      </c>
      <c r="CI17" s="797" t="s">
        <v>786</v>
      </c>
      <c r="CJ17" s="798">
        <v>39210614809.459999</v>
      </c>
      <c r="CK17" s="475">
        <v>95</v>
      </c>
      <c r="CL17" s="757">
        <f>+CJ17/83799181715</f>
        <v>0.46791166699950393</v>
      </c>
      <c r="CM17" s="800" t="s">
        <v>787</v>
      </c>
      <c r="CN17" s="794">
        <f>+CR17+CR18</f>
        <v>59804434028.289993</v>
      </c>
      <c r="CO17" s="795">
        <v>95</v>
      </c>
      <c r="CP17" s="796">
        <f>+CN17/118757208656</f>
        <v>0.50358571664919705</v>
      </c>
      <c r="CQ17" s="797" t="s">
        <v>788</v>
      </c>
      <c r="CR17" s="798">
        <v>44941890175.449997</v>
      </c>
      <c r="CS17" s="475">
        <v>95</v>
      </c>
      <c r="CT17" s="757">
        <f>+CR17/83799181715</f>
        <v>0.53630464230900032</v>
      </c>
      <c r="CU17" s="800" t="s">
        <v>789</v>
      </c>
      <c r="CV17" s="807">
        <v>9.5654417847505682E-2</v>
      </c>
      <c r="CX17" s="16"/>
      <c r="DA17" s="16">
        <v>9.5654417847505682E-2</v>
      </c>
      <c r="DB17" s="16"/>
      <c r="DC17" s="16"/>
      <c r="DD17" s="16"/>
      <c r="DE17" s="16"/>
      <c r="DF17" s="16"/>
      <c r="DG17" s="16"/>
      <c r="DH17" s="16"/>
      <c r="DI17" s="16"/>
      <c r="DJ17" s="16"/>
      <c r="DK17" s="16"/>
      <c r="DL17" s="16"/>
      <c r="DM17" s="16"/>
      <c r="DN17" s="16"/>
      <c r="DO17" s="16"/>
      <c r="DP17" s="16"/>
      <c r="DQ17" s="16"/>
      <c r="DR17" s="16"/>
      <c r="DS17" s="16"/>
      <c r="DT17" s="16"/>
      <c r="DU17" s="16"/>
      <c r="DV17" s="16"/>
      <c r="DW17" s="16"/>
      <c r="DX17" s="16"/>
      <c r="DY17" s="16"/>
      <c r="DZ17" s="16"/>
      <c r="EA17" s="16"/>
      <c r="EB17" s="16"/>
      <c r="EC17" s="16"/>
      <c r="ED17" s="16"/>
      <c r="EE17" s="16"/>
      <c r="EF17" s="16"/>
      <c r="EG17" s="16"/>
      <c r="EH17" s="16"/>
      <c r="EI17" s="16"/>
      <c r="EJ17" s="16"/>
      <c r="EK17" s="16"/>
      <c r="EL17" s="16"/>
      <c r="EM17" s="16"/>
      <c r="EN17" s="16"/>
      <c r="EO17" s="16"/>
      <c r="EP17" s="16"/>
      <c r="EQ17" s="16"/>
      <c r="ER17" s="16"/>
      <c r="ES17" s="16"/>
      <c r="ET17" s="16"/>
      <c r="EU17" s="16"/>
      <c r="EV17" s="16"/>
      <c r="EW17" s="16"/>
      <c r="EX17" s="16"/>
      <c r="EY17" s="16"/>
      <c r="EZ17" s="16"/>
      <c r="FA17" s="16"/>
      <c r="FB17" s="16"/>
      <c r="FC17" s="16"/>
      <c r="FD17" s="16"/>
      <c r="FE17" s="16"/>
      <c r="FF17" s="16"/>
      <c r="FG17" s="16"/>
      <c r="FH17" s="16"/>
      <c r="FI17" s="16"/>
      <c r="FJ17" s="16"/>
      <c r="FK17" s="16"/>
      <c r="FL17" s="16"/>
      <c r="FM17" s="16"/>
      <c r="FN17" s="16"/>
      <c r="FO17" s="16"/>
      <c r="FP17" s="16"/>
      <c r="FQ17" s="16"/>
      <c r="FR17" s="16"/>
      <c r="FS17" s="16"/>
      <c r="FT17" s="16"/>
      <c r="FU17" s="16"/>
      <c r="FV17" s="16"/>
      <c r="FW17" s="16"/>
      <c r="FX17" s="16"/>
      <c r="FY17" s="16"/>
      <c r="FZ17" s="16"/>
      <c r="GA17" s="16"/>
      <c r="GB17" s="16"/>
      <c r="GC17" s="16"/>
      <c r="GD17" s="16"/>
      <c r="GE17" s="16"/>
      <c r="GF17" s="16"/>
      <c r="GG17" s="16"/>
      <c r="GH17" s="16"/>
      <c r="GI17" s="16"/>
      <c r="GJ17" s="16"/>
      <c r="GK17" s="16"/>
      <c r="GL17" s="16"/>
      <c r="GM17" s="16"/>
      <c r="GN17" s="16"/>
      <c r="GO17" s="16"/>
      <c r="GP17" s="16"/>
      <c r="GQ17" s="16"/>
      <c r="GR17" s="16"/>
      <c r="GS17" s="16"/>
      <c r="GT17" s="16"/>
      <c r="GU17" s="16"/>
      <c r="GV17" s="16"/>
      <c r="GW17" s="16"/>
      <c r="GX17" s="16"/>
      <c r="GY17" s="16"/>
      <c r="GZ17" s="16"/>
      <c r="HA17" s="16"/>
      <c r="HB17" s="16"/>
      <c r="HC17" s="16"/>
      <c r="HD17" s="16"/>
      <c r="HE17" s="16"/>
      <c r="HF17" s="16"/>
      <c r="HG17" s="16"/>
      <c r="HH17" s="16"/>
      <c r="HI17" s="16"/>
      <c r="HJ17" s="16"/>
      <c r="HK17" s="16"/>
      <c r="HL17" s="16"/>
      <c r="HM17" s="16"/>
      <c r="HN17" s="16"/>
      <c r="HO17" s="16"/>
      <c r="HP17" s="16"/>
      <c r="HQ17" s="16"/>
      <c r="HR17" s="16"/>
      <c r="HS17" s="16"/>
      <c r="HT17" s="16"/>
      <c r="HU17" s="16"/>
      <c r="HV17" s="16"/>
      <c r="HW17" s="16"/>
      <c r="HX17" s="16"/>
      <c r="HY17" s="16"/>
      <c r="HZ17" s="16"/>
      <c r="IA17" s="16"/>
      <c r="IB17" s="16"/>
      <c r="IC17" s="16"/>
      <c r="ID17" s="16"/>
      <c r="IE17" s="16"/>
      <c r="IF17" s="16"/>
      <c r="IG17" s="16"/>
      <c r="IH17" s="16"/>
      <c r="II17" s="16"/>
      <c r="IJ17" s="16"/>
      <c r="IK17" s="16"/>
      <c r="IL17" s="16"/>
      <c r="IM17" s="16"/>
      <c r="IN17" s="16"/>
      <c r="IO17" s="16"/>
      <c r="IP17" s="16"/>
      <c r="IQ17" s="16"/>
      <c r="IR17" s="16"/>
      <c r="IS17" s="16"/>
      <c r="IT17" s="16"/>
      <c r="IU17" s="16"/>
      <c r="IV17" s="16"/>
      <c r="IW17" s="16"/>
      <c r="IX17" s="16"/>
      <c r="IY17" s="16"/>
      <c r="IZ17" s="16"/>
      <c r="JA17" s="16"/>
      <c r="JB17" s="16"/>
      <c r="JC17" s="16"/>
      <c r="JD17" s="16"/>
      <c r="JE17" s="16"/>
      <c r="JF17" s="16"/>
      <c r="JG17" s="16"/>
      <c r="JH17" s="16"/>
      <c r="JI17" s="16"/>
      <c r="JJ17" s="16"/>
      <c r="JK17" s="16"/>
      <c r="JL17" s="16"/>
      <c r="JM17" s="16"/>
      <c r="JN17" s="16"/>
      <c r="JO17" s="16"/>
      <c r="JP17" s="16"/>
      <c r="JQ17" s="16"/>
      <c r="JR17" s="16"/>
      <c r="JS17" s="16"/>
      <c r="JT17" s="16"/>
      <c r="JU17" s="16"/>
      <c r="JV17" s="16"/>
      <c r="JW17" s="16"/>
      <c r="JX17" s="16"/>
      <c r="JY17" s="16"/>
      <c r="JZ17" s="16"/>
      <c r="KA17" s="16"/>
      <c r="KB17" s="16"/>
      <c r="KC17" s="16"/>
      <c r="KD17" s="16"/>
      <c r="KE17" s="16"/>
      <c r="KF17" s="16"/>
      <c r="KG17" s="16"/>
      <c r="KH17" s="16"/>
      <c r="KI17" s="16"/>
      <c r="KJ17" s="16"/>
      <c r="KK17" s="16"/>
      <c r="KL17" s="16"/>
      <c r="KM17" s="16"/>
      <c r="KN17" s="16"/>
      <c r="KO17" s="16"/>
      <c r="KP17" s="16"/>
      <c r="KQ17" s="16"/>
      <c r="KR17" s="16"/>
      <c r="KS17" s="16"/>
    </row>
    <row r="18" spans="1:306" s="3" customFormat="1" ht="62.25" customHeight="1" x14ac:dyDescent="0.25">
      <c r="A18" s="185"/>
      <c r="B18" s="185"/>
      <c r="C18" s="185"/>
      <c r="D18" s="185"/>
      <c r="E18" s="187"/>
      <c r="F18" s="175"/>
      <c r="G18" s="790"/>
      <c r="H18" s="790"/>
      <c r="I18" s="455"/>
      <c r="J18" s="252"/>
      <c r="K18" s="222"/>
      <c r="L18" s="222"/>
      <c r="M18" s="694"/>
      <c r="N18" s="169"/>
      <c r="O18" s="791"/>
      <c r="P18" s="792"/>
      <c r="Q18" s="792"/>
      <c r="R18" s="792"/>
      <c r="S18" s="792"/>
      <c r="T18" s="678" t="s">
        <v>790</v>
      </c>
      <c r="U18" s="678" t="s">
        <v>791</v>
      </c>
      <c r="V18" s="793" t="s">
        <v>51</v>
      </c>
      <c r="W18" s="97">
        <v>0</v>
      </c>
      <c r="X18" s="97">
        <v>95</v>
      </c>
      <c r="Y18" s="753"/>
      <c r="Z18" s="680"/>
      <c r="AA18" s="602"/>
      <c r="AB18" s="808"/>
      <c r="AC18" s="809"/>
      <c r="AD18" s="810"/>
      <c r="AE18" s="811"/>
      <c r="AF18" s="812">
        <v>1069528271.9300001</v>
      </c>
      <c r="AG18" s="7">
        <v>95</v>
      </c>
      <c r="AH18" s="304">
        <v>3.8951388394662591E-2</v>
      </c>
      <c r="AI18" s="9" t="s">
        <v>792</v>
      </c>
      <c r="AJ18" s="808"/>
      <c r="AK18" s="809"/>
      <c r="AL18" s="810"/>
      <c r="AM18" s="811"/>
      <c r="AN18" s="813">
        <v>2368194847.1999998</v>
      </c>
      <c r="AO18" s="317">
        <v>0.95</v>
      </c>
      <c r="AP18" s="684">
        <v>8.5999999999999993E-2</v>
      </c>
      <c r="AQ18" s="814" t="s">
        <v>793</v>
      </c>
      <c r="AR18" s="507"/>
      <c r="AS18" s="516"/>
      <c r="AT18" s="802"/>
      <c r="AU18" s="803"/>
      <c r="AV18" s="815">
        <v>3829422618.1199999</v>
      </c>
      <c r="AW18" s="97">
        <v>95</v>
      </c>
      <c r="AX18" s="688">
        <v>0.13900000000000001</v>
      </c>
      <c r="AY18" s="101" t="s">
        <v>794</v>
      </c>
      <c r="AZ18" s="507"/>
      <c r="BA18" s="516"/>
      <c r="BB18" s="802"/>
      <c r="BC18" s="803"/>
      <c r="BD18" s="815">
        <v>4996835462.21</v>
      </c>
      <c r="BE18" s="97">
        <v>95</v>
      </c>
      <c r="BF18" s="688">
        <f>+BD18/27458026941</f>
        <v>0.18198086384527451</v>
      </c>
      <c r="BG18" s="101" t="s">
        <v>795</v>
      </c>
      <c r="BH18" s="507"/>
      <c r="BI18" s="516"/>
      <c r="BJ18" s="802"/>
      <c r="BK18" s="803"/>
      <c r="BL18" s="815">
        <v>6164701625.0699997</v>
      </c>
      <c r="BM18" s="97">
        <v>95</v>
      </c>
      <c r="BN18" s="22">
        <f>+BL18/34958026941</f>
        <v>0.17634581137758154</v>
      </c>
      <c r="BO18" s="101" t="s">
        <v>796</v>
      </c>
      <c r="BP18" s="808"/>
      <c r="BQ18" s="809"/>
      <c r="BR18" s="810"/>
      <c r="BS18" s="811"/>
      <c r="BT18" s="812">
        <v>8158196469.46</v>
      </c>
      <c r="BU18" s="7">
        <v>95</v>
      </c>
      <c r="BV18" s="693">
        <f>+BT18/34958026941</f>
        <v>0.23337119349524219</v>
      </c>
      <c r="BW18" s="9" t="s">
        <v>797</v>
      </c>
      <c r="BX18" s="808"/>
      <c r="BY18" s="809"/>
      <c r="BZ18" s="810"/>
      <c r="CA18" s="811"/>
      <c r="CB18" s="812">
        <v>10281899321.450001</v>
      </c>
      <c r="CC18" s="7">
        <v>95</v>
      </c>
      <c r="CD18" s="693">
        <f>+CB18/34958026941</f>
        <v>0.29412127116908388</v>
      </c>
      <c r="CE18" s="9" t="s">
        <v>798</v>
      </c>
      <c r="CF18" s="808"/>
      <c r="CG18" s="809"/>
      <c r="CH18" s="810"/>
      <c r="CI18" s="811"/>
      <c r="CJ18" s="812">
        <f>10866739920.52+1766738256</f>
        <v>12633478176.52</v>
      </c>
      <c r="CK18" s="7">
        <v>95</v>
      </c>
      <c r="CL18" s="693">
        <f>+CJ18/34958026941</f>
        <v>0.36138990904269297</v>
      </c>
      <c r="CM18" s="9" t="s">
        <v>799</v>
      </c>
      <c r="CN18" s="808"/>
      <c r="CO18" s="809"/>
      <c r="CP18" s="810"/>
      <c r="CQ18" s="811"/>
      <c r="CR18" s="812">
        <f>12335975110.84+2526568742</f>
        <v>14862543852.84</v>
      </c>
      <c r="CS18" s="7">
        <v>95</v>
      </c>
      <c r="CT18" s="693">
        <f>+CR18/34958026941</f>
        <v>0.42515396758301277</v>
      </c>
      <c r="CU18" s="9" t="s">
        <v>800</v>
      </c>
      <c r="CV18" s="816">
        <v>0.13900000000000001</v>
      </c>
      <c r="DA18" s="16">
        <v>0.13900000000000001</v>
      </c>
      <c r="DB18" s="16"/>
      <c r="DC18" s="16"/>
      <c r="DD18" s="16"/>
      <c r="DE18" s="16"/>
      <c r="DF18" s="16"/>
      <c r="DG18" s="16"/>
      <c r="DH18" s="16"/>
      <c r="DI18" s="16"/>
      <c r="DJ18" s="16"/>
      <c r="DK18" s="16"/>
      <c r="DL18" s="16"/>
      <c r="DM18" s="16"/>
      <c r="DN18" s="16"/>
      <c r="DO18" s="16"/>
      <c r="DP18" s="16"/>
      <c r="DQ18" s="16"/>
      <c r="DR18" s="16"/>
      <c r="DS18" s="16"/>
      <c r="DT18" s="16"/>
      <c r="DU18" s="16"/>
      <c r="DV18" s="16"/>
      <c r="DW18" s="16"/>
      <c r="DX18" s="16"/>
      <c r="DY18" s="16"/>
      <c r="DZ18" s="16"/>
      <c r="EA18" s="16"/>
      <c r="EB18" s="16"/>
      <c r="EC18" s="16"/>
      <c r="ED18" s="16"/>
      <c r="EE18" s="16"/>
      <c r="EF18" s="16"/>
      <c r="EG18" s="16"/>
      <c r="EH18" s="16"/>
      <c r="EI18" s="16"/>
      <c r="EJ18" s="16"/>
      <c r="EK18" s="16"/>
      <c r="EL18" s="16"/>
      <c r="EM18" s="16"/>
      <c r="EN18" s="16"/>
      <c r="EO18" s="16"/>
      <c r="EP18" s="16"/>
      <c r="EQ18" s="16"/>
      <c r="ER18" s="16"/>
      <c r="ES18" s="16"/>
      <c r="ET18" s="16"/>
      <c r="EU18" s="16"/>
      <c r="EV18" s="16"/>
      <c r="EW18" s="16"/>
      <c r="EX18" s="16"/>
      <c r="EY18" s="16"/>
      <c r="EZ18" s="16"/>
      <c r="FA18" s="16"/>
      <c r="FB18" s="16"/>
      <c r="FC18" s="16"/>
      <c r="FD18" s="16"/>
      <c r="FE18" s="16"/>
      <c r="FF18" s="16"/>
      <c r="FG18" s="16"/>
      <c r="FH18" s="16"/>
      <c r="FI18" s="16"/>
      <c r="FJ18" s="16"/>
      <c r="FK18" s="16"/>
      <c r="FL18" s="16"/>
      <c r="FM18" s="16"/>
      <c r="FN18" s="16"/>
      <c r="FO18" s="16"/>
      <c r="FP18" s="16"/>
      <c r="FQ18" s="16"/>
      <c r="FR18" s="16"/>
      <c r="FS18" s="16"/>
      <c r="FT18" s="16"/>
      <c r="FU18" s="16"/>
      <c r="FV18" s="16"/>
      <c r="FW18" s="16"/>
      <c r="FX18" s="16"/>
      <c r="FY18" s="16"/>
      <c r="FZ18" s="16"/>
      <c r="GA18" s="16"/>
      <c r="GB18" s="16"/>
      <c r="GC18" s="16"/>
      <c r="GD18" s="16"/>
      <c r="GE18" s="16"/>
      <c r="GF18" s="16"/>
      <c r="GG18" s="16"/>
      <c r="GH18" s="16"/>
      <c r="GI18" s="16"/>
      <c r="GJ18" s="16"/>
      <c r="GK18" s="16"/>
      <c r="GL18" s="16"/>
      <c r="GM18" s="16"/>
      <c r="GN18" s="16"/>
      <c r="GO18" s="16"/>
      <c r="GP18" s="16"/>
      <c r="GQ18" s="16"/>
      <c r="GR18" s="16"/>
      <c r="GS18" s="16"/>
      <c r="GT18" s="16"/>
      <c r="GU18" s="16"/>
      <c r="GV18" s="16"/>
      <c r="GW18" s="16"/>
      <c r="GX18" s="16"/>
      <c r="GY18" s="16"/>
      <c r="GZ18" s="16"/>
      <c r="HA18" s="16"/>
      <c r="HB18" s="16"/>
      <c r="HC18" s="16"/>
      <c r="HD18" s="16"/>
      <c r="HE18" s="16"/>
      <c r="HF18" s="16"/>
      <c r="HG18" s="16"/>
      <c r="HH18" s="16"/>
      <c r="HI18" s="16"/>
      <c r="HJ18" s="16"/>
      <c r="HK18" s="16"/>
      <c r="HL18" s="16"/>
      <c r="HM18" s="16"/>
      <c r="HN18" s="16"/>
      <c r="HO18" s="16"/>
      <c r="HP18" s="16"/>
      <c r="HQ18" s="16"/>
      <c r="HR18" s="16"/>
      <c r="HS18" s="16"/>
      <c r="HT18" s="16"/>
      <c r="HU18" s="16"/>
      <c r="HV18" s="16"/>
      <c r="HW18" s="16"/>
      <c r="HX18" s="16"/>
      <c r="HY18" s="16"/>
      <c r="HZ18" s="16"/>
      <c r="IA18" s="16"/>
      <c r="IB18" s="16"/>
      <c r="IC18" s="16"/>
      <c r="ID18" s="16"/>
      <c r="IE18" s="16"/>
      <c r="IF18" s="16"/>
      <c r="IG18" s="16"/>
      <c r="IH18" s="16"/>
      <c r="II18" s="16"/>
      <c r="IJ18" s="16"/>
      <c r="IK18" s="16"/>
      <c r="IL18" s="16"/>
      <c r="IM18" s="16"/>
      <c r="IN18" s="16"/>
      <c r="IO18" s="16"/>
      <c r="IP18" s="16"/>
      <c r="IQ18" s="16"/>
      <c r="IR18" s="16"/>
      <c r="IS18" s="16"/>
      <c r="IT18" s="16"/>
      <c r="IU18" s="16"/>
      <c r="IV18" s="16"/>
      <c r="IW18" s="16"/>
      <c r="IX18" s="16"/>
      <c r="IY18" s="16"/>
      <c r="IZ18" s="16"/>
      <c r="JA18" s="16"/>
      <c r="JB18" s="16"/>
      <c r="JC18" s="16"/>
      <c r="JD18" s="16"/>
      <c r="JE18" s="16"/>
      <c r="JF18" s="16"/>
      <c r="JG18" s="16"/>
      <c r="JH18" s="16"/>
      <c r="JI18" s="16"/>
      <c r="JJ18" s="16"/>
      <c r="JK18" s="16"/>
      <c r="JL18" s="16"/>
      <c r="JM18" s="16"/>
      <c r="JN18" s="16"/>
      <c r="JO18" s="16"/>
      <c r="JP18" s="16"/>
      <c r="JQ18" s="16"/>
      <c r="JR18" s="16"/>
      <c r="JS18" s="16"/>
      <c r="JT18" s="16"/>
      <c r="JU18" s="16"/>
      <c r="JV18" s="16"/>
      <c r="JW18" s="16"/>
      <c r="JX18" s="16"/>
      <c r="JY18" s="16"/>
      <c r="JZ18" s="16"/>
      <c r="KA18" s="16"/>
      <c r="KB18" s="16"/>
      <c r="KC18" s="16"/>
      <c r="KD18" s="16"/>
      <c r="KE18" s="16"/>
      <c r="KF18" s="16"/>
      <c r="KG18" s="16"/>
      <c r="KH18" s="16"/>
      <c r="KI18" s="16"/>
      <c r="KJ18" s="16"/>
      <c r="KK18" s="16"/>
      <c r="KL18" s="16"/>
      <c r="KM18" s="16"/>
      <c r="KN18" s="16"/>
      <c r="KO18" s="16"/>
      <c r="KP18" s="16"/>
      <c r="KQ18" s="16"/>
      <c r="KR18" s="16"/>
      <c r="KS18" s="16"/>
    </row>
    <row r="19" spans="1:306" s="3" customFormat="1" ht="48" customHeight="1" x14ac:dyDescent="0.25">
      <c r="A19" s="185"/>
      <c r="B19" s="185"/>
      <c r="C19" s="185"/>
      <c r="D19" s="185"/>
      <c r="E19" s="187"/>
      <c r="F19" s="175"/>
      <c r="G19" s="790"/>
      <c r="H19" s="790"/>
      <c r="I19" s="455"/>
      <c r="J19" s="252"/>
      <c r="K19" s="222"/>
      <c r="L19" s="222"/>
      <c r="M19" s="694"/>
      <c r="N19" s="169"/>
      <c r="O19" s="791" t="s">
        <v>801</v>
      </c>
      <c r="P19" s="792" t="s">
        <v>802</v>
      </c>
      <c r="Q19" s="792" t="s">
        <v>51</v>
      </c>
      <c r="R19" s="792">
        <v>0</v>
      </c>
      <c r="S19" s="792">
        <v>95</v>
      </c>
      <c r="T19" s="726" t="s">
        <v>803</v>
      </c>
      <c r="U19" s="726" t="s">
        <v>804</v>
      </c>
      <c r="V19" s="817" t="s">
        <v>51</v>
      </c>
      <c r="W19" s="818">
        <v>0</v>
      </c>
      <c r="X19" s="818">
        <v>95</v>
      </c>
      <c r="Y19" s="753"/>
      <c r="Z19" s="680"/>
      <c r="AA19" s="602"/>
      <c r="AB19" s="819">
        <v>29832104432.810001</v>
      </c>
      <c r="AC19" s="201">
        <v>95</v>
      </c>
      <c r="AD19" s="820">
        <f>+AB19/111257208656</f>
        <v>0.26813637330277551</v>
      </c>
      <c r="AE19" s="194" t="s">
        <v>805</v>
      </c>
      <c r="AF19" s="798">
        <v>6833880832.96</v>
      </c>
      <c r="AG19" s="475">
        <v>95</v>
      </c>
      <c r="AH19" s="321">
        <v>0.24888462844195591</v>
      </c>
      <c r="AI19" s="553" t="s">
        <v>806</v>
      </c>
      <c r="AJ19" s="821">
        <v>43260435607.030006</v>
      </c>
      <c r="AK19" s="822">
        <v>95</v>
      </c>
      <c r="AL19" s="820">
        <f>+AJ19/111257208656</f>
        <v>0.38883265299948733</v>
      </c>
      <c r="AM19" s="742" t="s">
        <v>807</v>
      </c>
      <c r="AN19" s="798">
        <v>7822345020.5799999</v>
      </c>
      <c r="AO19" s="321">
        <v>0.95</v>
      </c>
      <c r="AP19" s="757">
        <v>0.28499999999999998</v>
      </c>
      <c r="AQ19" s="518" t="s">
        <v>808</v>
      </c>
      <c r="AR19" s="823">
        <f>+AV19+AV20</f>
        <v>47947590856.669998</v>
      </c>
      <c r="AS19" s="138">
        <v>95</v>
      </c>
      <c r="AT19" s="750">
        <f>+AR19/111257208656</f>
        <v>0.43096165575141121</v>
      </c>
      <c r="AU19" s="824" t="s">
        <v>809</v>
      </c>
      <c r="AV19" s="804">
        <v>8707693289.7700005</v>
      </c>
      <c r="AW19" s="51">
        <v>95</v>
      </c>
      <c r="AX19" s="805">
        <v>0.317</v>
      </c>
      <c r="AY19" s="504" t="s">
        <v>810</v>
      </c>
      <c r="AZ19" s="823">
        <f>+BD19+BD20</f>
        <v>54170684464.050003</v>
      </c>
      <c r="BA19" s="138">
        <v>95</v>
      </c>
      <c r="BB19" s="750">
        <f>+AZ19/111257208656</f>
        <v>0.48689595144834352</v>
      </c>
      <c r="BC19" s="824" t="s">
        <v>811</v>
      </c>
      <c r="BD19" s="804">
        <v>9651566050.9799995</v>
      </c>
      <c r="BE19" s="51">
        <v>95</v>
      </c>
      <c r="BF19" s="805">
        <f>+BD19/27458026941</f>
        <v>0.35150253409389715</v>
      </c>
      <c r="BG19" s="504" t="s">
        <v>812</v>
      </c>
      <c r="BH19" s="823">
        <f>+BL19+BL20</f>
        <v>62526143776.130005</v>
      </c>
      <c r="BI19" s="138">
        <v>95</v>
      </c>
      <c r="BJ19" s="750">
        <f>+BH19/118757208656</f>
        <v>0.52650398644218199</v>
      </c>
      <c r="BK19" s="824" t="s">
        <v>813</v>
      </c>
      <c r="BL19" s="804">
        <v>15694216501.75</v>
      </c>
      <c r="BM19" s="51">
        <v>95</v>
      </c>
      <c r="BN19" s="52">
        <f>+BL19/34958026941</f>
        <v>0.44894457368082386</v>
      </c>
      <c r="BO19" s="504" t="s">
        <v>814</v>
      </c>
      <c r="BP19" s="819">
        <f>+BT19+BT20</f>
        <v>64768148912.900009</v>
      </c>
      <c r="BQ19" s="201">
        <v>95</v>
      </c>
      <c r="BR19" s="825">
        <f>+BP19/118757208656</f>
        <v>0.54538288366571264</v>
      </c>
      <c r="BS19" s="194" t="s">
        <v>815</v>
      </c>
      <c r="BT19" s="798">
        <v>17066405057.33</v>
      </c>
      <c r="BU19" s="475">
        <v>95</v>
      </c>
      <c r="BV19" s="757">
        <f>+BT19/34958026941</f>
        <v>0.48819703372085688</v>
      </c>
      <c r="BW19" s="553" t="s">
        <v>816</v>
      </c>
      <c r="BX19" s="819">
        <f>+CB19+CB20</f>
        <v>68915261459.830002</v>
      </c>
      <c r="BY19" s="201">
        <v>95</v>
      </c>
      <c r="BZ19" s="825">
        <f>+BX19/118757208656</f>
        <v>0.58030381683569643</v>
      </c>
      <c r="CA19" s="194" t="s">
        <v>817</v>
      </c>
      <c r="CB19" s="798">
        <v>18690890451.200001</v>
      </c>
      <c r="CC19" s="475">
        <v>95</v>
      </c>
      <c r="CD19" s="757">
        <f>+CB19/34958026941</f>
        <v>0.53466662986287328</v>
      </c>
      <c r="CE19" s="553" t="s">
        <v>818</v>
      </c>
      <c r="CF19" s="819">
        <f>+CJ19+CJ20</f>
        <v>82477305659.339996</v>
      </c>
      <c r="CG19" s="201">
        <v>95</v>
      </c>
      <c r="CH19" s="825">
        <f>+CF19/118757208656</f>
        <v>0.69450357239575433</v>
      </c>
      <c r="CI19" s="194" t="s">
        <v>819</v>
      </c>
      <c r="CJ19" s="798">
        <f>14374271829.91+6780295597</f>
        <v>21154567426.91</v>
      </c>
      <c r="CK19" s="475">
        <v>95</v>
      </c>
      <c r="CL19" s="757">
        <f>+CJ19/34958026941</f>
        <v>0.60514191669379314</v>
      </c>
      <c r="CM19" s="553" t="s">
        <v>820</v>
      </c>
      <c r="CN19" s="819">
        <f>+CR19+CR20</f>
        <v>92340348000.889999</v>
      </c>
      <c r="CO19" s="201">
        <v>95</v>
      </c>
      <c r="CP19" s="825">
        <f>+CN19/118757208656</f>
        <v>0.77755572942413265</v>
      </c>
      <c r="CQ19" s="194" t="s">
        <v>819</v>
      </c>
      <c r="CR19" s="798">
        <f>15167392861+6823083186</f>
        <v>21990476047</v>
      </c>
      <c r="CS19" s="475">
        <v>95</v>
      </c>
      <c r="CT19" s="757">
        <f>+CR19/34958026941</f>
        <v>0.62905369585400706</v>
      </c>
      <c r="CU19" s="553" t="s">
        <v>821</v>
      </c>
      <c r="CV19" s="807">
        <v>0.317</v>
      </c>
      <c r="CX19" s="16"/>
      <c r="CY19" s="16"/>
      <c r="CZ19" s="16"/>
      <c r="DA19" s="16">
        <v>0.317</v>
      </c>
      <c r="DB19" s="16"/>
      <c r="DC19" s="16"/>
      <c r="DD19" s="16"/>
      <c r="DE19" s="16"/>
      <c r="DF19" s="16"/>
      <c r="DG19" s="16"/>
      <c r="DH19" s="16"/>
      <c r="DI19" s="16"/>
      <c r="DJ19" s="16"/>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16"/>
      <c r="GQ19" s="16"/>
      <c r="GR19" s="16"/>
      <c r="GS19" s="16"/>
      <c r="GT19" s="16"/>
      <c r="GU19" s="16"/>
      <c r="GV19" s="16"/>
      <c r="GW19" s="16"/>
      <c r="GX19" s="16"/>
      <c r="GY19" s="16"/>
      <c r="GZ19" s="16"/>
      <c r="HA19" s="16"/>
      <c r="HB19" s="16"/>
      <c r="HC19" s="16"/>
      <c r="HD19" s="16"/>
      <c r="HE19" s="16"/>
      <c r="HF19" s="16"/>
      <c r="HG19" s="16"/>
      <c r="HH19" s="16"/>
      <c r="HI19" s="16"/>
      <c r="HJ19" s="16"/>
      <c r="HK19" s="16"/>
      <c r="HL19" s="16"/>
      <c r="HM19" s="16"/>
      <c r="HN19" s="16"/>
      <c r="HO19" s="16"/>
      <c r="HP19" s="16"/>
      <c r="HQ19" s="16"/>
      <c r="HR19" s="16"/>
      <c r="HS19" s="16"/>
      <c r="HT19" s="16"/>
      <c r="HU19" s="16"/>
      <c r="HV19" s="16"/>
      <c r="HW19" s="16"/>
      <c r="HX19" s="16"/>
      <c r="HY19" s="16"/>
      <c r="HZ19" s="16"/>
      <c r="IA19" s="16"/>
      <c r="IB19" s="16"/>
      <c r="IC19" s="16"/>
      <c r="ID19" s="16"/>
      <c r="IE19" s="16"/>
      <c r="IF19" s="16"/>
      <c r="IG19" s="16"/>
      <c r="IH19" s="16"/>
      <c r="II19" s="16"/>
      <c r="IJ19" s="16"/>
      <c r="IK19" s="16"/>
      <c r="IL19" s="16"/>
      <c r="IM19" s="16"/>
      <c r="IN19" s="16"/>
      <c r="IO19" s="16"/>
      <c r="IP19" s="16"/>
      <c r="IQ19" s="16"/>
      <c r="IR19" s="16"/>
      <c r="IS19" s="16"/>
      <c r="IT19" s="16"/>
      <c r="IU19" s="16"/>
      <c r="IV19" s="16"/>
      <c r="IW19" s="16"/>
      <c r="IX19" s="16"/>
      <c r="IY19" s="16"/>
      <c r="IZ19" s="16"/>
      <c r="JA19" s="16"/>
      <c r="JB19" s="16"/>
      <c r="JC19" s="16"/>
      <c r="JD19" s="16"/>
      <c r="JE19" s="16"/>
      <c r="JF19" s="16"/>
      <c r="JG19" s="16"/>
      <c r="JH19" s="16"/>
      <c r="JI19" s="16"/>
      <c r="JJ19" s="16"/>
      <c r="JK19" s="16"/>
      <c r="JL19" s="16"/>
      <c r="JM19" s="16"/>
      <c r="JN19" s="16"/>
      <c r="JO19" s="16"/>
      <c r="JP19" s="16"/>
      <c r="JQ19" s="16"/>
      <c r="JR19" s="16"/>
      <c r="JS19" s="16"/>
      <c r="JT19" s="16"/>
      <c r="JU19" s="16"/>
      <c r="JV19" s="16"/>
      <c r="JW19" s="16"/>
      <c r="JX19" s="16"/>
      <c r="JY19" s="16"/>
      <c r="JZ19" s="16"/>
      <c r="KA19" s="16"/>
      <c r="KB19" s="16"/>
      <c r="KC19" s="16"/>
      <c r="KD19" s="16"/>
      <c r="KE19" s="16"/>
      <c r="KF19" s="16"/>
      <c r="KG19" s="16"/>
      <c r="KH19" s="16"/>
      <c r="KI19" s="16"/>
      <c r="KJ19" s="16"/>
      <c r="KK19" s="16"/>
      <c r="KL19" s="16"/>
      <c r="KM19" s="16"/>
      <c r="KN19" s="16"/>
      <c r="KO19" s="16"/>
      <c r="KP19" s="16"/>
      <c r="KQ19" s="16"/>
      <c r="KR19" s="16"/>
      <c r="KS19" s="16"/>
    </row>
    <row r="20" spans="1:306" s="3" customFormat="1" ht="48" x14ac:dyDescent="0.25">
      <c r="A20" s="150"/>
      <c r="B20" s="150"/>
      <c r="C20" s="150"/>
      <c r="D20" s="150"/>
      <c r="E20" s="188"/>
      <c r="F20" s="142"/>
      <c r="G20" s="469" t="s">
        <v>291</v>
      </c>
      <c r="H20" s="469" t="s">
        <v>392</v>
      </c>
      <c r="I20" s="455" t="s">
        <v>767</v>
      </c>
      <c r="J20" s="252"/>
      <c r="K20" s="222"/>
      <c r="L20" s="222"/>
      <c r="M20" s="694"/>
      <c r="N20" s="169"/>
      <c r="O20" s="791"/>
      <c r="P20" s="792"/>
      <c r="Q20" s="792"/>
      <c r="R20" s="792"/>
      <c r="S20" s="792"/>
      <c r="T20" s="726" t="s">
        <v>822</v>
      </c>
      <c r="U20" s="726" t="s">
        <v>823</v>
      </c>
      <c r="V20" s="826" t="s">
        <v>51</v>
      </c>
      <c r="W20" s="99">
        <v>0</v>
      </c>
      <c r="X20" s="99">
        <v>95</v>
      </c>
      <c r="Y20" s="753"/>
      <c r="Z20" s="680"/>
      <c r="AA20" s="602"/>
      <c r="AB20" s="827"/>
      <c r="AC20" s="202"/>
      <c r="AD20" s="828"/>
      <c r="AE20" s="195"/>
      <c r="AF20" s="812">
        <v>22998223599.850002</v>
      </c>
      <c r="AG20" s="7">
        <v>95</v>
      </c>
      <c r="AH20" s="304">
        <v>0.27444448894580714</v>
      </c>
      <c r="AI20" s="9" t="s">
        <v>824</v>
      </c>
      <c r="AJ20" s="829"/>
      <c r="AK20" s="830"/>
      <c r="AL20" s="828"/>
      <c r="AM20" s="784"/>
      <c r="AN20" s="813">
        <v>35438090586.450005</v>
      </c>
      <c r="AO20" s="317">
        <v>0.95</v>
      </c>
      <c r="AP20" s="684">
        <v>0.42299999999999999</v>
      </c>
      <c r="AQ20" s="814" t="s">
        <v>825</v>
      </c>
      <c r="AR20" s="823"/>
      <c r="AS20" s="138"/>
      <c r="AT20" s="750"/>
      <c r="AU20" s="824"/>
      <c r="AV20" s="815">
        <v>39239897566.900002</v>
      </c>
      <c r="AW20" s="97">
        <v>95</v>
      </c>
      <c r="AX20" s="688">
        <v>0.46800000000000003</v>
      </c>
      <c r="AY20" s="101" t="s">
        <v>826</v>
      </c>
      <c r="AZ20" s="823"/>
      <c r="BA20" s="138"/>
      <c r="BB20" s="750"/>
      <c r="BC20" s="824"/>
      <c r="BD20" s="815">
        <v>44519118413.070007</v>
      </c>
      <c r="BE20" s="97">
        <v>95</v>
      </c>
      <c r="BF20" s="688">
        <f>+BD20/83799181715</f>
        <v>0.53125958394771666</v>
      </c>
      <c r="BG20" s="101" t="s">
        <v>827</v>
      </c>
      <c r="BH20" s="823"/>
      <c r="BI20" s="138"/>
      <c r="BJ20" s="750"/>
      <c r="BK20" s="824"/>
      <c r="BL20" s="815">
        <v>46831927274.380005</v>
      </c>
      <c r="BM20" s="97">
        <v>95</v>
      </c>
      <c r="BN20" s="22">
        <f>+BL20/83799181715</f>
        <v>0.55885900453843118</v>
      </c>
      <c r="BO20" s="101" t="s">
        <v>828</v>
      </c>
      <c r="BP20" s="827"/>
      <c r="BQ20" s="202"/>
      <c r="BR20" s="831"/>
      <c r="BS20" s="195"/>
      <c r="BT20" s="812">
        <v>47701743855.570007</v>
      </c>
      <c r="BU20" s="7">
        <v>95</v>
      </c>
      <c r="BV20" s="693">
        <f>+BT20/83799181715</f>
        <v>0.56923877870076411</v>
      </c>
      <c r="BW20" s="9" t="s">
        <v>829</v>
      </c>
      <c r="BX20" s="827"/>
      <c r="BY20" s="202"/>
      <c r="BZ20" s="831"/>
      <c r="CA20" s="195"/>
      <c r="CB20" s="812">
        <v>50224371008.629997</v>
      </c>
      <c r="CC20" s="7">
        <v>95</v>
      </c>
      <c r="CD20" s="693">
        <f>+CB20/83799181715</f>
        <v>0.59934202197155662</v>
      </c>
      <c r="CE20" s="9" t="s">
        <v>830</v>
      </c>
      <c r="CF20" s="827"/>
      <c r="CG20" s="202"/>
      <c r="CH20" s="831"/>
      <c r="CI20" s="195"/>
      <c r="CJ20" s="812">
        <v>61322738232.43</v>
      </c>
      <c r="CK20" s="7">
        <v>95</v>
      </c>
      <c r="CL20" s="693">
        <f>+CJ20/83799181715</f>
        <v>0.73178206490115727</v>
      </c>
      <c r="CM20" s="9" t="s">
        <v>831</v>
      </c>
      <c r="CN20" s="827"/>
      <c r="CO20" s="202"/>
      <c r="CP20" s="831"/>
      <c r="CQ20" s="195"/>
      <c r="CR20" s="812">
        <v>70349871953.889999</v>
      </c>
      <c r="CS20" s="7">
        <v>95</v>
      </c>
      <c r="CT20" s="693">
        <f>+CR20/83799181715</f>
        <v>0.83950547623661842</v>
      </c>
      <c r="CU20" s="9" t="s">
        <v>832</v>
      </c>
      <c r="CV20" s="807">
        <v>0.4682611066635799</v>
      </c>
      <c r="CW20" s="16">
        <v>8015761942.9499998</v>
      </c>
      <c r="CX20" s="16"/>
      <c r="CY20" s="16"/>
      <c r="CZ20" s="16"/>
      <c r="DA20" s="16">
        <v>0.4682611066635799</v>
      </c>
      <c r="DB20" s="16"/>
      <c r="DC20" s="16"/>
      <c r="DD20" s="16"/>
      <c r="DE20" s="16"/>
      <c r="DF20" s="16"/>
      <c r="DG20" s="16"/>
      <c r="DH20" s="16"/>
      <c r="DI20" s="16"/>
      <c r="DJ20" s="16"/>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16"/>
      <c r="GQ20" s="16"/>
      <c r="GR20" s="16"/>
      <c r="GS20" s="16"/>
      <c r="GT20" s="16"/>
      <c r="GU20" s="16"/>
      <c r="GV20" s="16"/>
      <c r="GW20" s="16"/>
      <c r="GX20" s="16"/>
      <c r="GY20" s="16"/>
      <c r="GZ20" s="16"/>
      <c r="HA20" s="16"/>
      <c r="HB20" s="16"/>
      <c r="HC20" s="16"/>
      <c r="HD20" s="16"/>
      <c r="HE20" s="16"/>
      <c r="HF20" s="16"/>
      <c r="HG20" s="16"/>
      <c r="HH20" s="16"/>
      <c r="HI20" s="16"/>
      <c r="HJ20" s="16"/>
      <c r="HK20" s="16"/>
      <c r="HL20" s="16"/>
      <c r="HM20" s="16"/>
      <c r="HN20" s="16"/>
      <c r="HO20" s="16"/>
      <c r="HP20" s="16"/>
      <c r="HQ20" s="16"/>
      <c r="HR20" s="16"/>
      <c r="HS20" s="16"/>
      <c r="HT20" s="16"/>
      <c r="HU20" s="16"/>
      <c r="HV20" s="16"/>
      <c r="HW20" s="16"/>
      <c r="HX20" s="16"/>
      <c r="HY20" s="16"/>
      <c r="HZ20" s="16"/>
      <c r="IA20" s="16"/>
      <c r="IB20" s="16"/>
      <c r="IC20" s="16"/>
      <c r="ID20" s="16"/>
      <c r="IE20" s="16"/>
      <c r="IF20" s="16"/>
      <c r="IG20" s="16"/>
      <c r="IH20" s="16"/>
      <c r="II20" s="16"/>
      <c r="IJ20" s="16"/>
      <c r="IK20" s="16"/>
      <c r="IL20" s="16"/>
      <c r="IM20" s="16"/>
      <c r="IN20" s="16"/>
      <c r="IO20" s="16"/>
      <c r="IP20" s="16"/>
      <c r="IQ20" s="16"/>
      <c r="IR20" s="16"/>
      <c r="IS20" s="16"/>
      <c r="IT20" s="16"/>
      <c r="IU20" s="16"/>
      <c r="IV20" s="16"/>
      <c r="IW20" s="16"/>
      <c r="IX20" s="16"/>
      <c r="IY20" s="16"/>
      <c r="IZ20" s="16"/>
      <c r="JA20" s="16"/>
      <c r="JB20" s="16"/>
      <c r="JC20" s="16"/>
      <c r="JD20" s="16"/>
      <c r="JE20" s="16"/>
      <c r="JF20" s="16"/>
      <c r="JG20" s="16"/>
      <c r="JH20" s="16"/>
      <c r="JI20" s="16"/>
      <c r="JJ20" s="16"/>
      <c r="JK20" s="16"/>
      <c r="JL20" s="16"/>
      <c r="JM20" s="16"/>
      <c r="JN20" s="16"/>
      <c r="JO20" s="16"/>
      <c r="JP20" s="16"/>
      <c r="JQ20" s="16"/>
      <c r="JR20" s="16"/>
      <c r="JS20" s="16"/>
      <c r="JT20" s="16"/>
      <c r="JU20" s="16"/>
      <c r="JV20" s="16"/>
      <c r="JW20" s="16"/>
      <c r="JX20" s="16"/>
      <c r="JY20" s="16"/>
      <c r="JZ20" s="16"/>
      <c r="KA20" s="16"/>
      <c r="KB20" s="16"/>
      <c r="KC20" s="16"/>
      <c r="KD20" s="16"/>
      <c r="KE20" s="16"/>
      <c r="KF20" s="16"/>
      <c r="KG20" s="16"/>
      <c r="KH20" s="16"/>
      <c r="KI20" s="16"/>
      <c r="KJ20" s="16"/>
      <c r="KK20" s="16"/>
      <c r="KL20" s="16"/>
      <c r="KM20" s="16"/>
      <c r="KN20" s="16"/>
      <c r="KO20" s="16"/>
      <c r="KP20" s="16"/>
      <c r="KQ20" s="16"/>
      <c r="KR20" s="16"/>
      <c r="KS20" s="16"/>
    </row>
    <row r="21" spans="1:306" s="4" customFormat="1" ht="48" x14ac:dyDescent="0.25">
      <c r="A21" s="90" t="s">
        <v>98</v>
      </c>
      <c r="B21" s="90" t="s">
        <v>100</v>
      </c>
      <c r="C21" s="90" t="s">
        <v>99</v>
      </c>
      <c r="D21" s="90" t="s">
        <v>694</v>
      </c>
      <c r="E21" s="93" t="s">
        <v>695</v>
      </c>
      <c r="F21" s="85" t="s">
        <v>696</v>
      </c>
      <c r="G21" s="408" t="s">
        <v>291</v>
      </c>
      <c r="H21" s="408" t="s">
        <v>392</v>
      </c>
      <c r="I21" s="408" t="s">
        <v>767</v>
      </c>
      <c r="J21" s="252"/>
      <c r="K21" s="222"/>
      <c r="L21" s="222"/>
      <c r="M21" s="694"/>
      <c r="N21" s="169"/>
      <c r="O21" s="719" t="s">
        <v>833</v>
      </c>
      <c r="P21" s="832" t="s">
        <v>834</v>
      </c>
      <c r="Q21" s="45" t="s">
        <v>51</v>
      </c>
      <c r="R21" s="45">
        <v>0</v>
      </c>
      <c r="S21" s="45">
        <v>100</v>
      </c>
      <c r="T21" s="752" t="s">
        <v>835</v>
      </c>
      <c r="U21" s="752" t="s">
        <v>836</v>
      </c>
      <c r="V21" s="99" t="s">
        <v>51</v>
      </c>
      <c r="W21" s="99">
        <v>0</v>
      </c>
      <c r="X21" s="99">
        <v>100</v>
      </c>
      <c r="Y21" s="699"/>
      <c r="Z21" s="680"/>
      <c r="AA21" s="602"/>
      <c r="AB21" s="833">
        <v>100</v>
      </c>
      <c r="AC21" s="88">
        <v>100</v>
      </c>
      <c r="AD21" s="834">
        <v>1</v>
      </c>
      <c r="AE21" s="88" t="s">
        <v>837</v>
      </c>
      <c r="AF21" s="835">
        <v>0.98</v>
      </c>
      <c r="AG21" s="6">
        <v>100</v>
      </c>
      <c r="AH21" s="836">
        <v>0.97950819672131151</v>
      </c>
      <c r="AI21" s="8" t="s">
        <v>838</v>
      </c>
      <c r="AJ21" s="834">
        <v>1</v>
      </c>
      <c r="AK21" s="834">
        <v>1</v>
      </c>
      <c r="AL21" s="834">
        <v>1</v>
      </c>
      <c r="AM21" s="534" t="s">
        <v>839</v>
      </c>
      <c r="AN21" s="834">
        <f>304/304</f>
        <v>1</v>
      </c>
      <c r="AO21" s="834">
        <v>1</v>
      </c>
      <c r="AP21" s="834">
        <v>1</v>
      </c>
      <c r="AQ21" s="837" t="s">
        <v>840</v>
      </c>
      <c r="AR21" s="838">
        <v>100</v>
      </c>
      <c r="AS21" s="838">
        <v>100</v>
      </c>
      <c r="AT21" s="838">
        <v>100</v>
      </c>
      <c r="AU21" s="602" t="s">
        <v>841</v>
      </c>
      <c r="AV21" s="839">
        <f>829/831</f>
        <v>0.99759326113116731</v>
      </c>
      <c r="AW21" s="838">
        <v>100</v>
      </c>
      <c r="AX21" s="839">
        <v>0.99760000000000004</v>
      </c>
      <c r="AY21" s="602" t="s">
        <v>842</v>
      </c>
      <c r="AZ21" s="815">
        <v>100</v>
      </c>
      <c r="BA21" s="97">
        <v>100</v>
      </c>
      <c r="BB21" s="688">
        <v>1</v>
      </c>
      <c r="BC21" s="101" t="s">
        <v>843</v>
      </c>
      <c r="BD21" s="840">
        <v>1</v>
      </c>
      <c r="BE21" s="97">
        <v>100</v>
      </c>
      <c r="BF21" s="688">
        <v>1</v>
      </c>
      <c r="BG21" s="101" t="s">
        <v>844</v>
      </c>
      <c r="BH21" s="838">
        <v>100</v>
      </c>
      <c r="BI21" s="838">
        <v>100</v>
      </c>
      <c r="BJ21" s="838">
        <v>100</v>
      </c>
      <c r="BK21" s="602" t="s">
        <v>845</v>
      </c>
      <c r="BL21" s="841">
        <v>1</v>
      </c>
      <c r="BM21" s="838">
        <v>100</v>
      </c>
      <c r="BN21" s="765">
        <v>1</v>
      </c>
      <c r="BO21" s="842" t="s">
        <v>846</v>
      </c>
      <c r="BP21" s="843">
        <v>1</v>
      </c>
      <c r="BQ21" s="836">
        <v>1</v>
      </c>
      <c r="BR21" s="844">
        <v>1</v>
      </c>
      <c r="BS21" s="455" t="s">
        <v>847</v>
      </c>
      <c r="BT21" s="836">
        <f>1120/1156</f>
        <v>0.96885813148788924</v>
      </c>
      <c r="BU21" s="836">
        <v>1</v>
      </c>
      <c r="BV21" s="836">
        <f>1120/1156</f>
        <v>0.96885813148788924</v>
      </c>
      <c r="BW21" s="534" t="s">
        <v>848</v>
      </c>
      <c r="BX21" s="845">
        <v>100</v>
      </c>
      <c r="BY21" s="846">
        <v>100</v>
      </c>
      <c r="BZ21" s="847">
        <v>100</v>
      </c>
      <c r="CA21" s="455" t="s">
        <v>849</v>
      </c>
      <c r="CB21" s="836">
        <f>1524/1524</f>
        <v>1</v>
      </c>
      <c r="CC21" s="846">
        <v>100</v>
      </c>
      <c r="CD21" s="836">
        <v>1</v>
      </c>
      <c r="CE21" s="534" t="s">
        <v>850</v>
      </c>
      <c r="CF21" s="845">
        <v>100</v>
      </c>
      <c r="CG21" s="846">
        <v>100</v>
      </c>
      <c r="CH21" s="847">
        <v>100</v>
      </c>
      <c r="CI21" s="455" t="s">
        <v>851</v>
      </c>
      <c r="CJ21" s="836">
        <f>548/1267</f>
        <v>0.43251775848460933</v>
      </c>
      <c r="CK21" s="475">
        <v>100</v>
      </c>
      <c r="CL21" s="836">
        <f>548/1267</f>
        <v>0.43251775848460933</v>
      </c>
      <c r="CM21" s="534" t="s">
        <v>852</v>
      </c>
      <c r="CN21" s="845">
        <v>100</v>
      </c>
      <c r="CO21" s="846">
        <v>100</v>
      </c>
      <c r="CP21" s="847">
        <v>100</v>
      </c>
      <c r="CQ21" s="455" t="s">
        <v>853</v>
      </c>
      <c r="CR21" s="836">
        <v>0.47</v>
      </c>
      <c r="CS21" s="846">
        <v>100</v>
      </c>
      <c r="CT21" s="836">
        <f>632/1331</f>
        <v>0.47483095416979715</v>
      </c>
      <c r="CU21" s="534" t="s">
        <v>854</v>
      </c>
      <c r="CV21" s="16"/>
      <c r="CW21" s="16"/>
      <c r="CX21" s="16"/>
      <c r="CY21" s="16"/>
      <c r="CZ21" s="16"/>
      <c r="DA21" s="848">
        <v>0.99759326113116731</v>
      </c>
      <c r="DB21" s="16"/>
      <c r="DC21" s="16"/>
      <c r="DD21" s="16"/>
      <c r="DE21" s="16"/>
      <c r="DF21" s="16"/>
      <c r="DG21" s="16"/>
      <c r="DH21" s="16"/>
      <c r="DI21" s="16"/>
      <c r="DJ21" s="16"/>
      <c r="DK21" s="16"/>
      <c r="DL21" s="16"/>
      <c r="DM21" s="16"/>
      <c r="DN21" s="16"/>
      <c r="DO21" s="16"/>
      <c r="DP21" s="16"/>
      <c r="DQ21" s="16"/>
      <c r="DR21" s="16"/>
      <c r="DS21" s="16"/>
      <c r="DT21" s="16"/>
      <c r="DU21" s="16"/>
      <c r="DV21" s="16"/>
      <c r="DW21" s="16"/>
      <c r="DX21" s="16"/>
      <c r="DY21" s="16"/>
      <c r="DZ21" s="16"/>
      <c r="EA21" s="16"/>
      <c r="EB21" s="16"/>
      <c r="EC21" s="16"/>
      <c r="ED21" s="16"/>
      <c r="EE21" s="16"/>
      <c r="EF21" s="16"/>
      <c r="EG21" s="16"/>
      <c r="EH21" s="16"/>
      <c r="EI21" s="16"/>
      <c r="EJ21" s="16"/>
      <c r="EK21" s="16"/>
      <c r="EL21" s="16"/>
      <c r="EM21" s="16"/>
      <c r="EN21" s="16"/>
      <c r="EO21" s="16"/>
      <c r="EP21" s="16"/>
      <c r="EQ21" s="16"/>
      <c r="ER21" s="16"/>
      <c r="ES21" s="16"/>
      <c r="ET21" s="16"/>
      <c r="EU21" s="16"/>
      <c r="EV21" s="16"/>
      <c r="EW21" s="16"/>
      <c r="EX21" s="16"/>
      <c r="EY21" s="16"/>
      <c r="EZ21" s="16"/>
      <c r="FA21" s="16"/>
      <c r="FB21" s="16"/>
      <c r="FC21" s="16"/>
      <c r="FD21" s="16"/>
      <c r="FE21" s="16"/>
      <c r="FF21" s="16"/>
      <c r="FG21" s="16"/>
      <c r="FH21" s="16"/>
      <c r="FI21" s="16"/>
      <c r="FJ21" s="16"/>
      <c r="FK21" s="16"/>
      <c r="FL21" s="16"/>
      <c r="FM21" s="16"/>
      <c r="FN21" s="16"/>
      <c r="FO21" s="16"/>
      <c r="FP21" s="16"/>
      <c r="FQ21" s="16"/>
      <c r="FR21" s="16"/>
      <c r="FS21" s="16"/>
      <c r="FT21" s="16"/>
      <c r="FU21" s="16"/>
      <c r="FV21" s="16"/>
      <c r="FW21" s="16"/>
      <c r="FX21" s="16"/>
      <c r="FY21" s="16"/>
      <c r="FZ21" s="16"/>
      <c r="GA21" s="16"/>
      <c r="GB21" s="16"/>
      <c r="GC21" s="16"/>
      <c r="GD21" s="16"/>
      <c r="GE21" s="16"/>
      <c r="GF21" s="16"/>
      <c r="GG21" s="16"/>
      <c r="GH21" s="16"/>
      <c r="GI21" s="16"/>
      <c r="GJ21" s="16"/>
      <c r="GK21" s="16"/>
      <c r="GL21" s="16"/>
      <c r="GM21" s="16"/>
      <c r="GN21" s="16"/>
      <c r="GO21" s="16"/>
      <c r="GP21" s="16"/>
      <c r="GQ21" s="16"/>
      <c r="GR21" s="16"/>
      <c r="GS21" s="16"/>
      <c r="GT21" s="16"/>
      <c r="GU21" s="16"/>
      <c r="GV21" s="16"/>
      <c r="GW21" s="16"/>
      <c r="GX21" s="16"/>
      <c r="GY21" s="16"/>
      <c r="GZ21" s="16"/>
      <c r="HA21" s="16"/>
      <c r="HB21" s="16"/>
      <c r="HC21" s="16"/>
      <c r="HD21" s="16"/>
      <c r="HE21" s="16"/>
      <c r="HF21" s="16"/>
      <c r="HG21" s="16"/>
      <c r="HH21" s="16"/>
      <c r="HI21" s="16"/>
      <c r="HJ21" s="16"/>
      <c r="HK21" s="16"/>
      <c r="HL21" s="16"/>
      <c r="HM21" s="16"/>
      <c r="HN21" s="16"/>
      <c r="HO21" s="16"/>
      <c r="HP21" s="16"/>
      <c r="HQ21" s="16"/>
      <c r="HR21" s="16"/>
      <c r="HS21" s="16"/>
      <c r="HT21" s="16"/>
      <c r="HU21" s="16"/>
      <c r="HV21" s="16"/>
      <c r="HW21" s="16"/>
      <c r="HX21" s="16"/>
      <c r="HY21" s="16"/>
      <c r="HZ21" s="16"/>
      <c r="IA21" s="16"/>
      <c r="IB21" s="16"/>
      <c r="IC21" s="16"/>
      <c r="ID21" s="16"/>
      <c r="IE21" s="16"/>
      <c r="IF21" s="16"/>
      <c r="IG21" s="16"/>
      <c r="IH21" s="16"/>
      <c r="II21" s="16"/>
      <c r="IJ21" s="16"/>
      <c r="IK21" s="16"/>
      <c r="IL21" s="16"/>
      <c r="IM21" s="16"/>
      <c r="IN21" s="16"/>
      <c r="IO21" s="16"/>
      <c r="IP21" s="16"/>
      <c r="IQ21" s="16"/>
      <c r="IR21" s="16"/>
      <c r="IS21" s="16"/>
      <c r="IT21" s="16"/>
      <c r="IU21" s="16"/>
      <c r="IV21" s="16"/>
      <c r="IW21" s="16"/>
      <c r="IX21" s="16"/>
      <c r="IY21" s="16"/>
      <c r="IZ21" s="16"/>
      <c r="JA21" s="16"/>
      <c r="JB21" s="16"/>
      <c r="JC21" s="16"/>
      <c r="JD21" s="16"/>
      <c r="JE21" s="16"/>
      <c r="JF21" s="16"/>
      <c r="JG21" s="16"/>
      <c r="JH21" s="16"/>
      <c r="JI21" s="16"/>
      <c r="JJ21" s="16"/>
      <c r="JK21" s="16"/>
      <c r="JL21" s="16"/>
      <c r="JM21" s="16"/>
      <c r="JN21" s="16"/>
      <c r="JO21" s="16"/>
      <c r="JP21" s="16"/>
      <c r="JQ21" s="16"/>
      <c r="JR21" s="16"/>
      <c r="JS21" s="16"/>
      <c r="JT21" s="16"/>
      <c r="JU21" s="16"/>
      <c r="JV21" s="16"/>
      <c r="JW21" s="16"/>
      <c r="JX21" s="16"/>
      <c r="JY21" s="16"/>
      <c r="JZ21" s="16"/>
      <c r="KA21" s="16"/>
      <c r="KB21" s="16"/>
      <c r="KC21" s="16"/>
      <c r="KD21" s="16"/>
      <c r="KE21" s="16"/>
      <c r="KF21" s="16"/>
      <c r="KG21" s="16"/>
      <c r="KH21" s="16"/>
      <c r="KI21" s="16"/>
      <c r="KJ21" s="16"/>
      <c r="KK21" s="16"/>
      <c r="KL21" s="16"/>
      <c r="KM21" s="16"/>
      <c r="KN21" s="16"/>
      <c r="KO21" s="16"/>
      <c r="KP21" s="16"/>
      <c r="KQ21" s="16"/>
      <c r="KR21" s="16"/>
      <c r="KS21" s="16"/>
      <c r="KT21" s="16"/>
    </row>
    <row r="22" spans="1:306" s="3" customFormat="1" ht="48" x14ac:dyDescent="0.25">
      <c r="A22" s="149" t="s">
        <v>98</v>
      </c>
      <c r="B22" s="149" t="s">
        <v>100</v>
      </c>
      <c r="C22" s="149" t="s">
        <v>99</v>
      </c>
      <c r="D22" s="149" t="s">
        <v>855</v>
      </c>
      <c r="E22" s="149" t="s">
        <v>101</v>
      </c>
      <c r="F22" s="186" t="s">
        <v>661</v>
      </c>
      <c r="G22" s="455" t="s">
        <v>856</v>
      </c>
      <c r="H22" s="455" t="s">
        <v>857</v>
      </c>
      <c r="I22" s="455" t="s">
        <v>858</v>
      </c>
      <c r="J22" s="252"/>
      <c r="K22" s="149" t="s">
        <v>698</v>
      </c>
      <c r="L22" s="149" t="s">
        <v>859</v>
      </c>
      <c r="M22" s="694"/>
      <c r="N22" s="169" t="s">
        <v>860</v>
      </c>
      <c r="O22" s="849" t="s">
        <v>861</v>
      </c>
      <c r="P22" s="850" t="s">
        <v>862</v>
      </c>
      <c r="Q22" s="516" t="s">
        <v>51</v>
      </c>
      <c r="R22" s="516">
        <v>0</v>
      </c>
      <c r="S22" s="516">
        <v>100</v>
      </c>
      <c r="T22" s="678" t="s">
        <v>863</v>
      </c>
      <c r="U22" s="678" t="s">
        <v>864</v>
      </c>
      <c r="V22" s="97" t="s">
        <v>50</v>
      </c>
      <c r="W22" s="97">
        <v>0</v>
      </c>
      <c r="X22" s="97">
        <v>5</v>
      </c>
      <c r="Y22" s="716">
        <v>2783260255</v>
      </c>
      <c r="Z22" s="680"/>
      <c r="AA22" s="602"/>
      <c r="AB22" s="138">
        <v>7</v>
      </c>
      <c r="AC22" s="851">
        <v>100</v>
      </c>
      <c r="AD22" s="737">
        <f>+AB22/AC22</f>
        <v>7.0000000000000007E-2</v>
      </c>
      <c r="AE22" s="190" t="s">
        <v>865</v>
      </c>
      <c r="AF22" s="297">
        <v>1</v>
      </c>
      <c r="AG22" s="297">
        <v>5</v>
      </c>
      <c r="AH22" s="682">
        <f>+AF22/AG22</f>
        <v>0.2</v>
      </c>
      <c r="AI22" s="297" t="s">
        <v>866</v>
      </c>
      <c r="AJ22" s="852">
        <f>+AVERAGE(AP22:AP23)</f>
        <v>6.25E-2</v>
      </c>
      <c r="AK22" s="853">
        <v>1</v>
      </c>
      <c r="AL22" s="853">
        <f>+AJ22+AD22</f>
        <v>0.13250000000000001</v>
      </c>
      <c r="AM22" s="854"/>
      <c r="AN22" s="685">
        <v>0</v>
      </c>
      <c r="AO22" s="685">
        <v>5</v>
      </c>
      <c r="AP22" s="682">
        <v>0</v>
      </c>
      <c r="AQ22" s="814" t="s">
        <v>867</v>
      </c>
      <c r="AR22" s="855">
        <v>0.16</v>
      </c>
      <c r="AS22" s="855">
        <v>1</v>
      </c>
      <c r="AT22" s="856">
        <f>+AR22+AL22</f>
        <v>0.29249999999999998</v>
      </c>
      <c r="AU22" s="735"/>
      <c r="AV22" s="689">
        <v>1</v>
      </c>
      <c r="AW22" s="689">
        <v>5</v>
      </c>
      <c r="AX22" s="857">
        <v>0.2</v>
      </c>
      <c r="AY22" s="719" t="s">
        <v>868</v>
      </c>
      <c r="AZ22" s="855">
        <v>0.2</v>
      </c>
      <c r="BA22" s="855">
        <v>1</v>
      </c>
      <c r="BB22" s="856">
        <f>+AZ22+AT22</f>
        <v>0.49249999999999999</v>
      </c>
      <c r="BC22" s="791" t="s">
        <v>869</v>
      </c>
      <c r="BD22" s="715">
        <v>1</v>
      </c>
      <c r="BE22" s="715">
        <v>5</v>
      </c>
      <c r="BF22" s="840">
        <v>0.6</v>
      </c>
      <c r="BG22" s="858" t="s">
        <v>870</v>
      </c>
      <c r="BH22" s="855">
        <v>0.1</v>
      </c>
      <c r="BI22" s="855">
        <v>1</v>
      </c>
      <c r="BJ22" s="856">
        <f>+BH22+BB22</f>
        <v>0.59250000000000003</v>
      </c>
      <c r="BK22" s="791" t="s">
        <v>871</v>
      </c>
      <c r="BL22" s="715">
        <v>1</v>
      </c>
      <c r="BM22" s="715">
        <v>5</v>
      </c>
      <c r="BN22" s="840">
        <v>0.8</v>
      </c>
      <c r="BO22" s="858" t="s">
        <v>872</v>
      </c>
      <c r="BP22" s="855">
        <v>0.22600000000000001</v>
      </c>
      <c r="BQ22" s="855">
        <v>1</v>
      </c>
      <c r="BR22" s="856">
        <f>+BJ22+BP22</f>
        <v>0.81850000000000001</v>
      </c>
      <c r="BS22" s="791" t="s">
        <v>871</v>
      </c>
      <c r="BT22" s="715">
        <v>1</v>
      </c>
      <c r="BU22" s="715">
        <v>5</v>
      </c>
      <c r="BV22" s="840">
        <v>1</v>
      </c>
      <c r="BW22" s="858" t="s">
        <v>873</v>
      </c>
      <c r="BX22" s="855"/>
      <c r="BY22" s="855"/>
      <c r="BZ22" s="856"/>
      <c r="CA22" s="791"/>
      <c r="CB22" s="97">
        <v>1</v>
      </c>
      <c r="CC22" s="97">
        <v>5</v>
      </c>
      <c r="CD22" s="22">
        <f>+CB22/CC22</f>
        <v>0.2</v>
      </c>
      <c r="CE22" s="858" t="s">
        <v>874</v>
      </c>
      <c r="CF22" s="859">
        <v>7.8E-2</v>
      </c>
      <c r="CG22" s="859">
        <v>1</v>
      </c>
      <c r="CH22" s="572">
        <v>0.54</v>
      </c>
      <c r="CI22" s="860" t="s">
        <v>875</v>
      </c>
      <c r="CJ22" s="715">
        <v>1</v>
      </c>
      <c r="CK22" s="715">
        <v>5</v>
      </c>
      <c r="CL22" s="840">
        <f>+CJ22/CK22</f>
        <v>0.2</v>
      </c>
      <c r="CM22" s="858" t="s">
        <v>876</v>
      </c>
      <c r="CN22" s="859">
        <v>7.8E-2</v>
      </c>
      <c r="CO22" s="859">
        <v>1</v>
      </c>
      <c r="CP22" s="572">
        <v>0.56999999999999995</v>
      </c>
      <c r="CQ22" s="860" t="s">
        <v>877</v>
      </c>
      <c r="CR22" s="97">
        <v>5</v>
      </c>
      <c r="CS22" s="715">
        <v>5</v>
      </c>
      <c r="CT22" s="840">
        <f>+CR22/CS22</f>
        <v>1</v>
      </c>
      <c r="CU22" s="858" t="s">
        <v>878</v>
      </c>
      <c r="CV22" s="16"/>
      <c r="CW22" s="16"/>
      <c r="CX22" s="16"/>
      <c r="CY22" s="16"/>
      <c r="CZ22" s="16"/>
      <c r="DA22" s="713">
        <v>0.4</v>
      </c>
      <c r="DB22" s="713">
        <f>+AVERAGE(DA22:DA23)</f>
        <v>0.33</v>
      </c>
      <c r="DC22" s="16"/>
      <c r="DD22" s="16"/>
      <c r="DE22" s="16"/>
      <c r="DF22" s="16"/>
      <c r="DG22" s="16"/>
      <c r="DH22" s="16"/>
      <c r="DI22" s="16"/>
      <c r="DJ22" s="16"/>
      <c r="DK22" s="16"/>
      <c r="DL22" s="16"/>
      <c r="DM22" s="16"/>
      <c r="DN22" s="16"/>
      <c r="DO22" s="16"/>
      <c r="DP22" s="16"/>
      <c r="DQ22" s="16"/>
      <c r="DR22" s="16"/>
      <c r="DS22" s="16"/>
      <c r="DT22" s="16"/>
      <c r="DU22" s="16"/>
      <c r="DV22" s="16"/>
      <c r="DW22" s="16"/>
      <c r="DX22" s="16"/>
      <c r="DY22" s="16"/>
      <c r="DZ22" s="16"/>
      <c r="EA22" s="16"/>
      <c r="EB22" s="16"/>
      <c r="EC22" s="16"/>
      <c r="ED22" s="16"/>
      <c r="EE22" s="16"/>
      <c r="EF22" s="16"/>
      <c r="EG22" s="16"/>
      <c r="EH22" s="16"/>
      <c r="EI22" s="16"/>
      <c r="EJ22" s="16"/>
      <c r="EK22" s="16"/>
      <c r="EL22" s="16"/>
      <c r="EM22" s="16"/>
      <c r="EN22" s="16"/>
      <c r="EO22" s="16"/>
      <c r="EP22" s="16"/>
      <c r="EQ22" s="16"/>
      <c r="ER22" s="16"/>
      <c r="ES22" s="16"/>
      <c r="ET22" s="16"/>
      <c r="EU22" s="16"/>
      <c r="EV22" s="16"/>
      <c r="EW22" s="16"/>
      <c r="EX22" s="16"/>
      <c r="EY22" s="16"/>
      <c r="EZ22" s="16"/>
      <c r="FA22" s="16"/>
      <c r="FB22" s="16"/>
      <c r="FC22" s="16"/>
      <c r="FD22" s="16"/>
      <c r="FE22" s="16"/>
      <c r="FF22" s="16"/>
      <c r="FG22" s="16"/>
      <c r="FH22" s="16"/>
      <c r="FI22" s="16"/>
      <c r="FJ22" s="16"/>
      <c r="FK22" s="16"/>
      <c r="FL22" s="16"/>
      <c r="FM22" s="16"/>
      <c r="FN22" s="16"/>
      <c r="FO22" s="16"/>
      <c r="FP22" s="16"/>
      <c r="FQ22" s="16"/>
      <c r="FR22" s="16"/>
      <c r="FS22" s="16"/>
      <c r="FT22" s="16"/>
      <c r="FU22" s="16"/>
      <c r="FV22" s="16"/>
      <c r="FW22" s="16"/>
      <c r="FX22" s="16"/>
      <c r="FY22" s="16"/>
      <c r="FZ22" s="16"/>
      <c r="GA22" s="16"/>
      <c r="GB22" s="16"/>
      <c r="GC22" s="16"/>
      <c r="GD22" s="16"/>
      <c r="GE22" s="16"/>
      <c r="GF22" s="16"/>
      <c r="GG22" s="16"/>
      <c r="GH22" s="16"/>
      <c r="GI22" s="16"/>
      <c r="GJ22" s="16"/>
      <c r="GK22" s="16"/>
      <c r="GL22" s="16"/>
      <c r="GM22" s="16"/>
      <c r="GN22" s="16"/>
      <c r="GO22" s="16"/>
      <c r="GP22" s="16"/>
      <c r="GQ22" s="16"/>
      <c r="GR22" s="16"/>
      <c r="GS22" s="16"/>
      <c r="GT22" s="16"/>
      <c r="GU22" s="16"/>
      <c r="GV22" s="16"/>
      <c r="GW22" s="16"/>
      <c r="GX22" s="16"/>
      <c r="GY22" s="16"/>
      <c r="GZ22" s="16"/>
      <c r="HA22" s="16"/>
      <c r="HB22" s="16"/>
      <c r="HC22" s="16"/>
      <c r="HD22" s="16"/>
      <c r="HE22" s="16"/>
      <c r="HF22" s="16"/>
      <c r="HG22" s="16"/>
      <c r="HH22" s="16"/>
      <c r="HI22" s="16"/>
      <c r="HJ22" s="16"/>
      <c r="HK22" s="16"/>
      <c r="HL22" s="16"/>
      <c r="HM22" s="16"/>
      <c r="HN22" s="16"/>
      <c r="HO22" s="16"/>
      <c r="HP22" s="16"/>
      <c r="HQ22" s="16"/>
      <c r="HR22" s="16"/>
      <c r="HS22" s="16"/>
      <c r="HT22" s="16"/>
      <c r="HU22" s="16"/>
      <c r="HV22" s="16"/>
      <c r="HW22" s="16"/>
      <c r="HX22" s="16"/>
      <c r="HY22" s="16"/>
      <c r="HZ22" s="16"/>
      <c r="IA22" s="16"/>
      <c r="IB22" s="16"/>
      <c r="IC22" s="16"/>
      <c r="ID22" s="16"/>
      <c r="IE22" s="16"/>
      <c r="IF22" s="16"/>
      <c r="IG22" s="16"/>
      <c r="IH22" s="16"/>
      <c r="II22" s="16"/>
      <c r="IJ22" s="16"/>
      <c r="IK22" s="16"/>
      <c r="IL22" s="16"/>
      <c r="IM22" s="16"/>
      <c r="IN22" s="16"/>
      <c r="IO22" s="16"/>
      <c r="IP22" s="16"/>
      <c r="IQ22" s="16"/>
      <c r="IR22" s="16"/>
      <c r="IS22" s="16"/>
      <c r="IT22" s="16"/>
      <c r="IU22" s="16"/>
      <c r="IV22" s="16"/>
      <c r="IW22" s="16"/>
      <c r="IX22" s="16"/>
      <c r="IY22" s="16"/>
      <c r="IZ22" s="16"/>
      <c r="JA22" s="16"/>
      <c r="JB22" s="16"/>
      <c r="JC22" s="16"/>
      <c r="JD22" s="16"/>
      <c r="JE22" s="16"/>
      <c r="JF22" s="16"/>
      <c r="JG22" s="16"/>
      <c r="JH22" s="16"/>
      <c r="JI22" s="16"/>
      <c r="JJ22" s="16"/>
      <c r="JK22" s="16"/>
      <c r="JL22" s="16"/>
      <c r="JM22" s="16"/>
      <c r="JN22" s="16"/>
      <c r="JO22" s="16"/>
      <c r="JP22" s="16"/>
      <c r="JQ22" s="16"/>
      <c r="JR22" s="16"/>
      <c r="JS22" s="16"/>
      <c r="JT22" s="16"/>
      <c r="JU22" s="16"/>
      <c r="JV22" s="16"/>
      <c r="JW22" s="16"/>
      <c r="JX22" s="16"/>
      <c r="JY22" s="16"/>
      <c r="JZ22" s="16"/>
      <c r="KA22" s="16"/>
      <c r="KB22" s="16"/>
      <c r="KC22" s="16"/>
      <c r="KD22" s="16"/>
      <c r="KE22" s="16"/>
      <c r="KF22" s="16"/>
      <c r="KG22" s="16"/>
      <c r="KH22" s="16"/>
      <c r="KI22" s="16"/>
      <c r="KJ22" s="16"/>
      <c r="KK22" s="16"/>
      <c r="KL22" s="16"/>
      <c r="KM22" s="16"/>
      <c r="KN22" s="16"/>
      <c r="KO22" s="16"/>
      <c r="KP22" s="16"/>
      <c r="KQ22" s="16"/>
      <c r="KR22" s="16"/>
      <c r="KS22" s="16"/>
      <c r="KT22" s="16"/>
    </row>
    <row r="23" spans="1:306" s="4" customFormat="1" ht="270.75" customHeight="1" x14ac:dyDescent="0.25">
      <c r="A23" s="185"/>
      <c r="B23" s="185"/>
      <c r="C23" s="185"/>
      <c r="D23" s="185"/>
      <c r="E23" s="185"/>
      <c r="F23" s="187"/>
      <c r="G23" s="790" t="s">
        <v>856</v>
      </c>
      <c r="H23" s="790" t="s">
        <v>857</v>
      </c>
      <c r="I23" s="790" t="s">
        <v>879</v>
      </c>
      <c r="J23" s="252"/>
      <c r="K23" s="185"/>
      <c r="L23" s="185"/>
      <c r="M23" s="694"/>
      <c r="N23" s="169"/>
      <c r="O23" s="849"/>
      <c r="P23" s="850"/>
      <c r="Q23" s="516"/>
      <c r="R23" s="516"/>
      <c r="S23" s="516"/>
      <c r="T23" s="752" t="s">
        <v>880</v>
      </c>
      <c r="U23" s="752" t="s">
        <v>881</v>
      </c>
      <c r="V23" s="99" t="s">
        <v>50</v>
      </c>
      <c r="W23" s="99">
        <v>0</v>
      </c>
      <c r="X23" s="99">
        <v>8</v>
      </c>
      <c r="Y23" s="861"/>
      <c r="Z23" s="680"/>
      <c r="AA23" s="602"/>
      <c r="AB23" s="138"/>
      <c r="AC23" s="862"/>
      <c r="AD23" s="755"/>
      <c r="AE23" s="222"/>
      <c r="AF23" s="305">
        <v>0</v>
      </c>
      <c r="AG23" s="305">
        <v>8</v>
      </c>
      <c r="AH23" s="701">
        <f>+AF23/AG23</f>
        <v>0</v>
      </c>
      <c r="AI23" s="305" t="s">
        <v>882</v>
      </c>
      <c r="AJ23" s="863"/>
      <c r="AK23" s="864"/>
      <c r="AL23" s="864"/>
      <c r="AM23" s="854"/>
      <c r="AN23" s="729">
        <v>1</v>
      </c>
      <c r="AO23" s="729">
        <v>8</v>
      </c>
      <c r="AP23" s="701">
        <f>+AN23/AO23</f>
        <v>0.125</v>
      </c>
      <c r="AQ23" s="518" t="s">
        <v>883</v>
      </c>
      <c r="AR23" s="735"/>
      <c r="AS23" s="735"/>
      <c r="AT23" s="856"/>
      <c r="AU23" s="735"/>
      <c r="AV23" s="865">
        <v>1</v>
      </c>
      <c r="AW23" s="865">
        <v>8</v>
      </c>
      <c r="AX23" s="706">
        <v>0.125</v>
      </c>
      <c r="AY23" s="504" t="s">
        <v>884</v>
      </c>
      <c r="AZ23" s="735"/>
      <c r="BA23" s="735"/>
      <c r="BB23" s="856"/>
      <c r="BC23" s="791"/>
      <c r="BD23" s="708">
        <v>1</v>
      </c>
      <c r="BE23" s="708">
        <v>8</v>
      </c>
      <c r="BF23" s="866">
        <v>0.375</v>
      </c>
      <c r="BG23" s="858" t="s">
        <v>885</v>
      </c>
      <c r="BH23" s="735"/>
      <c r="BI23" s="735"/>
      <c r="BJ23" s="856"/>
      <c r="BK23" s="791"/>
      <c r="BL23" s="708">
        <v>0</v>
      </c>
      <c r="BM23" s="708">
        <v>8</v>
      </c>
      <c r="BN23" s="866">
        <v>0.375</v>
      </c>
      <c r="BO23" s="858" t="s">
        <v>886</v>
      </c>
      <c r="BP23" s="735"/>
      <c r="BQ23" s="735"/>
      <c r="BR23" s="856"/>
      <c r="BS23" s="791"/>
      <c r="BT23" s="708">
        <v>2</v>
      </c>
      <c r="BU23" s="708">
        <v>8</v>
      </c>
      <c r="BV23" s="866">
        <v>0.625</v>
      </c>
      <c r="BW23" s="867" t="s">
        <v>887</v>
      </c>
      <c r="BX23" s="735"/>
      <c r="BY23" s="735"/>
      <c r="BZ23" s="856"/>
      <c r="CA23" s="791"/>
      <c r="CB23" s="99">
        <v>2</v>
      </c>
      <c r="CC23" s="99">
        <v>8</v>
      </c>
      <c r="CD23" s="868">
        <v>0.08</v>
      </c>
      <c r="CE23" s="869" t="s">
        <v>888</v>
      </c>
      <c r="CF23" s="870"/>
      <c r="CG23" s="870"/>
      <c r="CH23" s="586"/>
      <c r="CI23" s="871"/>
      <c r="CJ23" s="708">
        <v>1</v>
      </c>
      <c r="CK23" s="708">
        <v>8</v>
      </c>
      <c r="CL23" s="866">
        <v>0.25</v>
      </c>
      <c r="CM23" s="869" t="s">
        <v>889</v>
      </c>
      <c r="CN23" s="870"/>
      <c r="CO23" s="870"/>
      <c r="CP23" s="586"/>
      <c r="CQ23" s="871"/>
      <c r="CR23" s="99">
        <v>1</v>
      </c>
      <c r="CS23" s="708">
        <v>8</v>
      </c>
      <c r="CT23" s="866">
        <v>0.25</v>
      </c>
      <c r="CU23" s="869" t="s">
        <v>890</v>
      </c>
      <c r="CV23" s="16"/>
      <c r="CW23" s="16"/>
      <c r="CX23" s="16"/>
      <c r="CY23" s="16"/>
      <c r="CZ23" s="16"/>
      <c r="DA23" s="713">
        <v>0.26</v>
      </c>
      <c r="DB23" s="16"/>
      <c r="DC23" s="16"/>
      <c r="DD23" s="16"/>
      <c r="DE23" s="16"/>
      <c r="DF23" s="16"/>
      <c r="DG23" s="16"/>
      <c r="DH23" s="16"/>
      <c r="DI23" s="16"/>
      <c r="DJ23" s="16"/>
      <c r="DK23" s="16"/>
      <c r="DL23" s="16"/>
      <c r="DM23" s="16"/>
      <c r="DN23" s="16"/>
      <c r="DO23" s="16"/>
      <c r="DP23" s="16"/>
      <c r="DQ23" s="16"/>
      <c r="DR23" s="16"/>
      <c r="DS23" s="16"/>
      <c r="DT23" s="16"/>
      <c r="DU23" s="16"/>
      <c r="DV23" s="16"/>
      <c r="DW23" s="16"/>
      <c r="DX23" s="16"/>
      <c r="DY23" s="16"/>
      <c r="DZ23" s="16"/>
      <c r="EA23" s="16"/>
      <c r="EB23" s="16"/>
      <c r="EC23" s="16"/>
      <c r="ED23" s="16"/>
      <c r="EE23" s="16"/>
      <c r="EF23" s="16"/>
      <c r="EG23" s="16"/>
      <c r="EH23" s="16"/>
      <c r="EI23" s="16"/>
      <c r="EJ23" s="16"/>
      <c r="EK23" s="16"/>
      <c r="EL23" s="16"/>
      <c r="EM23" s="16"/>
      <c r="EN23" s="16"/>
      <c r="EO23" s="16"/>
      <c r="EP23" s="16"/>
      <c r="EQ23" s="16"/>
      <c r="ER23" s="16"/>
      <c r="ES23" s="16"/>
      <c r="ET23" s="16"/>
      <c r="EU23" s="16"/>
      <c r="EV23" s="16"/>
      <c r="EW23" s="16"/>
      <c r="EX23" s="16"/>
      <c r="EY23" s="16"/>
      <c r="EZ23" s="16"/>
      <c r="FA23" s="16"/>
      <c r="FB23" s="16"/>
      <c r="FC23" s="16"/>
      <c r="FD23" s="16"/>
      <c r="FE23" s="16"/>
      <c r="FF23" s="16"/>
      <c r="FG23" s="16"/>
      <c r="FH23" s="16"/>
      <c r="FI23" s="16"/>
      <c r="FJ23" s="16"/>
      <c r="FK23" s="16"/>
      <c r="FL23" s="16"/>
      <c r="FM23" s="16"/>
      <c r="FN23" s="16"/>
      <c r="FO23" s="16"/>
      <c r="FP23" s="16"/>
      <c r="FQ23" s="16"/>
      <c r="FR23" s="16"/>
      <c r="FS23" s="16"/>
      <c r="FT23" s="16"/>
      <c r="FU23" s="16"/>
      <c r="FV23" s="16"/>
      <c r="FW23" s="16"/>
      <c r="FX23" s="16"/>
      <c r="FY23" s="16"/>
      <c r="FZ23" s="16"/>
      <c r="GA23" s="16"/>
      <c r="GB23" s="16"/>
      <c r="GC23" s="16"/>
      <c r="GD23" s="16"/>
      <c r="GE23" s="16"/>
      <c r="GF23" s="16"/>
      <c r="GG23" s="16"/>
      <c r="GH23" s="16"/>
      <c r="GI23" s="16"/>
      <c r="GJ23" s="16"/>
      <c r="GK23" s="16"/>
      <c r="GL23" s="16"/>
      <c r="GM23" s="16"/>
      <c r="GN23" s="16"/>
      <c r="GO23" s="16"/>
      <c r="GP23" s="16"/>
      <c r="GQ23" s="16"/>
      <c r="GR23" s="16"/>
      <c r="GS23" s="16"/>
      <c r="GT23" s="16"/>
      <c r="GU23" s="16"/>
      <c r="GV23" s="16"/>
      <c r="GW23" s="16"/>
      <c r="GX23" s="16"/>
      <c r="GY23" s="16"/>
      <c r="GZ23" s="16"/>
      <c r="HA23" s="16"/>
      <c r="HB23" s="16"/>
      <c r="HC23" s="16"/>
      <c r="HD23" s="16"/>
      <c r="HE23" s="16"/>
      <c r="HF23" s="16"/>
      <c r="HG23" s="16"/>
      <c r="HH23" s="16"/>
      <c r="HI23" s="16"/>
      <c r="HJ23" s="16"/>
      <c r="HK23" s="16"/>
      <c r="HL23" s="16"/>
      <c r="HM23" s="16"/>
      <c r="HN23" s="16"/>
      <c r="HO23" s="16"/>
      <c r="HP23" s="16"/>
      <c r="HQ23" s="16"/>
      <c r="HR23" s="16"/>
      <c r="HS23" s="16"/>
      <c r="HT23" s="16"/>
      <c r="HU23" s="16"/>
      <c r="HV23" s="16"/>
      <c r="HW23" s="16"/>
      <c r="HX23" s="16"/>
      <c r="HY23" s="16"/>
      <c r="HZ23" s="16"/>
      <c r="IA23" s="16"/>
      <c r="IB23" s="16"/>
      <c r="IC23" s="16"/>
      <c r="ID23" s="16"/>
      <c r="IE23" s="16"/>
      <c r="IF23" s="16"/>
      <c r="IG23" s="16"/>
      <c r="IH23" s="16"/>
      <c r="II23" s="16"/>
      <c r="IJ23" s="16"/>
      <c r="IK23" s="16"/>
      <c r="IL23" s="16"/>
      <c r="IM23" s="16"/>
      <c r="IN23" s="16"/>
      <c r="IO23" s="16"/>
      <c r="IP23" s="16"/>
      <c r="IQ23" s="16"/>
      <c r="IR23" s="16"/>
      <c r="IS23" s="16"/>
      <c r="IT23" s="16"/>
      <c r="IU23" s="16"/>
      <c r="IV23" s="16"/>
      <c r="IW23" s="16"/>
      <c r="IX23" s="16"/>
      <c r="IY23" s="16"/>
      <c r="IZ23" s="16"/>
      <c r="JA23" s="16"/>
      <c r="JB23" s="16"/>
      <c r="JC23" s="16"/>
      <c r="JD23" s="16"/>
      <c r="JE23" s="16"/>
      <c r="JF23" s="16"/>
      <c r="JG23" s="16"/>
      <c r="JH23" s="16"/>
      <c r="JI23" s="16"/>
      <c r="JJ23" s="16"/>
      <c r="JK23" s="16"/>
      <c r="JL23" s="16"/>
      <c r="JM23" s="16"/>
      <c r="JN23" s="16"/>
      <c r="JO23" s="16"/>
      <c r="JP23" s="16"/>
      <c r="JQ23" s="16"/>
      <c r="JR23" s="16"/>
      <c r="JS23" s="16"/>
      <c r="JT23" s="16"/>
      <c r="JU23" s="16"/>
      <c r="JV23" s="16"/>
      <c r="JW23" s="16"/>
      <c r="JX23" s="16"/>
      <c r="JY23" s="16"/>
      <c r="JZ23" s="16"/>
      <c r="KA23" s="16"/>
      <c r="KB23" s="16"/>
      <c r="KC23" s="16"/>
      <c r="KD23" s="16"/>
      <c r="KE23" s="16"/>
      <c r="KF23" s="16"/>
      <c r="KG23" s="16"/>
      <c r="KH23" s="16"/>
      <c r="KI23" s="16"/>
      <c r="KJ23" s="16"/>
      <c r="KK23" s="16"/>
      <c r="KL23" s="16"/>
      <c r="KM23" s="16"/>
      <c r="KN23" s="16"/>
      <c r="KO23" s="16"/>
      <c r="KP23" s="16"/>
      <c r="KQ23" s="16"/>
      <c r="KR23" s="16"/>
      <c r="KS23" s="16"/>
      <c r="KT23" s="16"/>
    </row>
    <row r="24" spans="1:306" s="3" customFormat="1" ht="86.25" customHeight="1" x14ac:dyDescent="0.25">
      <c r="A24" s="150"/>
      <c r="B24" s="150"/>
      <c r="C24" s="150"/>
      <c r="D24" s="150"/>
      <c r="E24" s="150"/>
      <c r="F24" s="188"/>
      <c r="G24" s="469" t="s">
        <v>856</v>
      </c>
      <c r="H24" s="469" t="s">
        <v>857</v>
      </c>
      <c r="I24" s="469" t="s">
        <v>891</v>
      </c>
      <c r="J24" s="252"/>
      <c r="K24" s="150"/>
      <c r="L24" s="150"/>
      <c r="M24" s="694"/>
      <c r="N24" s="169"/>
      <c r="O24" s="849"/>
      <c r="P24" s="850"/>
      <c r="Q24" s="516"/>
      <c r="R24" s="516"/>
      <c r="S24" s="516"/>
      <c r="T24" s="678" t="s">
        <v>892</v>
      </c>
      <c r="U24" s="678" t="s">
        <v>893</v>
      </c>
      <c r="V24" s="97" t="s">
        <v>50</v>
      </c>
      <c r="W24" s="97">
        <v>0</v>
      </c>
      <c r="X24" s="97">
        <v>350</v>
      </c>
      <c r="Y24" s="728"/>
      <c r="Z24" s="680"/>
      <c r="AA24" s="602"/>
      <c r="AB24" s="138"/>
      <c r="AC24" s="872"/>
      <c r="AD24" s="873"/>
      <c r="AE24" s="191"/>
      <c r="AF24" s="297">
        <v>0</v>
      </c>
      <c r="AG24" s="297">
        <v>350</v>
      </c>
      <c r="AH24" s="682">
        <f>+AF24/AG24</f>
        <v>0</v>
      </c>
      <c r="AI24" s="297" t="s">
        <v>894</v>
      </c>
      <c r="AJ24" s="874"/>
      <c r="AK24" s="875"/>
      <c r="AL24" s="875"/>
      <c r="AM24" s="876"/>
      <c r="AN24" s="685">
        <v>0</v>
      </c>
      <c r="AO24" s="685">
        <v>350</v>
      </c>
      <c r="AP24" s="682">
        <f>+AN24/AO24</f>
        <v>0</v>
      </c>
      <c r="AQ24" s="814" t="s">
        <v>895</v>
      </c>
      <c r="AR24" s="735"/>
      <c r="AS24" s="735"/>
      <c r="AT24" s="856"/>
      <c r="AU24" s="735"/>
      <c r="AV24" s="689" t="s">
        <v>896</v>
      </c>
      <c r="AW24" s="689">
        <v>350</v>
      </c>
      <c r="AX24" s="857" t="s">
        <v>896</v>
      </c>
      <c r="AY24" s="719" t="s">
        <v>897</v>
      </c>
      <c r="AZ24" s="735"/>
      <c r="BA24" s="735"/>
      <c r="BB24" s="856"/>
      <c r="BC24" s="791"/>
      <c r="BD24" s="715">
        <v>0</v>
      </c>
      <c r="BE24" s="715">
        <v>350</v>
      </c>
      <c r="BF24" s="840">
        <v>0</v>
      </c>
      <c r="BG24" s="869" t="s">
        <v>898</v>
      </c>
      <c r="BH24" s="735"/>
      <c r="BI24" s="735"/>
      <c r="BJ24" s="856"/>
      <c r="BK24" s="791"/>
      <c r="BL24" s="715">
        <v>0</v>
      </c>
      <c r="BM24" s="715">
        <v>350</v>
      </c>
      <c r="BN24" s="840">
        <v>0</v>
      </c>
      <c r="BO24" s="869" t="s">
        <v>899</v>
      </c>
      <c r="BP24" s="735"/>
      <c r="BQ24" s="735"/>
      <c r="BR24" s="856"/>
      <c r="BS24" s="791"/>
      <c r="BT24" s="715">
        <v>0</v>
      </c>
      <c r="BU24" s="715">
        <v>0</v>
      </c>
      <c r="BV24" s="840">
        <v>0</v>
      </c>
      <c r="BW24" s="877" t="s">
        <v>900</v>
      </c>
      <c r="BX24" s="735"/>
      <c r="BY24" s="735"/>
      <c r="BZ24" s="856"/>
      <c r="CA24" s="791"/>
      <c r="CB24" s="97">
        <v>0</v>
      </c>
      <c r="CC24" s="97">
        <v>350</v>
      </c>
      <c r="CD24" s="22">
        <v>0</v>
      </c>
      <c r="CE24" s="869" t="s">
        <v>901</v>
      </c>
      <c r="CF24" s="878"/>
      <c r="CG24" s="878"/>
      <c r="CH24" s="879"/>
      <c r="CI24" s="880"/>
      <c r="CJ24" s="715">
        <v>0</v>
      </c>
      <c r="CK24" s="715">
        <v>350</v>
      </c>
      <c r="CL24" s="840">
        <v>0</v>
      </c>
      <c r="CM24" s="869" t="s">
        <v>902</v>
      </c>
      <c r="CN24" s="878"/>
      <c r="CO24" s="878"/>
      <c r="CP24" s="879"/>
      <c r="CQ24" s="880"/>
      <c r="CR24" s="97">
        <v>0</v>
      </c>
      <c r="CS24" s="715">
        <v>350</v>
      </c>
      <c r="CT24" s="840">
        <v>0</v>
      </c>
      <c r="CU24" s="869" t="s">
        <v>902</v>
      </c>
      <c r="CV24" s="16"/>
      <c r="CW24" s="16"/>
      <c r="CX24" s="16"/>
      <c r="CY24" s="16"/>
      <c r="CZ24" s="16"/>
      <c r="DA24" s="16"/>
      <c r="DB24" s="16"/>
      <c r="DC24" s="16"/>
      <c r="DD24" s="16"/>
      <c r="DE24" s="16"/>
      <c r="DF24" s="16"/>
      <c r="DG24" s="16"/>
      <c r="DH24" s="16"/>
      <c r="DI24" s="16"/>
      <c r="DJ24" s="16"/>
      <c r="DK24" s="16"/>
      <c r="DL24" s="16"/>
      <c r="DM24" s="16"/>
      <c r="DN24" s="16"/>
      <c r="DO24" s="16"/>
      <c r="DP24" s="16"/>
      <c r="DQ24" s="16"/>
      <c r="DR24" s="16"/>
      <c r="DS24" s="16"/>
      <c r="DT24" s="16"/>
      <c r="DU24" s="16"/>
      <c r="DV24" s="16"/>
      <c r="DW24" s="16"/>
      <c r="DX24" s="16"/>
      <c r="DY24" s="16"/>
      <c r="DZ24" s="16"/>
      <c r="EA24" s="16"/>
      <c r="EB24" s="16"/>
      <c r="EC24" s="16"/>
      <c r="ED24" s="16"/>
      <c r="EE24" s="16"/>
      <c r="EF24" s="16"/>
      <c r="EG24" s="16"/>
      <c r="EH24" s="16"/>
      <c r="EI24" s="16"/>
      <c r="EJ24" s="16"/>
      <c r="EK24" s="16"/>
      <c r="EL24" s="16"/>
      <c r="EM24" s="16"/>
      <c r="EN24" s="16"/>
      <c r="EO24" s="16"/>
      <c r="EP24" s="16"/>
      <c r="EQ24" s="16"/>
      <c r="ER24" s="16"/>
      <c r="ES24" s="16"/>
      <c r="ET24" s="16"/>
      <c r="EU24" s="16"/>
      <c r="EV24" s="16"/>
      <c r="EW24" s="16"/>
      <c r="EX24" s="16"/>
      <c r="EY24" s="16"/>
      <c r="EZ24" s="16"/>
      <c r="FA24" s="16"/>
      <c r="FB24" s="16"/>
      <c r="FC24" s="16"/>
      <c r="FD24" s="16"/>
      <c r="FE24" s="16"/>
      <c r="FF24" s="16"/>
      <c r="FG24" s="16"/>
      <c r="FH24" s="16"/>
      <c r="FI24" s="16"/>
      <c r="FJ24" s="16"/>
      <c r="FK24" s="16"/>
      <c r="FL24" s="16"/>
      <c r="FM24" s="16"/>
      <c r="FN24" s="16"/>
      <c r="FO24" s="16"/>
      <c r="FP24" s="16"/>
      <c r="FQ24" s="16"/>
      <c r="FR24" s="16"/>
      <c r="FS24" s="16"/>
      <c r="FT24" s="16"/>
      <c r="FU24" s="16"/>
      <c r="FV24" s="16"/>
      <c r="FW24" s="16"/>
      <c r="FX24" s="16"/>
      <c r="FY24" s="16"/>
      <c r="FZ24" s="16"/>
      <c r="GA24" s="16"/>
      <c r="GB24" s="16"/>
      <c r="GC24" s="16"/>
      <c r="GD24" s="16"/>
      <c r="GE24" s="16"/>
      <c r="GF24" s="16"/>
      <c r="GG24" s="16"/>
      <c r="GH24" s="16"/>
      <c r="GI24" s="16"/>
      <c r="GJ24" s="16"/>
      <c r="GK24" s="16"/>
      <c r="GL24" s="16"/>
      <c r="GM24" s="16"/>
      <c r="GN24" s="16"/>
      <c r="GO24" s="16"/>
      <c r="GP24" s="16"/>
      <c r="GQ24" s="16"/>
      <c r="GR24" s="16"/>
      <c r="GS24" s="16"/>
      <c r="GT24" s="16"/>
      <c r="GU24" s="16"/>
      <c r="GV24" s="16"/>
      <c r="GW24" s="16"/>
      <c r="GX24" s="16"/>
      <c r="GY24" s="16"/>
      <c r="GZ24" s="16"/>
      <c r="HA24" s="16"/>
      <c r="HB24" s="16"/>
      <c r="HC24" s="16"/>
      <c r="HD24" s="16"/>
      <c r="HE24" s="16"/>
      <c r="HF24" s="16"/>
      <c r="HG24" s="16"/>
      <c r="HH24" s="16"/>
      <c r="HI24" s="16"/>
      <c r="HJ24" s="16"/>
      <c r="HK24" s="16"/>
      <c r="HL24" s="16"/>
      <c r="HM24" s="16"/>
      <c r="HN24" s="16"/>
      <c r="HO24" s="16"/>
      <c r="HP24" s="16"/>
      <c r="HQ24" s="16"/>
      <c r="HR24" s="16"/>
      <c r="HS24" s="16"/>
      <c r="HT24" s="16"/>
      <c r="HU24" s="16"/>
      <c r="HV24" s="16"/>
      <c r="HW24" s="16"/>
      <c r="HX24" s="16"/>
      <c r="HY24" s="16"/>
      <c r="HZ24" s="16"/>
      <c r="IA24" s="16"/>
      <c r="IB24" s="16"/>
      <c r="IC24" s="16"/>
      <c r="ID24" s="16"/>
      <c r="IE24" s="16"/>
      <c r="IF24" s="16"/>
      <c r="IG24" s="16"/>
      <c r="IH24" s="16"/>
      <c r="II24" s="16"/>
      <c r="IJ24" s="16"/>
      <c r="IK24" s="16"/>
      <c r="IL24" s="16"/>
      <c r="IM24" s="16"/>
      <c r="IN24" s="16"/>
      <c r="IO24" s="16"/>
      <c r="IP24" s="16"/>
      <c r="IQ24" s="16"/>
      <c r="IR24" s="16"/>
      <c r="IS24" s="16"/>
      <c r="IT24" s="16"/>
      <c r="IU24" s="16"/>
      <c r="IV24" s="16"/>
      <c r="IW24" s="16"/>
      <c r="IX24" s="16"/>
      <c r="IY24" s="16"/>
      <c r="IZ24" s="16"/>
      <c r="JA24" s="16"/>
      <c r="JB24" s="16"/>
      <c r="JC24" s="16"/>
      <c r="JD24" s="16"/>
      <c r="JE24" s="16"/>
      <c r="JF24" s="16"/>
      <c r="JG24" s="16"/>
      <c r="JH24" s="16"/>
      <c r="JI24" s="16"/>
      <c r="JJ24" s="16"/>
      <c r="JK24" s="16"/>
      <c r="JL24" s="16"/>
      <c r="JM24" s="16"/>
      <c r="JN24" s="16"/>
      <c r="JO24" s="16"/>
      <c r="JP24" s="16"/>
      <c r="JQ24" s="16"/>
      <c r="JR24" s="16"/>
      <c r="JS24" s="16"/>
      <c r="JT24" s="16"/>
      <c r="JU24" s="16"/>
      <c r="JV24" s="16"/>
      <c r="JW24" s="16"/>
      <c r="JX24" s="16"/>
      <c r="JY24" s="16"/>
      <c r="JZ24" s="16"/>
      <c r="KA24" s="16"/>
      <c r="KB24" s="16"/>
      <c r="KC24" s="16"/>
      <c r="KD24" s="16"/>
      <c r="KE24" s="16"/>
      <c r="KF24" s="16"/>
      <c r="KG24" s="16"/>
      <c r="KH24" s="16"/>
      <c r="KI24" s="16"/>
      <c r="KJ24" s="16"/>
      <c r="KK24" s="16"/>
      <c r="KL24" s="16"/>
      <c r="KM24" s="16"/>
      <c r="KN24" s="16"/>
      <c r="KO24" s="16"/>
      <c r="KP24" s="16"/>
      <c r="KQ24" s="16"/>
      <c r="KR24" s="16"/>
      <c r="KS24" s="16"/>
      <c r="KT24" s="16"/>
    </row>
    <row r="25" spans="1:306" s="4" customFormat="1" ht="72" x14ac:dyDescent="0.25">
      <c r="A25" s="190" t="s">
        <v>98</v>
      </c>
      <c r="B25" s="190" t="s">
        <v>100</v>
      </c>
      <c r="C25" s="190" t="s">
        <v>99</v>
      </c>
      <c r="D25" s="190" t="s">
        <v>903</v>
      </c>
      <c r="E25" s="201" t="s">
        <v>695</v>
      </c>
      <c r="F25" s="192" t="s">
        <v>696</v>
      </c>
      <c r="G25" s="326" t="s">
        <v>335</v>
      </c>
      <c r="H25" s="408" t="s">
        <v>336</v>
      </c>
      <c r="I25" s="408" t="s">
        <v>345</v>
      </c>
      <c r="J25" s="252"/>
      <c r="K25" s="190" t="s">
        <v>698</v>
      </c>
      <c r="L25" s="190" t="s">
        <v>904</v>
      </c>
      <c r="M25" s="694"/>
      <c r="N25" s="169" t="s">
        <v>905</v>
      </c>
      <c r="O25" s="881" t="s">
        <v>906</v>
      </c>
      <c r="P25" s="881" t="s">
        <v>907</v>
      </c>
      <c r="Q25" s="882" t="s">
        <v>51</v>
      </c>
      <c r="R25" s="882">
        <v>0</v>
      </c>
      <c r="S25" s="882">
        <v>100</v>
      </c>
      <c r="T25" s="698" t="s">
        <v>908</v>
      </c>
      <c r="U25" s="30" t="s">
        <v>909</v>
      </c>
      <c r="V25" s="99" t="s">
        <v>51</v>
      </c>
      <c r="W25" s="99">
        <v>0</v>
      </c>
      <c r="X25" s="99">
        <v>100</v>
      </c>
      <c r="Y25" s="679">
        <v>12291503589</v>
      </c>
      <c r="Z25" s="680"/>
      <c r="AA25" s="602"/>
      <c r="AB25" s="708"/>
      <c r="AC25" s="883"/>
      <c r="AD25" s="701"/>
      <c r="AE25" s="8"/>
      <c r="AF25" s="6">
        <v>16.600000000000001</v>
      </c>
      <c r="AG25" s="305">
        <v>100</v>
      </c>
      <c r="AH25" s="321">
        <v>0.16600000000000001</v>
      </c>
      <c r="AI25" s="8" t="s">
        <v>910</v>
      </c>
      <c r="AJ25" s="884"/>
      <c r="AK25" s="884"/>
      <c r="AL25" s="701"/>
      <c r="AM25" s="553"/>
      <c r="AN25" s="475">
        <v>6</v>
      </c>
      <c r="AO25" s="729">
        <v>6</v>
      </c>
      <c r="AP25" s="682">
        <f>+AN25/AO25</f>
        <v>1</v>
      </c>
      <c r="AQ25" s="518" t="s">
        <v>911</v>
      </c>
      <c r="AR25" s="865"/>
      <c r="AS25" s="865"/>
      <c r="AT25" s="706"/>
      <c r="AU25" s="504"/>
      <c r="AV25" s="99">
        <v>10</v>
      </c>
      <c r="AW25" s="99">
        <v>10</v>
      </c>
      <c r="AX25" s="21">
        <f>AW25/AV25</f>
        <v>1</v>
      </c>
      <c r="AY25" s="30" t="s">
        <v>912</v>
      </c>
      <c r="AZ25" s="727">
        <v>0</v>
      </c>
      <c r="BA25" s="727">
        <v>1</v>
      </c>
      <c r="BB25" s="52">
        <v>0</v>
      </c>
      <c r="BC25" s="504" t="s">
        <v>913</v>
      </c>
      <c r="BD25" s="99">
        <v>8</v>
      </c>
      <c r="BE25" s="99">
        <v>8</v>
      </c>
      <c r="BF25" s="21">
        <f>BE25/BD25</f>
        <v>1</v>
      </c>
      <c r="BG25" s="30" t="s">
        <v>912</v>
      </c>
      <c r="BH25" s="727">
        <v>0</v>
      </c>
      <c r="BI25" s="727">
        <v>1</v>
      </c>
      <c r="BJ25" s="52">
        <v>0</v>
      </c>
      <c r="BK25" s="504" t="s">
        <v>913</v>
      </c>
      <c r="BL25" s="868"/>
      <c r="BM25" s="99"/>
      <c r="BN25" s="21"/>
      <c r="BO25" s="30"/>
      <c r="BP25" s="884"/>
      <c r="BQ25" s="884"/>
      <c r="BR25" s="701"/>
      <c r="BS25" s="553"/>
      <c r="BT25" s="6">
        <v>1</v>
      </c>
      <c r="BU25" s="6">
        <v>22</v>
      </c>
      <c r="BV25" s="311">
        <f>BT25/BU25</f>
        <v>4.5454545454545456E-2</v>
      </c>
      <c r="BW25" s="8" t="s">
        <v>914</v>
      </c>
      <c r="BX25" s="884"/>
      <c r="BY25" s="884"/>
      <c r="BZ25" s="701"/>
      <c r="CA25" s="553"/>
      <c r="CB25" s="297" t="s">
        <v>505</v>
      </c>
      <c r="CC25" s="297" t="s">
        <v>505</v>
      </c>
      <c r="CD25" s="297" t="s">
        <v>505</v>
      </c>
      <c r="CE25" s="297" t="s">
        <v>505</v>
      </c>
      <c r="CF25" s="884"/>
      <c r="CG25" s="884"/>
      <c r="CH25" s="701"/>
      <c r="CI25" s="553"/>
      <c r="CJ25" s="297" t="s">
        <v>505</v>
      </c>
      <c r="CK25" s="297" t="s">
        <v>505</v>
      </c>
      <c r="CL25" s="297" t="s">
        <v>505</v>
      </c>
      <c r="CM25" s="297" t="s">
        <v>505</v>
      </c>
      <c r="CN25" s="595">
        <v>0.93</v>
      </c>
      <c r="CO25" s="297">
        <v>100</v>
      </c>
      <c r="CP25" s="595">
        <v>0.93</v>
      </c>
      <c r="CQ25" s="297" t="s">
        <v>915</v>
      </c>
      <c r="CR25" s="595"/>
      <c r="CS25" s="297"/>
      <c r="CT25" s="595"/>
      <c r="CU25" s="297"/>
      <c r="CV25" s="16"/>
      <c r="CW25" s="16"/>
      <c r="CX25" s="885"/>
      <c r="CY25" s="16"/>
      <c r="CZ25" s="16"/>
      <c r="DA25" s="311">
        <v>1</v>
      </c>
      <c r="DB25" s="713">
        <f>+DA25</f>
        <v>1</v>
      </c>
      <c r="DC25" s="16"/>
      <c r="DD25" s="16"/>
      <c r="DE25" s="16"/>
      <c r="DF25" s="16"/>
      <c r="DG25" s="16"/>
      <c r="DH25" s="16"/>
      <c r="DI25" s="16"/>
      <c r="DJ25" s="16"/>
      <c r="DK25" s="16"/>
      <c r="DL25" s="16"/>
      <c r="DM25" s="16"/>
      <c r="DN25" s="16"/>
      <c r="DO25" s="16"/>
      <c r="DP25" s="16"/>
      <c r="DQ25" s="16"/>
      <c r="DR25" s="16"/>
      <c r="DS25" s="16"/>
      <c r="DT25" s="16"/>
      <c r="DU25" s="16"/>
      <c r="DV25" s="16"/>
      <c r="DW25" s="16"/>
      <c r="DX25" s="16"/>
      <c r="DY25" s="16"/>
      <c r="DZ25" s="16"/>
      <c r="EA25" s="16"/>
      <c r="EB25" s="16"/>
      <c r="EC25" s="16"/>
      <c r="ED25" s="16"/>
      <c r="EE25" s="16"/>
      <c r="EF25" s="16"/>
      <c r="EG25" s="16"/>
      <c r="EH25" s="16"/>
      <c r="EI25" s="16"/>
      <c r="EJ25" s="16"/>
      <c r="EK25" s="16"/>
      <c r="EL25" s="16"/>
      <c r="EM25" s="16"/>
      <c r="EN25" s="16"/>
      <c r="EO25" s="16"/>
      <c r="EP25" s="16"/>
      <c r="EQ25" s="16"/>
      <c r="ER25" s="16"/>
      <c r="ES25" s="16"/>
      <c r="ET25" s="16"/>
      <c r="EU25" s="16"/>
      <c r="EV25" s="16"/>
      <c r="EW25" s="16"/>
      <c r="EX25" s="16"/>
      <c r="EY25" s="16"/>
      <c r="EZ25" s="16"/>
      <c r="FA25" s="16"/>
      <c r="FB25" s="16"/>
      <c r="FC25" s="16"/>
      <c r="FD25" s="16"/>
      <c r="FE25" s="16"/>
      <c r="FF25" s="16"/>
      <c r="FG25" s="16"/>
      <c r="FH25" s="16"/>
      <c r="FI25" s="16"/>
      <c r="FJ25" s="16"/>
      <c r="FK25" s="16"/>
      <c r="FL25" s="16"/>
      <c r="FM25" s="16"/>
      <c r="FN25" s="16"/>
      <c r="FO25" s="16"/>
      <c r="FP25" s="16"/>
      <c r="FQ25" s="16"/>
      <c r="FR25" s="16"/>
      <c r="FS25" s="16"/>
      <c r="FT25" s="16"/>
      <c r="FU25" s="16"/>
      <c r="FV25" s="16"/>
      <c r="FW25" s="16"/>
      <c r="FX25" s="16"/>
      <c r="FY25" s="16"/>
      <c r="FZ25" s="16"/>
      <c r="GA25" s="16"/>
      <c r="GB25" s="16"/>
      <c r="GC25" s="16"/>
      <c r="GD25" s="16"/>
      <c r="GE25" s="16"/>
      <c r="GF25" s="16"/>
      <c r="GG25" s="16"/>
      <c r="GH25" s="16"/>
      <c r="GI25" s="16"/>
      <c r="GJ25" s="16"/>
      <c r="GK25" s="16"/>
      <c r="GL25" s="16"/>
      <c r="GM25" s="16"/>
      <c r="GN25" s="16"/>
      <c r="GO25" s="16"/>
      <c r="GP25" s="16"/>
      <c r="GQ25" s="16"/>
      <c r="GR25" s="16"/>
      <c r="GS25" s="16"/>
      <c r="GT25" s="16"/>
      <c r="GU25" s="16"/>
      <c r="GV25" s="16"/>
      <c r="GW25" s="16"/>
      <c r="GX25" s="16"/>
      <c r="GY25" s="16"/>
      <c r="GZ25" s="16"/>
      <c r="HA25" s="16"/>
      <c r="HB25" s="16"/>
      <c r="HC25" s="16"/>
      <c r="HD25" s="16"/>
      <c r="HE25" s="16"/>
      <c r="HF25" s="16"/>
      <c r="HG25" s="16"/>
      <c r="HH25" s="16"/>
      <c r="HI25" s="16"/>
      <c r="HJ25" s="16"/>
      <c r="HK25" s="16"/>
      <c r="HL25" s="16"/>
      <c r="HM25" s="16"/>
      <c r="HN25" s="16"/>
      <c r="HO25" s="16"/>
      <c r="HP25" s="16"/>
      <c r="HQ25" s="16"/>
      <c r="HR25" s="16"/>
      <c r="HS25" s="16"/>
      <c r="HT25" s="16"/>
      <c r="HU25" s="16"/>
      <c r="HV25" s="16"/>
      <c r="HW25" s="16"/>
      <c r="HX25" s="16"/>
      <c r="HY25" s="16"/>
      <c r="HZ25" s="16"/>
      <c r="IA25" s="16"/>
      <c r="IB25" s="16"/>
      <c r="IC25" s="16"/>
      <c r="ID25" s="16"/>
      <c r="IE25" s="16"/>
      <c r="IF25" s="16"/>
      <c r="IG25" s="16"/>
      <c r="IH25" s="16"/>
      <c r="II25" s="16"/>
      <c r="IJ25" s="16"/>
      <c r="IK25" s="16"/>
      <c r="IL25" s="16"/>
      <c r="IM25" s="16"/>
      <c r="IN25" s="16"/>
      <c r="IO25" s="16"/>
      <c r="IP25" s="16"/>
      <c r="IQ25" s="16"/>
      <c r="IR25" s="16"/>
      <c r="IS25" s="16"/>
      <c r="IT25" s="16"/>
      <c r="IU25" s="16"/>
      <c r="IV25" s="16"/>
      <c r="IW25" s="16"/>
      <c r="IX25" s="16"/>
      <c r="IY25" s="16"/>
      <c r="IZ25" s="16"/>
      <c r="JA25" s="16"/>
      <c r="JB25" s="16"/>
      <c r="JC25" s="16"/>
      <c r="JD25" s="16"/>
      <c r="JE25" s="16"/>
      <c r="JF25" s="16"/>
      <c r="JG25" s="16"/>
      <c r="JH25" s="16"/>
      <c r="JI25" s="16"/>
      <c r="JJ25" s="16"/>
      <c r="JK25" s="16"/>
      <c r="JL25" s="16"/>
      <c r="JM25" s="16"/>
      <c r="JN25" s="16"/>
      <c r="JO25" s="16"/>
      <c r="JP25" s="16"/>
      <c r="JQ25" s="16"/>
      <c r="JR25" s="16"/>
      <c r="JS25" s="16"/>
      <c r="JT25" s="16"/>
      <c r="JU25" s="16"/>
      <c r="JV25" s="16"/>
      <c r="JW25" s="16"/>
      <c r="JX25" s="16"/>
      <c r="JY25" s="16"/>
      <c r="JZ25" s="16"/>
      <c r="KA25" s="16"/>
      <c r="KB25" s="16"/>
      <c r="KC25" s="16"/>
      <c r="KD25" s="16"/>
      <c r="KE25" s="16"/>
      <c r="KF25" s="16"/>
      <c r="KG25" s="16"/>
      <c r="KH25" s="16"/>
      <c r="KI25" s="16"/>
      <c r="KJ25" s="16"/>
      <c r="KK25" s="16"/>
      <c r="KL25" s="16"/>
      <c r="KM25" s="16"/>
      <c r="KN25" s="16"/>
      <c r="KO25" s="16"/>
      <c r="KP25" s="16"/>
      <c r="KQ25" s="16"/>
      <c r="KR25" s="16"/>
      <c r="KS25" s="16"/>
      <c r="KT25" s="16"/>
    </row>
    <row r="26" spans="1:306" s="3" customFormat="1" ht="96" x14ac:dyDescent="0.25">
      <c r="A26" s="191"/>
      <c r="B26" s="191"/>
      <c r="C26" s="191"/>
      <c r="D26" s="191"/>
      <c r="E26" s="202"/>
      <c r="F26" s="193"/>
      <c r="G26" s="326" t="s">
        <v>335</v>
      </c>
      <c r="H26" s="408" t="s">
        <v>336</v>
      </c>
      <c r="I26" s="408" t="s">
        <v>345</v>
      </c>
      <c r="J26" s="252"/>
      <c r="K26" s="191"/>
      <c r="L26" s="191"/>
      <c r="M26" s="694"/>
      <c r="N26" s="169"/>
      <c r="O26" s="881" t="s">
        <v>916</v>
      </c>
      <c r="P26" s="881" t="s">
        <v>917</v>
      </c>
      <c r="Q26" s="882" t="s">
        <v>51</v>
      </c>
      <c r="R26" s="882">
        <v>0</v>
      </c>
      <c r="S26" s="882">
        <v>100</v>
      </c>
      <c r="T26" s="715"/>
      <c r="U26" s="886"/>
      <c r="V26" s="97"/>
      <c r="W26" s="97"/>
      <c r="X26" s="97"/>
      <c r="Y26" s="699"/>
      <c r="Z26" s="680"/>
      <c r="AA26" s="602"/>
      <c r="AB26" s="595">
        <v>0.99</v>
      </c>
      <c r="AC26" s="297">
        <v>100</v>
      </c>
      <c r="AD26" s="682">
        <v>0.99</v>
      </c>
      <c r="AE26" s="297" t="s">
        <v>918</v>
      </c>
      <c r="AF26" s="595"/>
      <c r="AG26" s="297"/>
      <c r="AH26" s="682"/>
      <c r="AI26" s="297"/>
      <c r="AJ26" s="685">
        <v>132</v>
      </c>
      <c r="AK26" s="685">
        <v>147</v>
      </c>
      <c r="AL26" s="682">
        <f>+AJ26/AK26</f>
        <v>0.89795918367346939</v>
      </c>
      <c r="AM26" s="551" t="s">
        <v>919</v>
      </c>
      <c r="AN26" s="687"/>
      <c r="AO26" s="687"/>
      <c r="AP26" s="687"/>
      <c r="AQ26" s="687"/>
      <c r="AR26" s="887">
        <f>111/114</f>
        <v>0.97368421052631582</v>
      </c>
      <c r="AS26" s="888">
        <v>1</v>
      </c>
      <c r="AT26" s="887">
        <f>111/114</f>
        <v>0.97368421052631582</v>
      </c>
      <c r="AU26" s="719" t="s">
        <v>920</v>
      </c>
      <c r="AV26" s="689"/>
      <c r="AW26" s="689"/>
      <c r="AX26" s="689"/>
      <c r="AY26" s="689"/>
      <c r="AZ26" s="45">
        <v>74</v>
      </c>
      <c r="BA26" s="718">
        <v>1</v>
      </c>
      <c r="BB26" s="46">
        <f>+AZ26/74</f>
        <v>1</v>
      </c>
      <c r="BC26" s="719" t="s">
        <v>921</v>
      </c>
      <c r="BD26" s="689"/>
      <c r="BE26" s="689"/>
      <c r="BF26" s="689"/>
      <c r="BG26" s="689"/>
      <c r="BH26" s="45">
        <v>82</v>
      </c>
      <c r="BI26" s="718">
        <v>1</v>
      </c>
      <c r="BJ26" s="46">
        <v>1</v>
      </c>
      <c r="BK26" s="719" t="s">
        <v>922</v>
      </c>
      <c r="BL26" s="689"/>
      <c r="BM26" s="689"/>
      <c r="BN26" s="689"/>
      <c r="BO26" s="689"/>
      <c r="BP26" s="327">
        <v>55</v>
      </c>
      <c r="BQ26" s="327">
        <v>62</v>
      </c>
      <c r="BR26" s="317">
        <v>0.89</v>
      </c>
      <c r="BS26" s="551" t="s">
        <v>923</v>
      </c>
      <c r="BT26" s="297" t="s">
        <v>505</v>
      </c>
      <c r="BU26" s="297" t="s">
        <v>505</v>
      </c>
      <c r="BV26" s="297" t="s">
        <v>505</v>
      </c>
      <c r="BW26" s="297" t="s">
        <v>505</v>
      </c>
      <c r="BX26" s="327">
        <v>130</v>
      </c>
      <c r="BY26" s="327">
        <v>131</v>
      </c>
      <c r="BZ26" s="317">
        <f>BX26/BY26</f>
        <v>0.99236641221374045</v>
      </c>
      <c r="CA26" s="551" t="s">
        <v>924</v>
      </c>
      <c r="CB26" s="297" t="s">
        <v>505</v>
      </c>
      <c r="CC26" s="297" t="s">
        <v>505</v>
      </c>
      <c r="CD26" s="297" t="s">
        <v>505</v>
      </c>
      <c r="CE26" s="297" t="s">
        <v>505</v>
      </c>
      <c r="CF26" s="327">
        <v>101</v>
      </c>
      <c r="CG26" s="327">
        <v>101</v>
      </c>
      <c r="CH26" s="317">
        <f>CF26/CG26</f>
        <v>1</v>
      </c>
      <c r="CI26" s="551" t="s">
        <v>925</v>
      </c>
      <c r="CJ26" s="297"/>
      <c r="CK26" s="297"/>
      <c r="CL26" s="297"/>
      <c r="CM26" s="297"/>
      <c r="CN26" s="327">
        <v>189</v>
      </c>
      <c r="CO26" s="327">
        <v>192</v>
      </c>
      <c r="CP26" s="317">
        <f>CN26/CO26</f>
        <v>0.984375</v>
      </c>
      <c r="CQ26" s="551" t="s">
        <v>926</v>
      </c>
      <c r="CR26" s="297"/>
      <c r="CS26" s="297"/>
      <c r="CT26" s="297"/>
      <c r="CU26" s="297"/>
      <c r="CV26" s="16"/>
      <c r="CW26" s="16"/>
      <c r="CX26" s="16"/>
      <c r="CY26" s="16"/>
      <c r="CZ26" s="16"/>
      <c r="DA26" s="16"/>
      <c r="DB26" s="16"/>
      <c r="DC26" s="16"/>
      <c r="DD26" s="16"/>
      <c r="DE26" s="16"/>
      <c r="DF26" s="16"/>
      <c r="DG26" s="16"/>
      <c r="DH26" s="16"/>
      <c r="DI26" s="16"/>
      <c r="DJ26" s="16"/>
      <c r="DK26" s="16"/>
      <c r="DL26" s="16"/>
      <c r="DM26" s="16"/>
      <c r="DN26" s="16"/>
      <c r="DO26" s="16"/>
      <c r="DP26" s="16"/>
      <c r="DQ26" s="16"/>
      <c r="DR26" s="16"/>
      <c r="DS26" s="16"/>
      <c r="DT26" s="16"/>
      <c r="DU26" s="16"/>
      <c r="DV26" s="16"/>
      <c r="DW26" s="16"/>
      <c r="DX26" s="16"/>
      <c r="DY26" s="16"/>
      <c r="DZ26" s="16"/>
      <c r="EA26" s="16"/>
      <c r="EB26" s="16"/>
      <c r="EC26" s="16"/>
      <c r="ED26" s="16"/>
      <c r="EE26" s="16"/>
      <c r="EF26" s="16"/>
      <c r="EG26" s="16"/>
      <c r="EH26" s="16"/>
      <c r="EI26" s="16"/>
      <c r="EJ26" s="16"/>
      <c r="EK26" s="16"/>
      <c r="EL26" s="16"/>
      <c r="EM26" s="16"/>
      <c r="EN26" s="16"/>
      <c r="EO26" s="16"/>
      <c r="EP26" s="16"/>
      <c r="EQ26" s="16"/>
      <c r="ER26" s="16"/>
      <c r="ES26" s="16"/>
      <c r="ET26" s="16"/>
      <c r="EU26" s="16"/>
      <c r="EV26" s="16"/>
      <c r="EW26" s="16"/>
      <c r="EX26" s="16"/>
      <c r="EY26" s="16"/>
      <c r="EZ26" s="16"/>
      <c r="FA26" s="16"/>
      <c r="FB26" s="16"/>
      <c r="FC26" s="16"/>
      <c r="FD26" s="16"/>
      <c r="FE26" s="16"/>
      <c r="FF26" s="16"/>
      <c r="FG26" s="16"/>
      <c r="FH26" s="16"/>
      <c r="FI26" s="16"/>
      <c r="FJ26" s="16"/>
      <c r="FK26" s="16"/>
      <c r="FL26" s="16"/>
      <c r="FM26" s="16"/>
      <c r="FN26" s="16"/>
      <c r="FO26" s="16"/>
      <c r="FP26" s="16"/>
      <c r="FQ26" s="16"/>
      <c r="FR26" s="16"/>
      <c r="FS26" s="16"/>
      <c r="FT26" s="16"/>
      <c r="FU26" s="16"/>
      <c r="FV26" s="16"/>
      <c r="FW26" s="16"/>
      <c r="FX26" s="16"/>
      <c r="FY26" s="16"/>
      <c r="FZ26" s="16"/>
      <c r="GA26" s="16"/>
      <c r="GB26" s="16"/>
      <c r="GC26" s="16"/>
      <c r="GD26" s="16"/>
      <c r="GE26" s="16"/>
      <c r="GF26" s="16"/>
      <c r="GG26" s="16"/>
      <c r="GH26" s="16"/>
      <c r="GI26" s="16"/>
      <c r="GJ26" s="16"/>
      <c r="GK26" s="16"/>
      <c r="GL26" s="16"/>
      <c r="GM26" s="16"/>
      <c r="GN26" s="16"/>
      <c r="GO26" s="16"/>
      <c r="GP26" s="16"/>
      <c r="GQ26" s="16"/>
      <c r="GR26" s="16"/>
      <c r="GS26" s="16"/>
      <c r="GT26" s="16"/>
      <c r="GU26" s="16"/>
      <c r="GV26" s="16"/>
      <c r="GW26" s="16"/>
      <c r="GX26" s="16"/>
      <c r="GY26" s="16"/>
      <c r="GZ26" s="16"/>
      <c r="HA26" s="16"/>
      <c r="HB26" s="16"/>
      <c r="HC26" s="16"/>
      <c r="HD26" s="16"/>
      <c r="HE26" s="16"/>
      <c r="HF26" s="16"/>
      <c r="HG26" s="16"/>
      <c r="HH26" s="16"/>
      <c r="HI26" s="16"/>
      <c r="HJ26" s="16"/>
      <c r="HK26" s="16"/>
      <c r="HL26" s="16"/>
      <c r="HM26" s="16"/>
      <c r="HN26" s="16"/>
      <c r="HO26" s="16"/>
      <c r="HP26" s="16"/>
      <c r="HQ26" s="16"/>
      <c r="HR26" s="16"/>
      <c r="HS26" s="16"/>
      <c r="HT26" s="16"/>
      <c r="HU26" s="16"/>
      <c r="HV26" s="16"/>
      <c r="HW26" s="16"/>
      <c r="HX26" s="16"/>
      <c r="HY26" s="16"/>
      <c r="HZ26" s="16"/>
      <c r="IA26" s="16"/>
      <c r="IB26" s="16"/>
      <c r="IC26" s="16"/>
      <c r="ID26" s="16"/>
      <c r="IE26" s="16"/>
      <c r="IF26" s="16"/>
      <c r="IG26" s="16"/>
      <c r="IH26" s="16"/>
      <c r="II26" s="16"/>
      <c r="IJ26" s="16"/>
      <c r="IK26" s="16"/>
      <c r="IL26" s="16"/>
      <c r="IM26" s="16"/>
      <c r="IN26" s="16"/>
      <c r="IO26" s="16"/>
      <c r="IP26" s="16"/>
      <c r="IQ26" s="16"/>
      <c r="IR26" s="16"/>
      <c r="IS26" s="16"/>
      <c r="IT26" s="16"/>
      <c r="IU26" s="16"/>
      <c r="IV26" s="16"/>
      <c r="IW26" s="16"/>
      <c r="IX26" s="16"/>
      <c r="IY26" s="16"/>
      <c r="IZ26" s="16"/>
      <c r="JA26" s="16"/>
      <c r="JB26" s="16"/>
      <c r="JC26" s="16"/>
      <c r="JD26" s="16"/>
      <c r="JE26" s="16"/>
      <c r="JF26" s="16"/>
      <c r="JG26" s="16"/>
      <c r="JH26" s="16"/>
      <c r="JI26" s="16"/>
      <c r="JJ26" s="16"/>
      <c r="JK26" s="16"/>
      <c r="JL26" s="16"/>
      <c r="JM26" s="16"/>
      <c r="JN26" s="16"/>
      <c r="JO26" s="16"/>
      <c r="JP26" s="16"/>
      <c r="JQ26" s="16"/>
      <c r="JR26" s="16"/>
      <c r="JS26" s="16"/>
      <c r="JT26" s="16"/>
      <c r="JU26" s="16"/>
      <c r="JV26" s="16"/>
      <c r="JW26" s="16"/>
      <c r="JX26" s="16"/>
      <c r="JY26" s="16"/>
      <c r="JZ26" s="16"/>
      <c r="KA26" s="16"/>
      <c r="KB26" s="16"/>
      <c r="KC26" s="16"/>
      <c r="KD26" s="16"/>
      <c r="KE26" s="16"/>
      <c r="KF26" s="16"/>
      <c r="KG26" s="16"/>
      <c r="KH26" s="16"/>
      <c r="KI26" s="16"/>
      <c r="KJ26" s="16"/>
      <c r="KK26" s="16"/>
      <c r="KL26" s="16"/>
      <c r="KM26" s="16"/>
      <c r="KN26" s="16"/>
      <c r="KO26" s="16"/>
      <c r="KP26" s="16"/>
      <c r="KQ26" s="16"/>
      <c r="KR26" s="16"/>
      <c r="KS26" s="16"/>
      <c r="KT26" s="16"/>
    </row>
    <row r="27" spans="1:306" s="4" customFormat="1" ht="168" customHeight="1" x14ac:dyDescent="0.25">
      <c r="A27" s="149" t="s">
        <v>98</v>
      </c>
      <c r="B27" s="149" t="s">
        <v>100</v>
      </c>
      <c r="C27" s="149" t="s">
        <v>99</v>
      </c>
      <c r="D27" s="186" t="s">
        <v>927</v>
      </c>
      <c r="E27" s="186" t="s">
        <v>695</v>
      </c>
      <c r="F27" s="141" t="s">
        <v>696</v>
      </c>
      <c r="G27" s="455" t="s">
        <v>928</v>
      </c>
      <c r="H27" s="455" t="s">
        <v>929</v>
      </c>
      <c r="I27" s="455" t="s">
        <v>930</v>
      </c>
      <c r="J27" s="252"/>
      <c r="K27" s="179" t="s">
        <v>698</v>
      </c>
      <c r="L27" s="179" t="s">
        <v>931</v>
      </c>
      <c r="M27" s="694"/>
      <c r="N27" s="170" t="s">
        <v>932</v>
      </c>
      <c r="O27" s="889" t="s">
        <v>933</v>
      </c>
      <c r="P27" s="889" t="s">
        <v>934</v>
      </c>
      <c r="Q27" s="516" t="s">
        <v>51</v>
      </c>
      <c r="R27" s="516">
        <v>0</v>
      </c>
      <c r="S27" s="516">
        <v>100</v>
      </c>
      <c r="T27" s="698" t="s">
        <v>935</v>
      </c>
      <c r="U27" s="30" t="s">
        <v>936</v>
      </c>
      <c r="V27" s="99" t="s">
        <v>51</v>
      </c>
      <c r="W27" s="99">
        <v>0</v>
      </c>
      <c r="X27" s="99">
        <v>100</v>
      </c>
      <c r="Y27" s="716">
        <v>1065811583</v>
      </c>
      <c r="Z27" s="680"/>
      <c r="AA27" s="602"/>
      <c r="AB27" s="170">
        <v>0</v>
      </c>
      <c r="AC27" s="890">
        <v>60</v>
      </c>
      <c r="AD27" s="891"/>
      <c r="AE27" s="305"/>
      <c r="AF27" s="6">
        <v>8.9</v>
      </c>
      <c r="AG27" s="305">
        <v>100</v>
      </c>
      <c r="AH27" s="321">
        <f>AF27/AG27</f>
        <v>8.900000000000001E-2</v>
      </c>
      <c r="AI27" s="8" t="s">
        <v>937</v>
      </c>
      <c r="AJ27" s="892"/>
      <c r="AK27" s="892"/>
      <c r="AL27" s="891"/>
      <c r="AM27" s="729"/>
      <c r="AN27" s="893">
        <v>0</v>
      </c>
      <c r="AO27" s="894">
        <v>1</v>
      </c>
      <c r="AP27" s="321">
        <v>0.09</v>
      </c>
      <c r="AQ27" s="518" t="s">
        <v>938</v>
      </c>
      <c r="AR27" s="895"/>
      <c r="AS27" s="895"/>
      <c r="AT27" s="896"/>
      <c r="AU27" s="865"/>
      <c r="AV27" s="21">
        <v>4.4444444444444446E-2</v>
      </c>
      <c r="AW27" s="897">
        <v>1</v>
      </c>
      <c r="AX27" s="21">
        <v>0.13344444444444445</v>
      </c>
      <c r="AY27" s="30" t="s">
        <v>939</v>
      </c>
      <c r="AZ27" s="502">
        <v>0</v>
      </c>
      <c r="BA27" s="898">
        <v>1</v>
      </c>
      <c r="BB27" s="502">
        <v>0</v>
      </c>
      <c r="BC27" s="899" t="s">
        <v>940</v>
      </c>
      <c r="BD27" s="21">
        <v>0.2</v>
      </c>
      <c r="BE27" s="897">
        <v>1</v>
      </c>
      <c r="BF27" s="21">
        <v>0.33333333333333331</v>
      </c>
      <c r="BG27" s="30" t="s">
        <v>941</v>
      </c>
      <c r="BH27" s="502">
        <v>0</v>
      </c>
      <c r="BI27" s="898">
        <v>1</v>
      </c>
      <c r="BJ27" s="502">
        <v>1</v>
      </c>
      <c r="BK27" s="900" t="s">
        <v>942</v>
      </c>
      <c r="BL27" s="21">
        <v>4.4400000000000002E-2</v>
      </c>
      <c r="BM27" s="897">
        <v>1</v>
      </c>
      <c r="BN27" s="897">
        <f>(BL27/BM27)+BF27</f>
        <v>0.37773333333333331</v>
      </c>
      <c r="BO27" s="30" t="s">
        <v>943</v>
      </c>
      <c r="BP27" s="457">
        <v>0.87029999999999996</v>
      </c>
      <c r="BQ27" s="320">
        <v>1</v>
      </c>
      <c r="BR27" s="457">
        <v>0.87029999999999996</v>
      </c>
      <c r="BS27" s="901" t="s">
        <v>944</v>
      </c>
      <c r="BT27" s="311">
        <v>0.2</v>
      </c>
      <c r="BU27" s="712">
        <v>1</v>
      </c>
      <c r="BV27" s="500">
        <f>(BT27/BU27)+BN27</f>
        <v>0.57773333333333332</v>
      </c>
      <c r="BW27" s="8" t="s">
        <v>945</v>
      </c>
      <c r="BX27" s="457">
        <v>0.87029999999999996</v>
      </c>
      <c r="BY27" s="320">
        <v>1</v>
      </c>
      <c r="BZ27" s="457">
        <v>0.87029999999999996</v>
      </c>
      <c r="CA27" s="901" t="s">
        <v>944</v>
      </c>
      <c r="CB27" s="500">
        <v>8.8888888888888906E-2</v>
      </c>
      <c r="CC27" s="712">
        <v>1</v>
      </c>
      <c r="CD27" s="311">
        <f>(CB27/CC27)+BV27</f>
        <v>0.66662222222222223</v>
      </c>
      <c r="CE27" s="8" t="s">
        <v>946</v>
      </c>
      <c r="CF27" s="463">
        <v>0.87029999999999996</v>
      </c>
      <c r="CG27" s="902">
        <v>1</v>
      </c>
      <c r="CH27" s="463">
        <v>0.87029999999999996</v>
      </c>
      <c r="CI27" s="903" t="s">
        <v>947</v>
      </c>
      <c r="CJ27" s="757">
        <v>0</v>
      </c>
      <c r="CK27" s="894">
        <v>1</v>
      </c>
      <c r="CL27" s="321">
        <f>(CJ27/CK27)+CD27</f>
        <v>0.66662222222222223</v>
      </c>
      <c r="CM27" s="553" t="s">
        <v>948</v>
      </c>
      <c r="CN27" s="457">
        <v>0.87029999999999996</v>
      </c>
      <c r="CO27" s="320">
        <v>1</v>
      </c>
      <c r="CP27" s="457">
        <v>0.87029999999999996</v>
      </c>
      <c r="CQ27" s="901" t="s">
        <v>944</v>
      </c>
      <c r="CR27" s="500">
        <v>4.4444444444444398E-2</v>
      </c>
      <c r="CS27" s="712">
        <v>1</v>
      </c>
      <c r="CT27" s="311">
        <f>(CR27/CS27)+CL27</f>
        <v>0.71106666666666662</v>
      </c>
      <c r="CU27" s="8" t="s">
        <v>949</v>
      </c>
      <c r="CV27" s="16"/>
      <c r="CW27" s="16"/>
      <c r="CX27" s="16"/>
      <c r="CY27" s="16"/>
      <c r="CZ27" s="16"/>
      <c r="DA27" s="16">
        <v>0.13344444444444445</v>
      </c>
      <c r="DB27" s="16">
        <f>+AVERAGE(DA27:DA29)</f>
        <v>0.19051311989956052</v>
      </c>
      <c r="DC27" s="16"/>
      <c r="DD27" s="16"/>
      <c r="DE27" s="16"/>
      <c r="DF27" s="16"/>
      <c r="DG27" s="16"/>
      <c r="DH27" s="16"/>
      <c r="DI27" s="16"/>
      <c r="DJ27" s="16"/>
      <c r="DK27" s="16"/>
      <c r="DL27" s="16"/>
      <c r="DM27" s="16"/>
      <c r="DN27" s="16"/>
      <c r="DO27" s="16"/>
      <c r="DP27" s="16"/>
      <c r="DQ27" s="16"/>
      <c r="DR27" s="16"/>
      <c r="DS27" s="16"/>
      <c r="DT27" s="16"/>
      <c r="DU27" s="16"/>
      <c r="DV27" s="16"/>
      <c r="DW27" s="16"/>
      <c r="DX27" s="16"/>
      <c r="DY27" s="16"/>
      <c r="DZ27" s="16"/>
      <c r="EA27" s="16"/>
      <c r="EB27" s="16"/>
      <c r="EC27" s="16"/>
      <c r="ED27" s="16"/>
      <c r="EE27" s="16"/>
      <c r="EF27" s="16"/>
      <c r="EG27" s="16"/>
      <c r="EH27" s="16"/>
      <c r="EI27" s="16"/>
      <c r="EJ27" s="16"/>
      <c r="EK27" s="16"/>
      <c r="EL27" s="16"/>
      <c r="EM27" s="16"/>
      <c r="EN27" s="16"/>
      <c r="EO27" s="16"/>
      <c r="EP27" s="16"/>
      <c r="EQ27" s="16"/>
      <c r="ER27" s="16"/>
      <c r="ES27" s="16"/>
      <c r="ET27" s="16"/>
      <c r="EU27" s="16"/>
      <c r="EV27" s="16"/>
      <c r="EW27" s="16"/>
      <c r="EX27" s="16"/>
      <c r="EY27" s="16"/>
      <c r="EZ27" s="16"/>
      <c r="FA27" s="16"/>
      <c r="FB27" s="16"/>
      <c r="FC27" s="16"/>
      <c r="FD27" s="16"/>
      <c r="FE27" s="16"/>
      <c r="FF27" s="16"/>
      <c r="FG27" s="16"/>
      <c r="FH27" s="16"/>
      <c r="FI27" s="16"/>
      <c r="FJ27" s="16"/>
      <c r="FK27" s="16"/>
      <c r="FL27" s="16"/>
      <c r="FM27" s="16"/>
      <c r="FN27" s="16"/>
      <c r="FO27" s="16"/>
      <c r="FP27" s="16"/>
      <c r="FQ27" s="16"/>
      <c r="FR27" s="16"/>
      <c r="FS27" s="16"/>
      <c r="FT27" s="16"/>
      <c r="FU27" s="16"/>
      <c r="FV27" s="16"/>
      <c r="FW27" s="16"/>
      <c r="FX27" s="16"/>
      <c r="FY27" s="16"/>
      <c r="FZ27" s="16"/>
      <c r="GA27" s="16"/>
      <c r="GB27" s="16"/>
      <c r="GC27" s="16"/>
      <c r="GD27" s="16"/>
      <c r="GE27" s="16"/>
      <c r="GF27" s="16"/>
      <c r="GG27" s="16"/>
      <c r="GH27" s="16"/>
      <c r="GI27" s="16"/>
      <c r="GJ27" s="16"/>
      <c r="GK27" s="16"/>
      <c r="GL27" s="16"/>
      <c r="GM27" s="16"/>
      <c r="GN27" s="16"/>
      <c r="GO27" s="16"/>
      <c r="GP27" s="16"/>
      <c r="GQ27" s="16"/>
      <c r="GR27" s="16"/>
      <c r="GS27" s="16"/>
      <c r="GT27" s="16"/>
      <c r="GU27" s="16"/>
      <c r="GV27" s="16"/>
      <c r="GW27" s="16"/>
      <c r="GX27" s="16"/>
      <c r="GY27" s="16"/>
      <c r="GZ27" s="16"/>
      <c r="HA27" s="16"/>
      <c r="HB27" s="16"/>
      <c r="HC27" s="16"/>
      <c r="HD27" s="16"/>
      <c r="HE27" s="16"/>
      <c r="HF27" s="16"/>
      <c r="HG27" s="16"/>
      <c r="HH27" s="16"/>
      <c r="HI27" s="16"/>
      <c r="HJ27" s="16"/>
      <c r="HK27" s="16"/>
      <c r="HL27" s="16"/>
      <c r="HM27" s="16"/>
      <c r="HN27" s="16"/>
      <c r="HO27" s="16"/>
      <c r="HP27" s="16"/>
      <c r="HQ27" s="16"/>
      <c r="HR27" s="16"/>
      <c r="HS27" s="16"/>
      <c r="HT27" s="16"/>
      <c r="HU27" s="16"/>
      <c r="HV27" s="16"/>
      <c r="HW27" s="16"/>
      <c r="HX27" s="16"/>
      <c r="HY27" s="16"/>
      <c r="HZ27" s="16"/>
      <c r="IA27" s="16"/>
      <c r="IB27" s="16"/>
      <c r="IC27" s="16"/>
      <c r="ID27" s="16"/>
      <c r="IE27" s="16"/>
      <c r="IF27" s="16"/>
      <c r="IG27" s="16"/>
      <c r="IH27" s="16"/>
      <c r="II27" s="16"/>
      <c r="IJ27" s="16"/>
      <c r="IK27" s="16"/>
      <c r="IL27" s="16"/>
      <c r="IM27" s="16"/>
      <c r="IN27" s="16"/>
      <c r="IO27" s="16"/>
      <c r="IP27" s="16"/>
      <c r="IQ27" s="16"/>
      <c r="IR27" s="16"/>
      <c r="IS27" s="16"/>
      <c r="IT27" s="16"/>
      <c r="IU27" s="16"/>
      <c r="IV27" s="16"/>
      <c r="IW27" s="16"/>
      <c r="IX27" s="16"/>
      <c r="IY27" s="16"/>
      <c r="IZ27" s="16"/>
      <c r="JA27" s="16"/>
      <c r="JB27" s="16"/>
      <c r="JC27" s="16"/>
      <c r="JD27" s="16"/>
      <c r="JE27" s="16"/>
      <c r="JF27" s="16"/>
      <c r="JG27" s="16"/>
      <c r="JH27" s="16"/>
      <c r="JI27" s="16"/>
      <c r="JJ27" s="16"/>
      <c r="JK27" s="16"/>
      <c r="JL27" s="16"/>
      <c r="JM27" s="16"/>
      <c r="JN27" s="16"/>
      <c r="JO27" s="16"/>
      <c r="JP27" s="16"/>
      <c r="JQ27" s="16"/>
      <c r="JR27" s="16"/>
      <c r="JS27" s="16"/>
      <c r="JT27" s="16"/>
      <c r="JU27" s="16"/>
      <c r="JV27" s="16"/>
      <c r="JW27" s="16"/>
      <c r="JX27" s="16"/>
      <c r="JY27" s="16"/>
      <c r="JZ27" s="16"/>
      <c r="KA27" s="16"/>
      <c r="KB27" s="16"/>
      <c r="KC27" s="16"/>
      <c r="KD27" s="16"/>
      <c r="KE27" s="16"/>
      <c r="KF27" s="16"/>
      <c r="KG27" s="16"/>
      <c r="KH27" s="16"/>
      <c r="KI27" s="16"/>
      <c r="KJ27" s="16"/>
      <c r="KK27" s="16"/>
      <c r="KL27" s="16"/>
      <c r="KM27" s="16"/>
      <c r="KN27" s="16"/>
      <c r="KO27" s="16"/>
      <c r="KP27" s="16"/>
      <c r="KQ27" s="16"/>
      <c r="KR27" s="16"/>
      <c r="KS27" s="16"/>
      <c r="KT27" s="16"/>
    </row>
    <row r="28" spans="1:306" s="3" customFormat="1" ht="100.5" customHeight="1" x14ac:dyDescent="0.25">
      <c r="A28" s="185"/>
      <c r="B28" s="185"/>
      <c r="C28" s="185"/>
      <c r="D28" s="187"/>
      <c r="E28" s="187"/>
      <c r="F28" s="175"/>
      <c r="G28" s="455" t="s">
        <v>928</v>
      </c>
      <c r="H28" s="455" t="s">
        <v>929</v>
      </c>
      <c r="I28" s="455" t="s">
        <v>930</v>
      </c>
      <c r="J28" s="252"/>
      <c r="K28" s="180"/>
      <c r="L28" s="180"/>
      <c r="M28" s="694"/>
      <c r="N28" s="170"/>
      <c r="O28" s="889"/>
      <c r="P28" s="889"/>
      <c r="Q28" s="516"/>
      <c r="R28" s="516"/>
      <c r="S28" s="516"/>
      <c r="T28" s="886" t="s">
        <v>950</v>
      </c>
      <c r="U28" s="101" t="s">
        <v>951</v>
      </c>
      <c r="V28" s="97" t="s">
        <v>51</v>
      </c>
      <c r="W28" s="97">
        <v>0</v>
      </c>
      <c r="X28" s="97">
        <v>100</v>
      </c>
      <c r="Y28" s="861"/>
      <c r="Z28" s="680"/>
      <c r="AA28" s="602"/>
      <c r="AB28" s="170"/>
      <c r="AC28" s="904"/>
      <c r="AD28" s="905"/>
      <c r="AE28" s="297"/>
      <c r="AF28" s="6">
        <v>5</v>
      </c>
      <c r="AG28" s="305">
        <v>100</v>
      </c>
      <c r="AH28" s="321">
        <f>AF28/AG28</f>
        <v>0.05</v>
      </c>
      <c r="AI28" s="8" t="s">
        <v>952</v>
      </c>
      <c r="AJ28" s="906"/>
      <c r="AK28" s="906"/>
      <c r="AL28" s="905"/>
      <c r="AM28" s="685"/>
      <c r="AN28" s="907">
        <v>2</v>
      </c>
      <c r="AO28" s="894">
        <v>1</v>
      </c>
      <c r="AP28" s="321">
        <v>0.15</v>
      </c>
      <c r="AQ28" s="518" t="s">
        <v>953</v>
      </c>
      <c r="AR28" s="895"/>
      <c r="AS28" s="895"/>
      <c r="AT28" s="896"/>
      <c r="AU28" s="689"/>
      <c r="AV28" s="21">
        <v>0</v>
      </c>
      <c r="AW28" s="897">
        <v>1</v>
      </c>
      <c r="AX28" s="21">
        <v>0.15000000000000002</v>
      </c>
      <c r="AY28" s="30" t="s">
        <v>954</v>
      </c>
      <c r="AZ28" s="502"/>
      <c r="BA28" s="898"/>
      <c r="BB28" s="502"/>
      <c r="BC28" s="899"/>
      <c r="BD28" s="21">
        <v>0.2</v>
      </c>
      <c r="BE28" s="897">
        <v>1</v>
      </c>
      <c r="BF28" s="21">
        <v>0.35000000000000003</v>
      </c>
      <c r="BG28" s="30" t="s">
        <v>955</v>
      </c>
      <c r="BH28" s="502"/>
      <c r="BI28" s="898"/>
      <c r="BJ28" s="502"/>
      <c r="BK28" s="908"/>
      <c r="BL28" s="21">
        <v>0</v>
      </c>
      <c r="BM28" s="897">
        <v>1</v>
      </c>
      <c r="BN28" s="897">
        <f>(BL28/BM28)+BF28</f>
        <v>0.35000000000000003</v>
      </c>
      <c r="BO28" s="30" t="s">
        <v>956</v>
      </c>
      <c r="BP28" s="909"/>
      <c r="BQ28" s="318"/>
      <c r="BR28" s="909"/>
      <c r="BS28" s="910"/>
      <c r="BT28" s="304">
        <v>0.15</v>
      </c>
      <c r="BU28" s="595">
        <v>1</v>
      </c>
      <c r="BV28" s="304">
        <f>(BT28/BU28)+BN28</f>
        <v>0.5</v>
      </c>
      <c r="BW28" s="9" t="s">
        <v>957</v>
      </c>
      <c r="BX28" s="909"/>
      <c r="BY28" s="318"/>
      <c r="BZ28" s="909"/>
      <c r="CA28" s="910"/>
      <c r="CB28" s="311">
        <v>0.1</v>
      </c>
      <c r="CC28" s="712">
        <v>1</v>
      </c>
      <c r="CD28" s="311">
        <f>(CB28/CC28)+BV28</f>
        <v>0.6</v>
      </c>
      <c r="CE28" s="8" t="s">
        <v>958</v>
      </c>
      <c r="CF28" s="911"/>
      <c r="CG28" s="912"/>
      <c r="CH28" s="911"/>
      <c r="CI28" s="913"/>
      <c r="CJ28" s="321">
        <v>0</v>
      </c>
      <c r="CK28" s="894">
        <v>1</v>
      </c>
      <c r="CL28" s="321">
        <f>(CJ28/CK28)+CD28</f>
        <v>0.6</v>
      </c>
      <c r="CM28" s="553" t="s">
        <v>959</v>
      </c>
      <c r="CN28" s="909"/>
      <c r="CO28" s="318"/>
      <c r="CP28" s="909"/>
      <c r="CQ28" s="910"/>
      <c r="CR28" s="311">
        <v>0</v>
      </c>
      <c r="CS28" s="712">
        <v>1</v>
      </c>
      <c r="CT28" s="311">
        <f>(CR28/CS28)+CL28</f>
        <v>0.6</v>
      </c>
      <c r="CU28" s="8" t="s">
        <v>960</v>
      </c>
      <c r="CV28" s="16"/>
      <c r="CW28" s="16"/>
      <c r="CX28" s="16"/>
      <c r="CY28" s="16"/>
      <c r="CZ28" s="16"/>
      <c r="DA28" s="16">
        <v>0.15000000000000002</v>
      </c>
      <c r="DB28" s="16"/>
      <c r="DC28" s="16"/>
      <c r="DD28" s="16"/>
      <c r="DE28" s="16"/>
      <c r="DF28" s="16"/>
      <c r="DG28" s="16"/>
      <c r="DH28" s="16"/>
      <c r="DI28" s="16"/>
      <c r="DJ28" s="16"/>
      <c r="DK28" s="16"/>
      <c r="DL28" s="16"/>
      <c r="DM28" s="16"/>
      <c r="DN28" s="16"/>
      <c r="DO28" s="16"/>
      <c r="DP28" s="16"/>
      <c r="DQ28" s="16"/>
      <c r="DR28" s="16"/>
      <c r="DS28" s="16"/>
      <c r="DT28" s="16"/>
      <c r="DU28" s="16"/>
      <c r="DV28" s="16"/>
      <c r="DW28" s="16"/>
      <c r="DX28" s="16"/>
      <c r="DY28" s="16"/>
      <c r="DZ28" s="16"/>
      <c r="EA28" s="16"/>
      <c r="EB28" s="16"/>
      <c r="EC28" s="16"/>
      <c r="ED28" s="16"/>
      <c r="EE28" s="16"/>
      <c r="EF28" s="16"/>
      <c r="EG28" s="16"/>
      <c r="EH28" s="16"/>
      <c r="EI28" s="16"/>
      <c r="EJ28" s="16"/>
      <c r="EK28" s="16"/>
      <c r="EL28" s="16"/>
      <c r="EM28" s="16"/>
      <c r="EN28" s="16"/>
      <c r="EO28" s="16"/>
      <c r="EP28" s="16"/>
      <c r="EQ28" s="16"/>
      <c r="ER28" s="16"/>
      <c r="ES28" s="16"/>
      <c r="ET28" s="16"/>
      <c r="EU28" s="16"/>
      <c r="EV28" s="16"/>
      <c r="EW28" s="16"/>
      <c r="EX28" s="16"/>
      <c r="EY28" s="16"/>
      <c r="EZ28" s="16"/>
      <c r="FA28" s="16"/>
      <c r="FB28" s="16"/>
      <c r="FC28" s="16"/>
      <c r="FD28" s="16"/>
      <c r="FE28" s="16"/>
      <c r="FF28" s="16"/>
      <c r="FG28" s="16"/>
      <c r="FH28" s="16"/>
      <c r="FI28" s="16"/>
      <c r="FJ28" s="16"/>
      <c r="FK28" s="16"/>
      <c r="FL28" s="16"/>
      <c r="FM28" s="16"/>
      <c r="FN28" s="16"/>
      <c r="FO28" s="16"/>
      <c r="FP28" s="16"/>
      <c r="FQ28" s="16"/>
      <c r="FR28" s="16"/>
      <c r="FS28" s="16"/>
      <c r="FT28" s="16"/>
      <c r="FU28" s="16"/>
      <c r="FV28" s="16"/>
      <c r="FW28" s="16"/>
      <c r="FX28" s="16"/>
      <c r="FY28" s="16"/>
      <c r="FZ28" s="16"/>
      <c r="GA28" s="16"/>
      <c r="GB28" s="16"/>
      <c r="GC28" s="16"/>
      <c r="GD28" s="16"/>
      <c r="GE28" s="16"/>
      <c r="GF28" s="16"/>
      <c r="GG28" s="16"/>
      <c r="GH28" s="16"/>
      <c r="GI28" s="16"/>
      <c r="GJ28" s="16"/>
      <c r="GK28" s="16"/>
      <c r="GL28" s="16"/>
      <c r="GM28" s="16"/>
      <c r="GN28" s="16"/>
      <c r="GO28" s="16"/>
      <c r="GP28" s="16"/>
      <c r="GQ28" s="16"/>
      <c r="GR28" s="16"/>
      <c r="GS28" s="16"/>
      <c r="GT28" s="16"/>
      <c r="GU28" s="16"/>
      <c r="GV28" s="16"/>
      <c r="GW28" s="16"/>
      <c r="GX28" s="16"/>
      <c r="GY28" s="16"/>
      <c r="GZ28" s="16"/>
      <c r="HA28" s="16"/>
      <c r="HB28" s="16"/>
      <c r="HC28" s="16"/>
      <c r="HD28" s="16"/>
      <c r="HE28" s="16"/>
      <c r="HF28" s="16"/>
      <c r="HG28" s="16"/>
      <c r="HH28" s="16"/>
      <c r="HI28" s="16"/>
      <c r="HJ28" s="16"/>
      <c r="HK28" s="16"/>
      <c r="HL28" s="16"/>
      <c r="HM28" s="16"/>
      <c r="HN28" s="16"/>
      <c r="HO28" s="16"/>
      <c r="HP28" s="16"/>
      <c r="HQ28" s="16"/>
      <c r="HR28" s="16"/>
      <c r="HS28" s="16"/>
      <c r="HT28" s="16"/>
      <c r="HU28" s="16"/>
      <c r="HV28" s="16"/>
      <c r="HW28" s="16"/>
      <c r="HX28" s="16"/>
      <c r="HY28" s="16"/>
      <c r="HZ28" s="16"/>
      <c r="IA28" s="16"/>
      <c r="IB28" s="16"/>
      <c r="IC28" s="16"/>
      <c r="ID28" s="16"/>
      <c r="IE28" s="16"/>
      <c r="IF28" s="16"/>
      <c r="IG28" s="16"/>
      <c r="IH28" s="16"/>
      <c r="II28" s="16"/>
      <c r="IJ28" s="16"/>
      <c r="IK28" s="16"/>
      <c r="IL28" s="16"/>
      <c r="IM28" s="16"/>
      <c r="IN28" s="16"/>
      <c r="IO28" s="16"/>
      <c r="IP28" s="16"/>
      <c r="IQ28" s="16"/>
      <c r="IR28" s="16"/>
      <c r="IS28" s="16"/>
      <c r="IT28" s="16"/>
      <c r="IU28" s="16"/>
      <c r="IV28" s="16"/>
      <c r="IW28" s="16"/>
      <c r="IX28" s="16"/>
      <c r="IY28" s="16"/>
      <c r="IZ28" s="16"/>
      <c r="JA28" s="16"/>
      <c r="JB28" s="16"/>
      <c r="JC28" s="16"/>
      <c r="JD28" s="16"/>
      <c r="JE28" s="16"/>
      <c r="JF28" s="16"/>
      <c r="JG28" s="16"/>
      <c r="JH28" s="16"/>
      <c r="JI28" s="16"/>
      <c r="JJ28" s="16"/>
      <c r="JK28" s="16"/>
      <c r="JL28" s="16"/>
      <c r="JM28" s="16"/>
      <c r="JN28" s="16"/>
      <c r="JO28" s="16"/>
      <c r="JP28" s="16"/>
      <c r="JQ28" s="16"/>
      <c r="JR28" s="16"/>
      <c r="JS28" s="16"/>
      <c r="JT28" s="16"/>
      <c r="JU28" s="16"/>
      <c r="JV28" s="16"/>
      <c r="JW28" s="16"/>
      <c r="JX28" s="16"/>
      <c r="JY28" s="16"/>
      <c r="JZ28" s="16"/>
      <c r="KA28" s="16"/>
      <c r="KB28" s="16"/>
      <c r="KC28" s="16"/>
      <c r="KD28" s="16"/>
      <c r="KE28" s="16"/>
      <c r="KF28" s="16"/>
      <c r="KG28" s="16"/>
      <c r="KH28" s="16"/>
      <c r="KI28" s="16"/>
      <c r="KJ28" s="16"/>
      <c r="KK28" s="16"/>
      <c r="KL28" s="16"/>
      <c r="KM28" s="16"/>
      <c r="KN28" s="16"/>
      <c r="KO28" s="16"/>
      <c r="KP28" s="16"/>
      <c r="KQ28" s="16"/>
      <c r="KR28" s="16"/>
      <c r="KS28" s="16"/>
      <c r="KT28" s="16"/>
    </row>
    <row r="29" spans="1:306" s="4" customFormat="1" ht="133.5" customHeight="1" x14ac:dyDescent="0.25">
      <c r="A29" s="185"/>
      <c r="B29" s="185"/>
      <c r="C29" s="185"/>
      <c r="D29" s="187"/>
      <c r="E29" s="187"/>
      <c r="F29" s="175"/>
      <c r="G29" s="455" t="s">
        <v>928</v>
      </c>
      <c r="H29" s="455" t="s">
        <v>929</v>
      </c>
      <c r="I29" s="455" t="s">
        <v>930</v>
      </c>
      <c r="J29" s="252"/>
      <c r="K29" s="180"/>
      <c r="L29" s="180"/>
      <c r="M29" s="694"/>
      <c r="N29" s="170"/>
      <c r="O29" s="889"/>
      <c r="P29" s="889"/>
      <c r="Q29" s="516"/>
      <c r="R29" s="516"/>
      <c r="S29" s="516"/>
      <c r="T29" s="698" t="s">
        <v>961</v>
      </c>
      <c r="U29" s="30" t="s">
        <v>962</v>
      </c>
      <c r="V29" s="99" t="s">
        <v>51</v>
      </c>
      <c r="W29" s="99">
        <v>0</v>
      </c>
      <c r="X29" s="99">
        <v>100</v>
      </c>
      <c r="Y29" s="861"/>
      <c r="Z29" s="680"/>
      <c r="AA29" s="602"/>
      <c r="AB29" s="170"/>
      <c r="AC29" s="904"/>
      <c r="AD29" s="905"/>
      <c r="AE29" s="305"/>
      <c r="AF29" s="914">
        <v>9.0999999999999998E-2</v>
      </c>
      <c r="AG29" s="305">
        <v>100</v>
      </c>
      <c r="AH29" s="321">
        <f>AF29/AG29</f>
        <v>9.1E-4</v>
      </c>
      <c r="AI29" s="8" t="s">
        <v>963</v>
      </c>
      <c r="AJ29" s="906"/>
      <c r="AK29" s="906"/>
      <c r="AL29" s="905"/>
      <c r="AM29" s="729"/>
      <c r="AN29" s="893">
        <v>0.1017</v>
      </c>
      <c r="AO29" s="894">
        <v>1</v>
      </c>
      <c r="AP29" s="321">
        <v>0.18640000000000001</v>
      </c>
      <c r="AQ29" s="518" t="s">
        <v>964</v>
      </c>
      <c r="AR29" s="895"/>
      <c r="AS29" s="895"/>
      <c r="AT29" s="896"/>
      <c r="AU29" s="865"/>
      <c r="AV29" s="21">
        <v>0.101694915254237</v>
      </c>
      <c r="AW29" s="897">
        <v>1</v>
      </c>
      <c r="AX29" s="21">
        <v>0.28809491525423703</v>
      </c>
      <c r="AY29" s="30" t="s">
        <v>965</v>
      </c>
      <c r="AZ29" s="502"/>
      <c r="BA29" s="898"/>
      <c r="BB29" s="502"/>
      <c r="BC29" s="899"/>
      <c r="BD29" s="22">
        <v>0.1186</v>
      </c>
      <c r="BE29" s="710">
        <v>1</v>
      </c>
      <c r="BF29" s="22">
        <v>0.40679999999999999</v>
      </c>
      <c r="BG29" s="101" t="s">
        <v>966</v>
      </c>
      <c r="BH29" s="502"/>
      <c r="BI29" s="898"/>
      <c r="BJ29" s="502"/>
      <c r="BK29" s="915"/>
      <c r="BL29" s="22">
        <v>5.0847457627118703E-2</v>
      </c>
      <c r="BM29" s="710">
        <v>1</v>
      </c>
      <c r="BN29" s="22">
        <f>(BL29/BM29)+BF29</f>
        <v>0.45764745762711867</v>
      </c>
      <c r="BO29" s="101" t="s">
        <v>967</v>
      </c>
      <c r="BP29" s="909"/>
      <c r="BQ29" s="318"/>
      <c r="BR29" s="909"/>
      <c r="BS29" s="916"/>
      <c r="BT29" s="917">
        <v>0.10169</v>
      </c>
      <c r="BU29" s="712">
        <v>1</v>
      </c>
      <c r="BV29" s="500">
        <f>(BT29/BU29)+BN29</f>
        <v>0.55933745762711862</v>
      </c>
      <c r="BW29" s="8" t="s">
        <v>968</v>
      </c>
      <c r="BX29" s="909"/>
      <c r="BY29" s="318"/>
      <c r="BZ29" s="909"/>
      <c r="CA29" s="916"/>
      <c r="CB29" s="917">
        <v>6.7796610169491497E-2</v>
      </c>
      <c r="CC29" s="712">
        <v>1</v>
      </c>
      <c r="CD29" s="311">
        <f>(CB29/CC29)+BV29</f>
        <v>0.62713406779661007</v>
      </c>
      <c r="CE29" s="8" t="s">
        <v>969</v>
      </c>
      <c r="CF29" s="911"/>
      <c r="CG29" s="912"/>
      <c r="CH29" s="911"/>
      <c r="CI29" s="918"/>
      <c r="CJ29" s="893">
        <v>6.7796610169491497E-2</v>
      </c>
      <c r="CK29" s="894">
        <v>1</v>
      </c>
      <c r="CL29" s="321">
        <f>(CJ29/CK29)+CD29</f>
        <v>0.69493067796610153</v>
      </c>
      <c r="CM29" s="553" t="s">
        <v>970</v>
      </c>
      <c r="CN29" s="909"/>
      <c r="CO29" s="318"/>
      <c r="CP29" s="909"/>
      <c r="CQ29" s="916"/>
      <c r="CR29" s="917">
        <v>0.11864406779661017</v>
      </c>
      <c r="CS29" s="712">
        <v>1</v>
      </c>
      <c r="CT29" s="919">
        <f>(CR29/CS29)+CL29</f>
        <v>0.81357474576271172</v>
      </c>
      <c r="CU29" s="8" t="s">
        <v>971</v>
      </c>
      <c r="CV29" s="16"/>
      <c r="CW29" s="16"/>
      <c r="CX29" s="16"/>
      <c r="CY29" s="16"/>
      <c r="CZ29" s="16"/>
      <c r="DA29" s="16">
        <v>0.28809491525423703</v>
      </c>
      <c r="DB29" s="16"/>
      <c r="DC29" s="16"/>
      <c r="DD29" s="16"/>
      <c r="DE29" s="16"/>
      <c r="DF29" s="16"/>
      <c r="DG29" s="16"/>
      <c r="DH29" s="16"/>
      <c r="DI29" s="16"/>
      <c r="DJ29" s="16"/>
      <c r="DK29" s="16"/>
      <c r="DL29" s="16"/>
      <c r="DM29" s="16"/>
      <c r="DN29" s="16"/>
      <c r="DO29" s="16"/>
      <c r="DP29" s="16"/>
      <c r="DQ29" s="16"/>
      <c r="DR29" s="16"/>
      <c r="DS29" s="16"/>
      <c r="DT29" s="16"/>
      <c r="DU29" s="16"/>
      <c r="DV29" s="16"/>
      <c r="DW29" s="16"/>
      <c r="DX29" s="16"/>
      <c r="DY29" s="16"/>
      <c r="DZ29" s="16"/>
      <c r="EA29" s="16"/>
      <c r="EB29" s="16"/>
      <c r="EC29" s="16"/>
      <c r="ED29" s="16"/>
      <c r="EE29" s="16"/>
      <c r="EF29" s="16"/>
      <c r="EG29" s="16"/>
      <c r="EH29" s="16"/>
      <c r="EI29" s="16"/>
      <c r="EJ29" s="16"/>
      <c r="EK29" s="16"/>
      <c r="EL29" s="16"/>
      <c r="EM29" s="16"/>
      <c r="EN29" s="16"/>
      <c r="EO29" s="16"/>
      <c r="EP29" s="16"/>
      <c r="EQ29" s="16"/>
      <c r="ER29" s="16"/>
      <c r="ES29" s="16"/>
      <c r="ET29" s="16"/>
      <c r="EU29" s="16"/>
      <c r="EV29" s="16"/>
      <c r="EW29" s="16"/>
      <c r="EX29" s="16"/>
      <c r="EY29" s="16"/>
      <c r="EZ29" s="16"/>
      <c r="FA29" s="16"/>
      <c r="FB29" s="16"/>
      <c r="FC29" s="16"/>
      <c r="FD29" s="16"/>
      <c r="FE29" s="16"/>
      <c r="FF29" s="16"/>
      <c r="FG29" s="16"/>
      <c r="FH29" s="16"/>
      <c r="FI29" s="16"/>
      <c r="FJ29" s="16"/>
      <c r="FK29" s="16"/>
      <c r="FL29" s="16"/>
      <c r="FM29" s="16"/>
      <c r="FN29" s="16"/>
      <c r="FO29" s="16"/>
      <c r="FP29" s="16"/>
      <c r="FQ29" s="16"/>
      <c r="FR29" s="16"/>
      <c r="FS29" s="16"/>
      <c r="FT29" s="16"/>
      <c r="FU29" s="16"/>
      <c r="FV29" s="16"/>
      <c r="FW29" s="16"/>
      <c r="FX29" s="16"/>
      <c r="FY29" s="16"/>
      <c r="FZ29" s="16"/>
      <c r="GA29" s="16"/>
      <c r="GB29" s="16"/>
      <c r="GC29" s="16"/>
      <c r="GD29" s="16"/>
      <c r="GE29" s="16"/>
      <c r="GF29" s="16"/>
      <c r="GG29" s="16"/>
      <c r="GH29" s="16"/>
      <c r="GI29" s="16"/>
      <c r="GJ29" s="16"/>
      <c r="GK29" s="16"/>
      <c r="GL29" s="16"/>
      <c r="GM29" s="16"/>
      <c r="GN29" s="16"/>
      <c r="GO29" s="16"/>
      <c r="GP29" s="16"/>
      <c r="GQ29" s="16"/>
      <c r="GR29" s="16"/>
      <c r="GS29" s="16"/>
      <c r="GT29" s="16"/>
      <c r="GU29" s="16"/>
      <c r="GV29" s="16"/>
      <c r="GW29" s="16"/>
      <c r="GX29" s="16"/>
      <c r="GY29" s="16"/>
      <c r="GZ29" s="16"/>
      <c r="HA29" s="16"/>
      <c r="HB29" s="16"/>
      <c r="HC29" s="16"/>
      <c r="HD29" s="16"/>
      <c r="HE29" s="16"/>
      <c r="HF29" s="16"/>
      <c r="HG29" s="16"/>
      <c r="HH29" s="16"/>
      <c r="HI29" s="16"/>
      <c r="HJ29" s="16"/>
      <c r="HK29" s="16"/>
      <c r="HL29" s="16"/>
      <c r="HM29" s="16"/>
      <c r="HN29" s="16"/>
      <c r="HO29" s="16"/>
      <c r="HP29" s="16"/>
      <c r="HQ29" s="16"/>
      <c r="HR29" s="16"/>
      <c r="HS29" s="16"/>
      <c r="HT29" s="16"/>
      <c r="HU29" s="16"/>
      <c r="HV29" s="16"/>
      <c r="HW29" s="16"/>
      <c r="HX29" s="16"/>
      <c r="HY29" s="16"/>
      <c r="HZ29" s="16"/>
      <c r="IA29" s="16"/>
      <c r="IB29" s="16"/>
      <c r="IC29" s="16"/>
      <c r="ID29" s="16"/>
      <c r="IE29" s="16"/>
      <c r="IF29" s="16"/>
      <c r="IG29" s="16"/>
      <c r="IH29" s="16"/>
      <c r="II29" s="16"/>
      <c r="IJ29" s="16"/>
      <c r="IK29" s="16"/>
      <c r="IL29" s="16"/>
      <c r="IM29" s="16"/>
      <c r="IN29" s="16"/>
      <c r="IO29" s="16"/>
      <c r="IP29" s="16"/>
      <c r="IQ29" s="16"/>
      <c r="IR29" s="16"/>
      <c r="IS29" s="16"/>
      <c r="IT29" s="16"/>
      <c r="IU29" s="16"/>
      <c r="IV29" s="16"/>
      <c r="IW29" s="16"/>
      <c r="IX29" s="16"/>
      <c r="IY29" s="16"/>
      <c r="IZ29" s="16"/>
      <c r="JA29" s="16"/>
      <c r="JB29" s="16"/>
      <c r="JC29" s="16"/>
      <c r="JD29" s="16"/>
      <c r="JE29" s="16"/>
      <c r="JF29" s="16"/>
      <c r="JG29" s="16"/>
      <c r="JH29" s="16"/>
      <c r="JI29" s="16"/>
      <c r="JJ29" s="16"/>
      <c r="JK29" s="16"/>
      <c r="JL29" s="16"/>
      <c r="JM29" s="16"/>
      <c r="JN29" s="16"/>
      <c r="JO29" s="16"/>
      <c r="JP29" s="16"/>
      <c r="JQ29" s="16"/>
      <c r="JR29" s="16"/>
      <c r="JS29" s="16"/>
      <c r="JT29" s="16"/>
      <c r="JU29" s="16"/>
      <c r="JV29" s="16"/>
      <c r="JW29" s="16"/>
      <c r="JX29" s="16"/>
      <c r="JY29" s="16"/>
      <c r="JZ29" s="16"/>
      <c r="KA29" s="16"/>
      <c r="KB29" s="16"/>
      <c r="KC29" s="16"/>
      <c r="KD29" s="16"/>
      <c r="KE29" s="16"/>
      <c r="KF29" s="16"/>
      <c r="KG29" s="16"/>
      <c r="KH29" s="16"/>
      <c r="KI29" s="16"/>
      <c r="KJ29" s="16"/>
      <c r="KK29" s="16"/>
      <c r="KL29" s="16"/>
      <c r="KM29" s="16"/>
      <c r="KN29" s="16"/>
      <c r="KO29" s="16"/>
      <c r="KP29" s="16"/>
      <c r="KQ29" s="16"/>
      <c r="KR29" s="16"/>
      <c r="KS29" s="16"/>
      <c r="KT29" s="16"/>
    </row>
    <row r="30" spans="1:306" s="3" customFormat="1" ht="115.5" customHeight="1" x14ac:dyDescent="0.25">
      <c r="A30" s="150"/>
      <c r="B30" s="150"/>
      <c r="C30" s="150"/>
      <c r="D30" s="188"/>
      <c r="E30" s="188"/>
      <c r="F30" s="142"/>
      <c r="G30" s="455" t="s">
        <v>928</v>
      </c>
      <c r="H30" s="455" t="s">
        <v>929</v>
      </c>
      <c r="I30" s="455" t="s">
        <v>930</v>
      </c>
      <c r="J30" s="252"/>
      <c r="K30" s="206"/>
      <c r="L30" s="206"/>
      <c r="M30" s="694"/>
      <c r="N30" s="170"/>
      <c r="O30" s="920" t="s">
        <v>972</v>
      </c>
      <c r="P30" s="920" t="s">
        <v>862</v>
      </c>
      <c r="Q30" s="882" t="s">
        <v>51</v>
      </c>
      <c r="R30" s="882">
        <v>0</v>
      </c>
      <c r="S30" s="882">
        <v>100</v>
      </c>
      <c r="T30" s="921"/>
      <c r="U30" s="698"/>
      <c r="V30" s="99"/>
      <c r="W30" s="99"/>
      <c r="X30" s="99"/>
      <c r="Y30" s="728"/>
      <c r="Z30" s="680"/>
      <c r="AA30" s="602"/>
      <c r="AB30" s="6">
        <v>16.7</v>
      </c>
      <c r="AC30" s="305">
        <v>100</v>
      </c>
      <c r="AD30" s="321">
        <f>AB30/AC30</f>
        <v>0.16699999999999998</v>
      </c>
      <c r="AE30" s="8" t="s">
        <v>973</v>
      </c>
      <c r="AH30" s="687"/>
      <c r="AJ30" s="922">
        <v>0.16700000000000001</v>
      </c>
      <c r="AK30" s="701">
        <v>1</v>
      </c>
      <c r="AL30" s="321">
        <v>0.33333000000000002</v>
      </c>
      <c r="AM30" s="553" t="s">
        <v>974</v>
      </c>
      <c r="AN30" s="687"/>
      <c r="AO30" s="687"/>
      <c r="AP30" s="687"/>
      <c r="AQ30" s="687"/>
      <c r="AR30" s="923">
        <v>0</v>
      </c>
      <c r="AS30" s="924">
        <v>1</v>
      </c>
      <c r="AT30" s="923">
        <v>0.3337</v>
      </c>
      <c r="AU30" s="30" t="s">
        <v>975</v>
      </c>
      <c r="AV30" s="689"/>
      <c r="AW30" s="689"/>
      <c r="AX30" s="689"/>
      <c r="AY30" s="719"/>
      <c r="AZ30" s="22">
        <v>0</v>
      </c>
      <c r="BA30" s="925">
        <v>1</v>
      </c>
      <c r="BB30" s="22">
        <v>0.3337</v>
      </c>
      <c r="BC30" s="101" t="s">
        <v>976</v>
      </c>
      <c r="BD30" s="689"/>
      <c r="BE30" s="689"/>
      <c r="BF30" s="689"/>
      <c r="BG30" s="719"/>
      <c r="BH30" s="923">
        <v>0.5</v>
      </c>
      <c r="BI30" s="924">
        <v>1</v>
      </c>
      <c r="BJ30" s="924">
        <f>BH30+BB30</f>
        <v>0.8337</v>
      </c>
      <c r="BK30" s="30" t="s">
        <v>977</v>
      </c>
      <c r="BL30" s="21"/>
      <c r="BM30" s="897"/>
      <c r="BN30" s="21"/>
      <c r="BO30" s="30"/>
      <c r="BP30" s="926">
        <v>0.16669999999999999</v>
      </c>
      <c r="BQ30" s="927">
        <v>1</v>
      </c>
      <c r="BR30" s="926">
        <f>BP30+BJ30</f>
        <v>1.0004</v>
      </c>
      <c r="BS30" s="8" t="s">
        <v>978</v>
      </c>
      <c r="BT30" s="304"/>
      <c r="BU30" s="595"/>
      <c r="BV30" s="304"/>
      <c r="BW30" s="9"/>
      <c r="BX30" s="926">
        <v>0</v>
      </c>
      <c r="BY30" s="927">
        <v>1</v>
      </c>
      <c r="BZ30" s="926">
        <v>1</v>
      </c>
      <c r="CA30" s="8" t="s">
        <v>978</v>
      </c>
      <c r="CB30" s="311"/>
      <c r="CC30" s="712"/>
      <c r="CD30" s="311"/>
      <c r="CE30" s="8"/>
      <c r="CF30" s="928">
        <v>0</v>
      </c>
      <c r="CG30" s="929">
        <v>1</v>
      </c>
      <c r="CH30" s="928">
        <v>1</v>
      </c>
      <c r="CI30" s="553" t="s">
        <v>978</v>
      </c>
      <c r="CJ30" s="321"/>
      <c r="CK30" s="894"/>
      <c r="CL30" s="321"/>
      <c r="CM30" s="553"/>
      <c r="CN30" s="926">
        <v>0</v>
      </c>
      <c r="CO30" s="927">
        <v>1</v>
      </c>
      <c r="CP30" s="926">
        <v>1</v>
      </c>
      <c r="CQ30" s="8" t="s">
        <v>978</v>
      </c>
      <c r="CR30" s="311"/>
      <c r="CS30" s="712"/>
      <c r="CT30" s="311"/>
      <c r="CU30" s="8"/>
      <c r="CV30" s="16"/>
      <c r="CW30" s="16"/>
      <c r="CX30" s="16"/>
      <c r="CY30" s="16"/>
      <c r="CZ30" s="16"/>
      <c r="DA30" s="16"/>
      <c r="DB30" s="16"/>
      <c r="DC30" s="16"/>
      <c r="DD30" s="16"/>
      <c r="DE30" s="16"/>
      <c r="DF30" s="16"/>
      <c r="DG30" s="16"/>
      <c r="DH30" s="16"/>
      <c r="DI30" s="16"/>
      <c r="DJ30" s="16"/>
      <c r="DK30" s="16"/>
      <c r="DL30" s="16"/>
      <c r="DM30" s="16"/>
      <c r="DN30" s="16"/>
      <c r="DO30" s="16"/>
      <c r="DP30" s="16"/>
      <c r="DQ30" s="16"/>
      <c r="DR30" s="16"/>
      <c r="DS30" s="16"/>
      <c r="DT30" s="16"/>
      <c r="DU30" s="16"/>
      <c r="DV30" s="16"/>
      <c r="DW30" s="16"/>
      <c r="DX30" s="16"/>
      <c r="DY30" s="16"/>
      <c r="DZ30" s="16"/>
      <c r="EA30" s="16"/>
      <c r="EB30" s="16"/>
      <c r="EC30" s="16"/>
      <c r="ED30" s="16"/>
      <c r="EE30" s="16"/>
      <c r="EF30" s="16"/>
      <c r="EG30" s="16"/>
      <c r="EH30" s="16"/>
      <c r="EI30" s="16"/>
      <c r="EJ30" s="16"/>
      <c r="EK30" s="16"/>
      <c r="EL30" s="16"/>
      <c r="EM30" s="16"/>
      <c r="EN30" s="16"/>
      <c r="EO30" s="16"/>
      <c r="EP30" s="16"/>
      <c r="EQ30" s="16"/>
      <c r="ER30" s="16"/>
      <c r="ES30" s="16"/>
      <c r="ET30" s="16"/>
      <c r="EU30" s="16"/>
      <c r="EV30" s="16"/>
      <c r="EW30" s="16"/>
      <c r="EX30" s="16"/>
      <c r="EY30" s="16"/>
      <c r="EZ30" s="16"/>
      <c r="FA30" s="16"/>
      <c r="FB30" s="16"/>
      <c r="FC30" s="16"/>
      <c r="FD30" s="16"/>
      <c r="FE30" s="16"/>
      <c r="FF30" s="16"/>
      <c r="FG30" s="16"/>
      <c r="FH30" s="16"/>
      <c r="FI30" s="16"/>
      <c r="FJ30" s="16"/>
      <c r="FK30" s="16"/>
      <c r="FL30" s="16"/>
      <c r="FM30" s="16"/>
      <c r="FN30" s="16"/>
      <c r="FO30" s="16"/>
      <c r="FP30" s="16"/>
      <c r="FQ30" s="16"/>
      <c r="FR30" s="16"/>
      <c r="FS30" s="16"/>
      <c r="FT30" s="16"/>
      <c r="FU30" s="16"/>
      <c r="FV30" s="16"/>
      <c r="FW30" s="16"/>
      <c r="FX30" s="16"/>
      <c r="FY30" s="16"/>
      <c r="FZ30" s="16"/>
      <c r="GA30" s="16"/>
      <c r="GB30" s="16"/>
      <c r="GC30" s="16"/>
      <c r="GD30" s="16"/>
      <c r="GE30" s="16"/>
      <c r="GF30" s="16"/>
      <c r="GG30" s="16"/>
      <c r="GH30" s="16"/>
      <c r="GI30" s="16"/>
      <c r="GJ30" s="16"/>
      <c r="GK30" s="16"/>
      <c r="GL30" s="16"/>
      <c r="GM30" s="16"/>
      <c r="GN30" s="16"/>
      <c r="GO30" s="16"/>
      <c r="GP30" s="16"/>
      <c r="GQ30" s="16"/>
      <c r="GR30" s="16"/>
      <c r="GS30" s="16"/>
      <c r="GT30" s="16"/>
      <c r="GU30" s="16"/>
      <c r="GV30" s="16"/>
      <c r="GW30" s="16"/>
      <c r="GX30" s="16"/>
      <c r="GY30" s="16"/>
      <c r="GZ30" s="16"/>
      <c r="HA30" s="16"/>
      <c r="HB30" s="16"/>
      <c r="HC30" s="16"/>
      <c r="HD30" s="16"/>
      <c r="HE30" s="16"/>
      <c r="HF30" s="16"/>
      <c r="HG30" s="16"/>
      <c r="HH30" s="16"/>
      <c r="HI30" s="16"/>
      <c r="HJ30" s="16"/>
      <c r="HK30" s="16"/>
      <c r="HL30" s="16"/>
      <c r="HM30" s="16"/>
      <c r="HN30" s="16"/>
      <c r="HO30" s="16"/>
      <c r="HP30" s="16"/>
      <c r="HQ30" s="16"/>
      <c r="HR30" s="16"/>
      <c r="HS30" s="16"/>
      <c r="HT30" s="16"/>
      <c r="HU30" s="16"/>
      <c r="HV30" s="16"/>
      <c r="HW30" s="16"/>
      <c r="HX30" s="16"/>
      <c r="HY30" s="16"/>
      <c r="HZ30" s="16"/>
      <c r="IA30" s="16"/>
      <c r="IB30" s="16"/>
      <c r="IC30" s="16"/>
      <c r="ID30" s="16"/>
      <c r="IE30" s="16"/>
      <c r="IF30" s="16"/>
      <c r="IG30" s="16"/>
      <c r="IH30" s="16"/>
      <c r="II30" s="16"/>
      <c r="IJ30" s="16"/>
      <c r="IK30" s="16"/>
      <c r="IL30" s="16"/>
      <c r="IM30" s="16"/>
      <c r="IN30" s="16"/>
      <c r="IO30" s="16"/>
      <c r="IP30" s="16"/>
      <c r="IQ30" s="16"/>
      <c r="IR30" s="16"/>
      <c r="IS30" s="16"/>
      <c r="IT30" s="16"/>
      <c r="IU30" s="16"/>
      <c r="IV30" s="16"/>
      <c r="IW30" s="16"/>
      <c r="IX30" s="16"/>
      <c r="IY30" s="16"/>
      <c r="IZ30" s="16"/>
      <c r="JA30" s="16"/>
      <c r="JB30" s="16"/>
      <c r="JC30" s="16"/>
      <c r="JD30" s="16"/>
      <c r="JE30" s="16"/>
      <c r="JF30" s="16"/>
      <c r="JG30" s="16"/>
      <c r="JH30" s="16"/>
      <c r="JI30" s="16"/>
      <c r="JJ30" s="16"/>
      <c r="JK30" s="16"/>
      <c r="JL30" s="16"/>
      <c r="JM30" s="16"/>
      <c r="JN30" s="16"/>
      <c r="JO30" s="16"/>
      <c r="JP30" s="16"/>
      <c r="JQ30" s="16"/>
      <c r="JR30" s="16"/>
      <c r="JS30" s="16"/>
      <c r="JT30" s="16"/>
      <c r="JU30" s="16"/>
      <c r="JV30" s="16"/>
      <c r="JW30" s="16"/>
      <c r="JX30" s="16"/>
      <c r="JY30" s="16"/>
      <c r="JZ30" s="16"/>
      <c r="KA30" s="16"/>
      <c r="KB30" s="16"/>
      <c r="KC30" s="16"/>
      <c r="KD30" s="16"/>
      <c r="KE30" s="16"/>
      <c r="KF30" s="16"/>
      <c r="KG30" s="16"/>
      <c r="KH30" s="16"/>
      <c r="KI30" s="16"/>
      <c r="KJ30" s="16"/>
      <c r="KK30" s="16"/>
      <c r="KL30" s="16"/>
      <c r="KM30" s="16"/>
      <c r="KN30" s="16"/>
      <c r="KO30" s="16"/>
      <c r="KP30" s="16"/>
      <c r="KQ30" s="16"/>
      <c r="KR30" s="16"/>
      <c r="KS30" s="16"/>
      <c r="KT30" s="16"/>
    </row>
    <row r="31" spans="1:306" s="4" customFormat="1" ht="381" customHeight="1" x14ac:dyDescent="0.25">
      <c r="A31" s="90" t="s">
        <v>98</v>
      </c>
      <c r="B31" s="90" t="s">
        <v>100</v>
      </c>
      <c r="C31" s="90" t="s">
        <v>99</v>
      </c>
      <c r="D31" s="90" t="s">
        <v>903</v>
      </c>
      <c r="E31" s="90" t="s">
        <v>695</v>
      </c>
      <c r="F31" s="85" t="s">
        <v>696</v>
      </c>
      <c r="G31" s="326" t="s">
        <v>335</v>
      </c>
      <c r="H31" s="408" t="s">
        <v>979</v>
      </c>
      <c r="I31" s="408" t="s">
        <v>980</v>
      </c>
      <c r="J31" s="252"/>
      <c r="K31" s="198" t="s">
        <v>563</v>
      </c>
      <c r="L31" s="198" t="s">
        <v>981</v>
      </c>
      <c r="M31" s="694"/>
      <c r="N31" s="170" t="s">
        <v>982</v>
      </c>
      <c r="O31" s="930" t="s">
        <v>983</v>
      </c>
      <c r="P31" s="931" t="s">
        <v>984</v>
      </c>
      <c r="Q31" s="932" t="s">
        <v>51</v>
      </c>
      <c r="R31" s="932">
        <v>0</v>
      </c>
      <c r="S31" s="932">
        <v>95</v>
      </c>
      <c r="T31" s="933" t="s">
        <v>985</v>
      </c>
      <c r="U31" s="934" t="s">
        <v>986</v>
      </c>
      <c r="V31" s="45" t="s">
        <v>50</v>
      </c>
      <c r="W31" s="80">
        <v>0</v>
      </c>
      <c r="X31" s="79">
        <v>16</v>
      </c>
      <c r="Y31" s="679">
        <v>8300053717</v>
      </c>
      <c r="Z31" s="680"/>
      <c r="AA31" s="602"/>
      <c r="AB31" s="304">
        <v>0.97</v>
      </c>
      <c r="AC31" s="304">
        <v>0.95</v>
      </c>
      <c r="AD31" s="317">
        <v>0.97</v>
      </c>
      <c r="AE31" s="9" t="s">
        <v>987</v>
      </c>
      <c r="AF31" s="596">
        <v>0</v>
      </c>
      <c r="AG31" s="297">
        <v>16</v>
      </c>
      <c r="AH31" s="682">
        <f>+AF31/AG31</f>
        <v>0</v>
      </c>
      <c r="AI31" s="9" t="s">
        <v>988</v>
      </c>
      <c r="AJ31" s="935">
        <v>1</v>
      </c>
      <c r="AK31" s="935">
        <v>0.95</v>
      </c>
      <c r="AL31" s="935">
        <v>1</v>
      </c>
      <c r="AM31" s="49" t="s">
        <v>989</v>
      </c>
      <c r="AN31" s="45">
        <v>0</v>
      </c>
      <c r="AO31" s="45">
        <v>16</v>
      </c>
      <c r="AP31" s="46">
        <v>0</v>
      </c>
      <c r="AQ31" s="48" t="s">
        <v>990</v>
      </c>
      <c r="AR31" s="936">
        <v>1</v>
      </c>
      <c r="AS31" s="936">
        <v>0.95</v>
      </c>
      <c r="AT31" s="936">
        <v>1</v>
      </c>
      <c r="AU31" s="83" t="s">
        <v>991</v>
      </c>
      <c r="AV31" s="97">
        <v>0</v>
      </c>
      <c r="AW31" s="97">
        <v>16</v>
      </c>
      <c r="AX31" s="22">
        <f>+AV31/AW31</f>
        <v>0</v>
      </c>
      <c r="AY31" s="937" t="s">
        <v>992</v>
      </c>
      <c r="AZ31" s="46">
        <v>1</v>
      </c>
      <c r="BA31" s="46">
        <v>0.95</v>
      </c>
      <c r="BB31" s="46">
        <v>1</v>
      </c>
      <c r="BC31" s="49" t="s">
        <v>993</v>
      </c>
      <c r="BD31" s="938">
        <v>2</v>
      </c>
      <c r="BE31" s="938">
        <v>16</v>
      </c>
      <c r="BF31" s="46">
        <v>0.125</v>
      </c>
      <c r="BG31" s="49" t="s">
        <v>994</v>
      </c>
      <c r="BH31" s="46">
        <v>1</v>
      </c>
      <c r="BI31" s="46">
        <v>0.95</v>
      </c>
      <c r="BJ31" s="46">
        <v>1</v>
      </c>
      <c r="BK31" s="49" t="s">
        <v>995</v>
      </c>
      <c r="BL31" s="938">
        <v>4</v>
      </c>
      <c r="BM31" s="938">
        <v>16</v>
      </c>
      <c r="BN31" s="46">
        <v>0.25</v>
      </c>
      <c r="BO31" s="49" t="s">
        <v>996</v>
      </c>
      <c r="BP31" s="46">
        <v>1</v>
      </c>
      <c r="BQ31" s="46">
        <v>0.95</v>
      </c>
      <c r="BR31" s="46">
        <v>1</v>
      </c>
      <c r="BS31" s="720" t="s">
        <v>997</v>
      </c>
      <c r="BT31" s="938">
        <v>3</v>
      </c>
      <c r="BU31" s="938">
        <v>16</v>
      </c>
      <c r="BV31" s="46">
        <v>0.2</v>
      </c>
      <c r="BW31" s="720" t="s">
        <v>998</v>
      </c>
      <c r="BX31" s="46">
        <v>1</v>
      </c>
      <c r="BY31" s="46">
        <v>0.95</v>
      </c>
      <c r="BZ31" s="46">
        <v>1</v>
      </c>
      <c r="CA31" s="720" t="s">
        <v>999</v>
      </c>
      <c r="CB31" s="939">
        <v>9</v>
      </c>
      <c r="CC31" s="938">
        <v>15</v>
      </c>
      <c r="CD31" s="46">
        <v>0.6</v>
      </c>
      <c r="CE31" s="720" t="s">
        <v>1000</v>
      </c>
      <c r="CF31" s="46">
        <v>0.999</v>
      </c>
      <c r="CG31" s="46">
        <v>0.95</v>
      </c>
      <c r="CH31" s="46">
        <v>1</v>
      </c>
      <c r="CI31" s="720" t="s">
        <v>1001</v>
      </c>
      <c r="CJ31" s="939">
        <v>12</v>
      </c>
      <c r="CK31" s="938">
        <v>16</v>
      </c>
      <c r="CL31" s="46">
        <f>+CJ31/CK31</f>
        <v>0.75</v>
      </c>
      <c r="CM31" s="720" t="s">
        <v>1002</v>
      </c>
      <c r="CN31" s="940">
        <v>1</v>
      </c>
      <c r="CO31" s="940">
        <v>0.95</v>
      </c>
      <c r="CP31" s="940">
        <v>1</v>
      </c>
      <c r="CQ31" s="941" t="s">
        <v>1003</v>
      </c>
      <c r="CR31" s="939">
        <v>12</v>
      </c>
      <c r="CS31" s="938">
        <v>16</v>
      </c>
      <c r="CT31" s="46">
        <f>+CR31/CS31</f>
        <v>0.75</v>
      </c>
      <c r="CU31" s="720" t="s">
        <v>1004</v>
      </c>
      <c r="CV31" s="16"/>
      <c r="CW31" s="16"/>
      <c r="CX31" s="16"/>
      <c r="CY31" s="16"/>
      <c r="CZ31" s="16"/>
      <c r="DA31" s="16">
        <v>0</v>
      </c>
      <c r="DB31" s="16">
        <f>+AVERAGE(DA31:DA34)</f>
        <v>0</v>
      </c>
      <c r="DC31" s="16"/>
      <c r="DD31" s="16"/>
      <c r="DE31" s="16"/>
      <c r="DF31" s="16"/>
      <c r="DG31" s="16"/>
      <c r="DH31" s="16"/>
      <c r="DI31" s="16"/>
      <c r="DJ31" s="16"/>
      <c r="DK31" s="16"/>
      <c r="DL31" s="16"/>
      <c r="DM31" s="16"/>
      <c r="DN31" s="16"/>
      <c r="DO31" s="16"/>
      <c r="DP31" s="16"/>
      <c r="DQ31" s="16"/>
      <c r="DR31" s="16"/>
      <c r="DS31" s="16"/>
      <c r="DT31" s="16"/>
      <c r="DU31" s="16"/>
      <c r="DV31" s="16"/>
      <c r="DW31" s="16"/>
      <c r="DX31" s="16"/>
      <c r="DY31" s="16"/>
      <c r="DZ31" s="16"/>
      <c r="EA31" s="16"/>
      <c r="EB31" s="16"/>
      <c r="EC31" s="16"/>
      <c r="ED31" s="16"/>
      <c r="EE31" s="16"/>
      <c r="EF31" s="16"/>
      <c r="EG31" s="16"/>
      <c r="EH31" s="16"/>
      <c r="EI31" s="16"/>
      <c r="EJ31" s="16"/>
      <c r="EK31" s="16"/>
      <c r="EL31" s="16"/>
      <c r="EM31" s="16"/>
      <c r="EN31" s="16"/>
      <c r="EO31" s="16"/>
      <c r="EP31" s="16"/>
      <c r="EQ31" s="16"/>
      <c r="ER31" s="16"/>
      <c r="ES31" s="16"/>
      <c r="ET31" s="16"/>
      <c r="EU31" s="16"/>
      <c r="EV31" s="16"/>
      <c r="EW31" s="16"/>
      <c r="EX31" s="16"/>
      <c r="EY31" s="16"/>
      <c r="EZ31" s="16"/>
      <c r="FA31" s="16"/>
      <c r="FB31" s="16"/>
      <c r="FC31" s="16"/>
      <c r="FD31" s="16"/>
      <c r="FE31" s="16"/>
      <c r="FF31" s="16"/>
      <c r="FG31" s="16"/>
      <c r="FH31" s="16"/>
      <c r="FI31" s="16"/>
      <c r="FJ31" s="16"/>
      <c r="FK31" s="16"/>
      <c r="FL31" s="16"/>
      <c r="FM31" s="16"/>
      <c r="FN31" s="16"/>
      <c r="FO31" s="16"/>
      <c r="FP31" s="16"/>
      <c r="FQ31" s="16"/>
      <c r="FR31" s="16"/>
      <c r="FS31" s="16"/>
      <c r="FT31" s="16"/>
      <c r="FU31" s="16"/>
      <c r="FV31" s="16"/>
      <c r="FW31" s="16"/>
      <c r="FX31" s="16"/>
      <c r="FY31" s="16"/>
      <c r="FZ31" s="16"/>
      <c r="GA31" s="16"/>
      <c r="GB31" s="16"/>
      <c r="GC31" s="16"/>
      <c r="GD31" s="16"/>
      <c r="GE31" s="16"/>
      <c r="GF31" s="16"/>
      <c r="GG31" s="16"/>
      <c r="GH31" s="16"/>
      <c r="GI31" s="16"/>
      <c r="GJ31" s="16"/>
      <c r="GK31" s="16"/>
      <c r="GL31" s="16"/>
      <c r="GM31" s="16"/>
      <c r="GN31" s="16"/>
      <c r="GO31" s="16"/>
      <c r="GP31" s="16"/>
      <c r="GQ31" s="16"/>
      <c r="GR31" s="16"/>
      <c r="GS31" s="16"/>
      <c r="GT31" s="16"/>
      <c r="GU31" s="16"/>
      <c r="GV31" s="16"/>
      <c r="GW31" s="16"/>
      <c r="GX31" s="16"/>
      <c r="GY31" s="16"/>
      <c r="GZ31" s="16"/>
      <c r="HA31" s="16"/>
      <c r="HB31" s="16"/>
      <c r="HC31" s="16"/>
      <c r="HD31" s="16"/>
      <c r="HE31" s="16"/>
      <c r="HF31" s="16"/>
      <c r="HG31" s="16"/>
      <c r="HH31" s="16"/>
      <c r="HI31" s="16"/>
      <c r="HJ31" s="16"/>
      <c r="HK31" s="16"/>
      <c r="HL31" s="16"/>
      <c r="HM31" s="16"/>
      <c r="HN31" s="16"/>
      <c r="HO31" s="16"/>
      <c r="HP31" s="16"/>
      <c r="HQ31" s="16"/>
      <c r="HR31" s="16"/>
      <c r="HS31" s="16"/>
      <c r="HT31" s="16"/>
      <c r="HU31" s="16"/>
      <c r="HV31" s="16"/>
      <c r="HW31" s="16"/>
      <c r="HX31" s="16"/>
      <c r="HY31" s="16"/>
      <c r="HZ31" s="16"/>
      <c r="IA31" s="16"/>
      <c r="IB31" s="16"/>
      <c r="IC31" s="16"/>
      <c r="ID31" s="16"/>
      <c r="IE31" s="16"/>
      <c r="IF31" s="16"/>
      <c r="IG31" s="16"/>
      <c r="IH31" s="16"/>
      <c r="II31" s="16"/>
      <c r="IJ31" s="16"/>
      <c r="IK31" s="16"/>
      <c r="IL31" s="16"/>
      <c r="IM31" s="16"/>
      <c r="IN31" s="16"/>
      <c r="IO31" s="16"/>
      <c r="IP31" s="16"/>
      <c r="IQ31" s="16"/>
      <c r="IR31" s="16"/>
      <c r="IS31" s="16"/>
      <c r="IT31" s="16"/>
      <c r="IU31" s="16"/>
      <c r="IV31" s="16"/>
      <c r="IW31" s="16"/>
      <c r="IX31" s="16"/>
      <c r="IY31" s="16"/>
      <c r="IZ31" s="16"/>
      <c r="JA31" s="16"/>
      <c r="JB31" s="16"/>
      <c r="JC31" s="16"/>
      <c r="JD31" s="16"/>
      <c r="JE31" s="16"/>
      <c r="JF31" s="16"/>
      <c r="JG31" s="16"/>
      <c r="JH31" s="16"/>
      <c r="JI31" s="16"/>
      <c r="JJ31" s="16"/>
      <c r="JK31" s="16"/>
      <c r="JL31" s="16"/>
      <c r="JM31" s="16"/>
      <c r="JN31" s="16"/>
      <c r="JO31" s="16"/>
      <c r="JP31" s="16"/>
      <c r="JQ31" s="16"/>
      <c r="JR31" s="16"/>
      <c r="JS31" s="16"/>
      <c r="JT31" s="16"/>
      <c r="JU31" s="16"/>
      <c r="JV31" s="16"/>
      <c r="JW31" s="16"/>
      <c r="JX31" s="16"/>
      <c r="JY31" s="16"/>
      <c r="JZ31" s="16"/>
      <c r="KA31" s="16"/>
      <c r="KB31" s="16"/>
      <c r="KC31" s="16"/>
      <c r="KD31" s="16"/>
      <c r="KE31" s="16"/>
      <c r="KF31" s="16"/>
      <c r="KG31" s="16"/>
      <c r="KH31" s="16"/>
      <c r="KI31" s="16"/>
      <c r="KJ31" s="16"/>
      <c r="KK31" s="16"/>
      <c r="KL31" s="16"/>
      <c r="KM31" s="16"/>
      <c r="KN31" s="16"/>
      <c r="KO31" s="16"/>
      <c r="KP31" s="16"/>
      <c r="KQ31" s="16"/>
      <c r="KR31" s="16"/>
      <c r="KS31" s="16"/>
      <c r="KT31" s="16"/>
    </row>
    <row r="32" spans="1:306" s="3" customFormat="1" ht="116.25" customHeight="1" x14ac:dyDescent="0.25">
      <c r="A32" s="190" t="s">
        <v>98</v>
      </c>
      <c r="B32" s="190" t="s">
        <v>100</v>
      </c>
      <c r="C32" s="190" t="s">
        <v>99</v>
      </c>
      <c r="D32" s="190" t="s">
        <v>903</v>
      </c>
      <c r="E32" s="190" t="s">
        <v>695</v>
      </c>
      <c r="F32" s="192" t="s">
        <v>696</v>
      </c>
      <c r="G32" s="407" t="s">
        <v>335</v>
      </c>
      <c r="H32" s="192" t="s">
        <v>1005</v>
      </c>
      <c r="I32" s="192" t="s">
        <v>1006</v>
      </c>
      <c r="J32" s="252"/>
      <c r="K32" s="216"/>
      <c r="L32" s="216"/>
      <c r="M32" s="694"/>
      <c r="N32" s="170"/>
      <c r="O32" s="942" t="s">
        <v>1007</v>
      </c>
      <c r="P32" s="943" t="s">
        <v>1008</v>
      </c>
      <c r="Q32" s="516" t="s">
        <v>50</v>
      </c>
      <c r="R32" s="516">
        <v>0</v>
      </c>
      <c r="S32" s="516">
        <v>1</v>
      </c>
      <c r="T32" s="944" t="s">
        <v>1009</v>
      </c>
      <c r="U32" s="886" t="s">
        <v>1010</v>
      </c>
      <c r="V32" s="97" t="s">
        <v>50</v>
      </c>
      <c r="W32" s="945">
        <v>0</v>
      </c>
      <c r="X32" s="946">
        <v>18</v>
      </c>
      <c r="Y32" s="753"/>
      <c r="Z32" s="680"/>
      <c r="AA32" s="602"/>
      <c r="AB32" s="947">
        <v>0</v>
      </c>
      <c r="AC32" s="223">
        <v>1</v>
      </c>
      <c r="AD32" s="760">
        <f>+AB32/AC32</f>
        <v>0</v>
      </c>
      <c r="AE32" s="192" t="s">
        <v>1011</v>
      </c>
      <c r="AF32" s="596">
        <v>0</v>
      </c>
      <c r="AG32" s="297">
        <v>18</v>
      </c>
      <c r="AH32" s="682">
        <f>+AF32/AG32</f>
        <v>0</v>
      </c>
      <c r="AI32" s="408" t="s">
        <v>988</v>
      </c>
      <c r="AJ32" s="948">
        <v>0</v>
      </c>
      <c r="AK32" s="735">
        <v>1</v>
      </c>
      <c r="AL32" s="949">
        <f>+AJ32/AK32</f>
        <v>0</v>
      </c>
      <c r="AM32" s="791" t="s">
        <v>1012</v>
      </c>
      <c r="AN32" s="45">
        <v>0</v>
      </c>
      <c r="AO32" s="45">
        <v>18</v>
      </c>
      <c r="AP32" s="46">
        <v>0</v>
      </c>
      <c r="AQ32" s="48" t="s">
        <v>1013</v>
      </c>
      <c r="AR32" s="516">
        <v>0</v>
      </c>
      <c r="AS32" s="516">
        <v>1</v>
      </c>
      <c r="AT32" s="516"/>
      <c r="AU32" s="849" t="s">
        <v>1014</v>
      </c>
      <c r="AV32" s="99">
        <v>0</v>
      </c>
      <c r="AW32" s="99">
        <v>18</v>
      </c>
      <c r="AX32" s="21">
        <f>+AV32/AW32</f>
        <v>0</v>
      </c>
      <c r="AY32" s="950" t="s">
        <v>1015</v>
      </c>
      <c r="AZ32" s="516">
        <v>0</v>
      </c>
      <c r="BA32" s="516">
        <v>1</v>
      </c>
      <c r="BB32" s="516">
        <v>0</v>
      </c>
      <c r="BC32" s="849" t="s">
        <v>1016</v>
      </c>
      <c r="BD32" s="951">
        <v>2</v>
      </c>
      <c r="BE32" s="951">
        <v>18</v>
      </c>
      <c r="BF32" s="21">
        <v>0.1111111111111111</v>
      </c>
      <c r="BG32" s="30" t="s">
        <v>1017</v>
      </c>
      <c r="BH32" s="516">
        <v>0</v>
      </c>
      <c r="BI32" s="516">
        <v>1</v>
      </c>
      <c r="BJ32" s="516">
        <v>0</v>
      </c>
      <c r="BK32" s="849" t="s">
        <v>1018</v>
      </c>
      <c r="BL32" s="952">
        <v>0</v>
      </c>
      <c r="BM32" s="951">
        <v>18</v>
      </c>
      <c r="BN32" s="21">
        <v>0.1111111111111111</v>
      </c>
      <c r="BO32" s="30" t="s">
        <v>1019</v>
      </c>
      <c r="BP32" s="516">
        <v>0</v>
      </c>
      <c r="BQ32" s="516">
        <v>1</v>
      </c>
      <c r="BR32" s="516">
        <v>0</v>
      </c>
      <c r="BS32" s="849" t="s">
        <v>1020</v>
      </c>
      <c r="BT32" s="952">
        <v>3</v>
      </c>
      <c r="BU32" s="951">
        <v>18</v>
      </c>
      <c r="BV32" s="21">
        <v>0.22222222222222221</v>
      </c>
      <c r="BW32" s="765" t="s">
        <v>1021</v>
      </c>
      <c r="BX32" s="516">
        <v>0</v>
      </c>
      <c r="BY32" s="516">
        <v>1</v>
      </c>
      <c r="BZ32" s="516">
        <v>0</v>
      </c>
      <c r="CA32" s="849" t="s">
        <v>1020</v>
      </c>
      <c r="CB32" s="952">
        <v>4</v>
      </c>
      <c r="CC32" s="951">
        <v>18</v>
      </c>
      <c r="CD32" s="21">
        <v>0.22222222222222221</v>
      </c>
      <c r="CE32" s="765" t="s">
        <v>1022</v>
      </c>
      <c r="CF32" s="953">
        <v>0</v>
      </c>
      <c r="CG32" s="953">
        <v>1</v>
      </c>
      <c r="CH32" s="953">
        <v>0</v>
      </c>
      <c r="CI32" s="157" t="s">
        <v>1020</v>
      </c>
      <c r="CJ32" s="954">
        <v>6</v>
      </c>
      <c r="CK32" s="955">
        <v>18</v>
      </c>
      <c r="CL32" s="52">
        <f>+CJ32/CK32</f>
        <v>0.33333333333333331</v>
      </c>
      <c r="CM32" s="731" t="s">
        <v>1023</v>
      </c>
      <c r="CN32" s="956">
        <v>0</v>
      </c>
      <c r="CO32" s="956">
        <v>1</v>
      </c>
      <c r="CP32" s="957">
        <f t="shared" ref="CP32" si="0">+CN32/CO32</f>
        <v>0</v>
      </c>
      <c r="CQ32" s="958" t="s">
        <v>1024</v>
      </c>
      <c r="CR32" s="954">
        <v>6</v>
      </c>
      <c r="CS32" s="955">
        <v>18</v>
      </c>
      <c r="CT32" s="52">
        <f>+CR32/CS32</f>
        <v>0.33333333333333331</v>
      </c>
      <c r="CU32" s="731" t="s">
        <v>1025</v>
      </c>
      <c r="CV32" s="16"/>
      <c r="CW32" s="959"/>
      <c r="CX32" s="16"/>
      <c r="CY32" s="16"/>
      <c r="CZ32" s="16"/>
      <c r="DA32" s="16"/>
      <c r="DB32" s="16"/>
      <c r="DC32" s="16"/>
      <c r="DD32" s="16"/>
      <c r="DE32" s="16"/>
      <c r="DF32" s="16"/>
      <c r="DG32" s="16"/>
      <c r="DH32" s="16"/>
      <c r="DI32" s="16"/>
      <c r="DJ32" s="16"/>
      <c r="DK32" s="16"/>
      <c r="DL32" s="16"/>
      <c r="DM32" s="16"/>
      <c r="DN32" s="16"/>
      <c r="DO32" s="16"/>
      <c r="DP32" s="16"/>
      <c r="DQ32" s="16"/>
      <c r="DR32" s="16"/>
      <c r="DS32" s="16"/>
      <c r="DT32" s="16"/>
      <c r="DU32" s="16"/>
      <c r="DV32" s="16"/>
      <c r="DW32" s="16"/>
      <c r="DX32" s="16"/>
      <c r="DY32" s="16"/>
      <c r="DZ32" s="16"/>
      <c r="EA32" s="16"/>
      <c r="EB32" s="16"/>
      <c r="EC32" s="16"/>
      <c r="ED32" s="16"/>
      <c r="EE32" s="16"/>
      <c r="EF32" s="16"/>
      <c r="EG32" s="16"/>
      <c r="EH32" s="16"/>
      <c r="EI32" s="16"/>
      <c r="EJ32" s="16"/>
      <c r="EK32" s="16"/>
      <c r="EL32" s="16"/>
      <c r="EM32" s="16"/>
      <c r="EN32" s="16"/>
      <c r="EO32" s="16"/>
      <c r="EP32" s="16"/>
      <c r="EQ32" s="16"/>
      <c r="ER32" s="16"/>
      <c r="ES32" s="16"/>
      <c r="ET32" s="16"/>
      <c r="EU32" s="16"/>
      <c r="EV32" s="16"/>
      <c r="EW32" s="16"/>
      <c r="EX32" s="16"/>
      <c r="EY32" s="16"/>
      <c r="EZ32" s="16"/>
      <c r="FA32" s="16"/>
      <c r="FB32" s="16"/>
      <c r="FC32" s="16"/>
      <c r="FD32" s="16"/>
      <c r="FE32" s="16"/>
      <c r="FF32" s="16"/>
      <c r="FG32" s="16"/>
      <c r="FH32" s="16"/>
      <c r="FI32" s="16"/>
      <c r="FJ32" s="16"/>
      <c r="FK32" s="16"/>
      <c r="FL32" s="16"/>
      <c r="FM32" s="16"/>
      <c r="FN32" s="16"/>
      <c r="FO32" s="16"/>
      <c r="FP32" s="16"/>
      <c r="FQ32" s="16"/>
      <c r="FR32" s="16"/>
      <c r="FS32" s="16"/>
      <c r="FT32" s="16"/>
      <c r="FU32" s="16"/>
      <c r="FV32" s="16"/>
      <c r="FW32" s="16"/>
      <c r="FX32" s="16"/>
      <c r="FY32" s="16"/>
      <c r="FZ32" s="16"/>
      <c r="GA32" s="16"/>
      <c r="GB32" s="16"/>
      <c r="GC32" s="16"/>
      <c r="GD32" s="16"/>
      <c r="GE32" s="16"/>
      <c r="GF32" s="16"/>
      <c r="GG32" s="16"/>
      <c r="GH32" s="16"/>
      <c r="GI32" s="16"/>
      <c r="GJ32" s="16"/>
      <c r="GK32" s="16"/>
      <c r="GL32" s="16"/>
      <c r="GM32" s="16"/>
      <c r="GN32" s="16"/>
      <c r="GO32" s="16"/>
      <c r="GP32" s="16"/>
      <c r="GQ32" s="16"/>
      <c r="GR32" s="16"/>
      <c r="GS32" s="16"/>
      <c r="GT32" s="16"/>
      <c r="GU32" s="16"/>
      <c r="GV32" s="16"/>
      <c r="GW32" s="16"/>
      <c r="GX32" s="16"/>
      <c r="GY32" s="16"/>
      <c r="GZ32" s="16"/>
      <c r="HA32" s="16"/>
      <c r="HB32" s="16"/>
      <c r="HC32" s="16"/>
      <c r="HD32" s="16"/>
      <c r="HE32" s="16"/>
      <c r="HF32" s="16"/>
      <c r="HG32" s="16"/>
      <c r="HH32" s="16"/>
      <c r="HI32" s="16"/>
      <c r="HJ32" s="16"/>
      <c r="HK32" s="16"/>
      <c r="HL32" s="16"/>
      <c r="HM32" s="16"/>
      <c r="HN32" s="16"/>
      <c r="HO32" s="16"/>
      <c r="HP32" s="16"/>
      <c r="HQ32" s="16"/>
      <c r="HR32" s="16"/>
      <c r="HS32" s="16"/>
      <c r="HT32" s="16"/>
      <c r="HU32" s="16"/>
      <c r="HV32" s="16"/>
      <c r="HW32" s="16"/>
      <c r="HX32" s="16"/>
      <c r="HY32" s="16"/>
      <c r="HZ32" s="16"/>
      <c r="IA32" s="16"/>
      <c r="IB32" s="16"/>
      <c r="IC32" s="16"/>
      <c r="ID32" s="16"/>
      <c r="IE32" s="16"/>
      <c r="IF32" s="16"/>
      <c r="IG32" s="16"/>
      <c r="IH32" s="16"/>
      <c r="II32" s="16"/>
      <c r="IJ32" s="16"/>
      <c r="IK32" s="16"/>
      <c r="IL32" s="16"/>
      <c r="IM32" s="16"/>
      <c r="IN32" s="16"/>
      <c r="IO32" s="16"/>
      <c r="IP32" s="16"/>
      <c r="IQ32" s="16"/>
      <c r="IR32" s="16"/>
      <c r="IS32" s="16"/>
      <c r="IT32" s="16"/>
      <c r="IU32" s="16"/>
      <c r="IV32" s="16"/>
      <c r="IW32" s="16"/>
      <c r="IX32" s="16"/>
      <c r="IY32" s="16"/>
      <c r="IZ32" s="16"/>
      <c r="JA32" s="16"/>
      <c r="JB32" s="16"/>
      <c r="JC32" s="16"/>
      <c r="JD32" s="16"/>
      <c r="JE32" s="16"/>
      <c r="JF32" s="16"/>
      <c r="JG32" s="16"/>
      <c r="JH32" s="16"/>
      <c r="JI32" s="16"/>
      <c r="JJ32" s="16"/>
      <c r="JK32" s="16"/>
      <c r="JL32" s="16"/>
      <c r="JM32" s="16"/>
      <c r="JN32" s="16"/>
      <c r="JO32" s="16"/>
      <c r="JP32" s="16"/>
      <c r="JQ32" s="16"/>
      <c r="JR32" s="16"/>
      <c r="JS32" s="16"/>
      <c r="JT32" s="16"/>
      <c r="JU32" s="16"/>
      <c r="JV32" s="16"/>
      <c r="JW32" s="16"/>
      <c r="JX32" s="16"/>
      <c r="JY32" s="16"/>
      <c r="JZ32" s="16"/>
      <c r="KA32" s="16"/>
      <c r="KB32" s="16"/>
      <c r="KC32" s="16"/>
      <c r="KD32" s="16"/>
      <c r="KE32" s="16"/>
      <c r="KF32" s="16"/>
      <c r="KG32" s="16"/>
      <c r="KH32" s="16"/>
      <c r="KI32" s="16"/>
      <c r="KJ32" s="16"/>
      <c r="KK32" s="16"/>
      <c r="KL32" s="16"/>
      <c r="KM32" s="16"/>
      <c r="KN32" s="16"/>
      <c r="KO32" s="16"/>
      <c r="KP32" s="16"/>
      <c r="KQ32" s="16"/>
      <c r="KR32" s="16"/>
      <c r="KS32" s="16"/>
      <c r="KT32" s="16"/>
    </row>
    <row r="33" spans="1:306" s="4" customFormat="1" ht="81.75" customHeight="1" x14ac:dyDescent="0.25">
      <c r="A33" s="191"/>
      <c r="B33" s="191"/>
      <c r="C33" s="191"/>
      <c r="D33" s="191"/>
      <c r="E33" s="191"/>
      <c r="F33" s="193"/>
      <c r="G33" s="428"/>
      <c r="H33" s="193"/>
      <c r="I33" s="193"/>
      <c r="J33" s="252"/>
      <c r="K33" s="216"/>
      <c r="L33" s="216"/>
      <c r="M33" s="694"/>
      <c r="N33" s="170"/>
      <c r="O33" s="942"/>
      <c r="P33" s="943"/>
      <c r="Q33" s="516"/>
      <c r="R33" s="516"/>
      <c r="S33" s="516"/>
      <c r="T33" s="960" t="s">
        <v>1026</v>
      </c>
      <c r="U33" s="698" t="s">
        <v>1027</v>
      </c>
      <c r="V33" s="99" t="s">
        <v>50</v>
      </c>
      <c r="W33" s="82">
        <v>0</v>
      </c>
      <c r="X33" s="81">
        <v>7</v>
      </c>
      <c r="Y33" s="753"/>
      <c r="Z33" s="680"/>
      <c r="AA33" s="602"/>
      <c r="AB33" s="961"/>
      <c r="AC33" s="202"/>
      <c r="AD33" s="962"/>
      <c r="AE33" s="193"/>
      <c r="AF33" s="497">
        <v>0</v>
      </c>
      <c r="AG33" s="305">
        <v>7</v>
      </c>
      <c r="AH33" s="701">
        <f>+AF33/AG33</f>
        <v>0</v>
      </c>
      <c r="AI33" s="9" t="s">
        <v>988</v>
      </c>
      <c r="AJ33" s="948"/>
      <c r="AK33" s="735"/>
      <c r="AL33" s="949"/>
      <c r="AM33" s="791"/>
      <c r="AN33" s="45">
        <v>0</v>
      </c>
      <c r="AO33" s="45">
        <v>7</v>
      </c>
      <c r="AP33" s="46">
        <v>0</v>
      </c>
      <c r="AQ33" s="48" t="s">
        <v>1028</v>
      </c>
      <c r="AR33" s="516"/>
      <c r="AS33" s="516"/>
      <c r="AT33" s="516"/>
      <c r="AU33" s="849"/>
      <c r="AV33" s="97">
        <v>0</v>
      </c>
      <c r="AW33" s="97">
        <v>7</v>
      </c>
      <c r="AX33" s="22">
        <f>+AV33/AW33</f>
        <v>0</v>
      </c>
      <c r="AY33" s="937" t="s">
        <v>992</v>
      </c>
      <c r="AZ33" s="516"/>
      <c r="BA33" s="516"/>
      <c r="BB33" s="516"/>
      <c r="BC33" s="849"/>
      <c r="BD33" s="97">
        <v>1</v>
      </c>
      <c r="BE33" s="963">
        <v>7</v>
      </c>
      <c r="BF33" s="22">
        <f>+BD33/BE33</f>
        <v>0.14285714285714285</v>
      </c>
      <c r="BG33" s="937" t="s">
        <v>1029</v>
      </c>
      <c r="BH33" s="516"/>
      <c r="BI33" s="516"/>
      <c r="BJ33" s="516"/>
      <c r="BK33" s="849"/>
      <c r="BL33" s="97">
        <v>0</v>
      </c>
      <c r="BM33" s="963">
        <v>7</v>
      </c>
      <c r="BN33" s="22">
        <v>7.1428571428571425E-2</v>
      </c>
      <c r="BO33" s="937" t="s">
        <v>1030</v>
      </c>
      <c r="BP33" s="516"/>
      <c r="BQ33" s="516"/>
      <c r="BR33" s="516"/>
      <c r="BS33" s="849"/>
      <c r="BT33" s="97">
        <v>0</v>
      </c>
      <c r="BU33" s="963">
        <v>7</v>
      </c>
      <c r="BV33" s="22">
        <v>0</v>
      </c>
      <c r="BW33" s="749" t="s">
        <v>1031</v>
      </c>
      <c r="BX33" s="516"/>
      <c r="BY33" s="516"/>
      <c r="BZ33" s="516"/>
      <c r="CA33" s="849"/>
      <c r="CB33" s="97">
        <v>1</v>
      </c>
      <c r="CC33" s="963">
        <v>7</v>
      </c>
      <c r="CD33" s="22">
        <v>0.14285714285714285</v>
      </c>
      <c r="CE33" s="749" t="s">
        <v>1032</v>
      </c>
      <c r="CF33" s="159"/>
      <c r="CG33" s="159"/>
      <c r="CH33" s="159"/>
      <c r="CI33" s="200"/>
      <c r="CJ33" s="45">
        <v>1</v>
      </c>
      <c r="CK33" s="938">
        <v>7</v>
      </c>
      <c r="CL33" s="46">
        <v>0.14285714285714285</v>
      </c>
      <c r="CM33" s="720" t="s">
        <v>1033</v>
      </c>
      <c r="CN33" s="956"/>
      <c r="CO33" s="956"/>
      <c r="CP33" s="957"/>
      <c r="CQ33" s="958"/>
      <c r="CR33" s="45">
        <v>1</v>
      </c>
      <c r="CS33" s="938">
        <v>7</v>
      </c>
      <c r="CT33" s="46">
        <f>+CR33/CS33</f>
        <v>0.14285714285714285</v>
      </c>
      <c r="CU33" s="720" t="s">
        <v>1034</v>
      </c>
      <c r="CV33" s="16"/>
      <c r="CW33" s="16"/>
      <c r="CX33" s="16"/>
      <c r="CY33" s="16"/>
      <c r="CZ33" s="16"/>
      <c r="DA33" s="16"/>
      <c r="DB33" s="16"/>
      <c r="DC33" s="16"/>
      <c r="DD33" s="16"/>
      <c r="DE33" s="16"/>
      <c r="DF33" s="16"/>
      <c r="DG33" s="16"/>
      <c r="DH33" s="16"/>
      <c r="DI33" s="16"/>
      <c r="DJ33" s="16"/>
      <c r="DK33" s="16"/>
      <c r="DL33" s="16"/>
      <c r="DM33" s="16"/>
      <c r="DN33" s="16"/>
      <c r="DO33" s="16"/>
      <c r="DP33" s="16"/>
      <c r="DQ33" s="16"/>
      <c r="DR33" s="16"/>
      <c r="DS33" s="16"/>
      <c r="DT33" s="16"/>
      <c r="DU33" s="16"/>
      <c r="DV33" s="16"/>
      <c r="DW33" s="16"/>
      <c r="DX33" s="16"/>
      <c r="DY33" s="16"/>
      <c r="DZ33" s="16"/>
      <c r="EA33" s="16"/>
      <c r="EB33" s="16"/>
      <c r="EC33" s="16"/>
      <c r="ED33" s="16"/>
      <c r="EE33" s="16"/>
      <c r="EF33" s="16"/>
      <c r="EG33" s="16"/>
      <c r="EH33" s="16"/>
      <c r="EI33" s="16"/>
      <c r="EJ33" s="16"/>
      <c r="EK33" s="16"/>
      <c r="EL33" s="16"/>
      <c r="EM33" s="16"/>
      <c r="EN33" s="16"/>
      <c r="EO33" s="16"/>
      <c r="EP33" s="16"/>
      <c r="EQ33" s="16"/>
      <c r="ER33" s="16"/>
      <c r="ES33" s="16"/>
      <c r="ET33" s="16"/>
      <c r="EU33" s="16"/>
      <c r="EV33" s="16"/>
      <c r="EW33" s="16"/>
      <c r="EX33" s="16"/>
      <c r="EY33" s="16"/>
      <c r="EZ33" s="16"/>
      <c r="FA33" s="16"/>
      <c r="FB33" s="16"/>
      <c r="FC33" s="16"/>
      <c r="FD33" s="16"/>
      <c r="FE33" s="16"/>
      <c r="FF33" s="16"/>
      <c r="FG33" s="16"/>
      <c r="FH33" s="16"/>
      <c r="FI33" s="16"/>
      <c r="FJ33" s="16"/>
      <c r="FK33" s="16"/>
      <c r="FL33" s="16"/>
      <c r="FM33" s="16"/>
      <c r="FN33" s="16"/>
      <c r="FO33" s="16"/>
      <c r="FP33" s="16"/>
      <c r="FQ33" s="16"/>
      <c r="FR33" s="16"/>
      <c r="FS33" s="16"/>
      <c r="FT33" s="16"/>
      <c r="FU33" s="16"/>
      <c r="FV33" s="16"/>
      <c r="FW33" s="16"/>
      <c r="FX33" s="16"/>
      <c r="FY33" s="16"/>
      <c r="FZ33" s="16"/>
      <c r="GA33" s="16"/>
      <c r="GB33" s="16"/>
      <c r="GC33" s="16"/>
      <c r="GD33" s="16"/>
      <c r="GE33" s="16"/>
      <c r="GF33" s="16"/>
      <c r="GG33" s="16"/>
      <c r="GH33" s="16"/>
      <c r="GI33" s="16"/>
      <c r="GJ33" s="16"/>
      <c r="GK33" s="16"/>
      <c r="GL33" s="16"/>
      <c r="GM33" s="16"/>
      <c r="GN33" s="16"/>
      <c r="GO33" s="16"/>
      <c r="GP33" s="16"/>
      <c r="GQ33" s="16"/>
      <c r="GR33" s="16"/>
      <c r="GS33" s="16"/>
      <c r="GT33" s="16"/>
      <c r="GU33" s="16"/>
      <c r="GV33" s="16"/>
      <c r="GW33" s="16"/>
      <c r="GX33" s="16"/>
      <c r="GY33" s="16"/>
      <c r="GZ33" s="16"/>
      <c r="HA33" s="16"/>
      <c r="HB33" s="16"/>
      <c r="HC33" s="16"/>
      <c r="HD33" s="16"/>
      <c r="HE33" s="16"/>
      <c r="HF33" s="16"/>
      <c r="HG33" s="16"/>
      <c r="HH33" s="16"/>
      <c r="HI33" s="16"/>
      <c r="HJ33" s="16"/>
      <c r="HK33" s="16"/>
      <c r="HL33" s="16"/>
      <c r="HM33" s="16"/>
      <c r="HN33" s="16"/>
      <c r="HO33" s="16"/>
      <c r="HP33" s="16"/>
      <c r="HQ33" s="16"/>
      <c r="HR33" s="16"/>
      <c r="HS33" s="16"/>
      <c r="HT33" s="16"/>
      <c r="HU33" s="16"/>
      <c r="HV33" s="16"/>
      <c r="HW33" s="16"/>
      <c r="HX33" s="16"/>
      <c r="HY33" s="16"/>
      <c r="HZ33" s="16"/>
      <c r="IA33" s="16"/>
      <c r="IB33" s="16"/>
      <c r="IC33" s="16"/>
      <c r="ID33" s="16"/>
      <c r="IE33" s="16"/>
      <c r="IF33" s="16"/>
      <c r="IG33" s="16"/>
      <c r="IH33" s="16"/>
      <c r="II33" s="16"/>
      <c r="IJ33" s="16"/>
      <c r="IK33" s="16"/>
      <c r="IL33" s="16"/>
      <c r="IM33" s="16"/>
      <c r="IN33" s="16"/>
      <c r="IO33" s="16"/>
      <c r="IP33" s="16"/>
      <c r="IQ33" s="16"/>
      <c r="IR33" s="16"/>
      <c r="IS33" s="16"/>
      <c r="IT33" s="16"/>
      <c r="IU33" s="16"/>
      <c r="IV33" s="16"/>
      <c r="IW33" s="16"/>
      <c r="IX33" s="16"/>
      <c r="IY33" s="16"/>
      <c r="IZ33" s="16"/>
      <c r="JA33" s="16"/>
      <c r="JB33" s="16"/>
      <c r="JC33" s="16"/>
      <c r="JD33" s="16"/>
      <c r="JE33" s="16"/>
      <c r="JF33" s="16"/>
      <c r="JG33" s="16"/>
      <c r="JH33" s="16"/>
      <c r="JI33" s="16"/>
      <c r="JJ33" s="16"/>
      <c r="JK33" s="16"/>
      <c r="JL33" s="16"/>
      <c r="JM33" s="16"/>
      <c r="JN33" s="16"/>
      <c r="JO33" s="16"/>
      <c r="JP33" s="16"/>
      <c r="JQ33" s="16"/>
      <c r="JR33" s="16"/>
      <c r="JS33" s="16"/>
      <c r="JT33" s="16"/>
      <c r="JU33" s="16"/>
      <c r="JV33" s="16"/>
      <c r="JW33" s="16"/>
      <c r="JX33" s="16"/>
      <c r="JY33" s="16"/>
      <c r="JZ33" s="16"/>
      <c r="KA33" s="16"/>
      <c r="KB33" s="16"/>
      <c r="KC33" s="16"/>
      <c r="KD33" s="16"/>
      <c r="KE33" s="16"/>
      <c r="KF33" s="16"/>
      <c r="KG33" s="16"/>
      <c r="KH33" s="16"/>
      <c r="KI33" s="16"/>
      <c r="KJ33" s="16"/>
      <c r="KK33" s="16"/>
      <c r="KL33" s="16"/>
      <c r="KM33" s="16"/>
      <c r="KN33" s="16"/>
      <c r="KO33" s="16"/>
      <c r="KP33" s="16"/>
      <c r="KQ33" s="16"/>
      <c r="KR33" s="16"/>
      <c r="KS33" s="16"/>
      <c r="KT33" s="16"/>
    </row>
    <row r="34" spans="1:306" s="3" customFormat="1" ht="102.75" customHeight="1" x14ac:dyDescent="0.25">
      <c r="A34" s="149" t="s">
        <v>98</v>
      </c>
      <c r="B34" s="149" t="s">
        <v>100</v>
      </c>
      <c r="C34" s="149" t="s">
        <v>99</v>
      </c>
      <c r="D34" s="149" t="s">
        <v>903</v>
      </c>
      <c r="E34" s="149" t="s">
        <v>695</v>
      </c>
      <c r="F34" s="149" t="s">
        <v>696</v>
      </c>
      <c r="G34" s="149" t="s">
        <v>1035</v>
      </c>
      <c r="H34" s="455" t="s">
        <v>114</v>
      </c>
      <c r="I34" s="149" t="s">
        <v>116</v>
      </c>
      <c r="J34" s="252"/>
      <c r="K34" s="216"/>
      <c r="L34" s="216"/>
      <c r="M34" s="694"/>
      <c r="N34" s="170"/>
      <c r="O34" s="676" t="s">
        <v>1036</v>
      </c>
      <c r="P34" s="689" t="s">
        <v>1037</v>
      </c>
      <c r="Q34" s="45" t="s">
        <v>50</v>
      </c>
      <c r="R34" s="45">
        <v>0</v>
      </c>
      <c r="S34" s="964">
        <v>900</v>
      </c>
      <c r="T34" s="944" t="s">
        <v>1038</v>
      </c>
      <c r="U34" s="101" t="s">
        <v>1039</v>
      </c>
      <c r="V34" s="944" t="s">
        <v>50</v>
      </c>
      <c r="W34" s="965">
        <v>0</v>
      </c>
      <c r="X34" s="966">
        <v>3</v>
      </c>
      <c r="Y34" s="753"/>
      <c r="Z34" s="680"/>
      <c r="AA34" s="602"/>
      <c r="AB34" s="93">
        <v>20</v>
      </c>
      <c r="AC34" s="93">
        <v>900</v>
      </c>
      <c r="AD34" s="967">
        <f>(20/900)*100%</f>
        <v>2.2222222222222223E-2</v>
      </c>
      <c r="AE34" s="9" t="s">
        <v>1040</v>
      </c>
      <c r="AF34" s="297">
        <v>1</v>
      </c>
      <c r="AG34" s="297">
        <v>3</v>
      </c>
      <c r="AH34" s="682">
        <f>+AF34/AG34</f>
        <v>0.33333333333333331</v>
      </c>
      <c r="AI34" s="9" t="s">
        <v>1041</v>
      </c>
      <c r="AJ34" s="968">
        <v>20</v>
      </c>
      <c r="AK34" s="45">
        <v>3</v>
      </c>
      <c r="AL34" s="46">
        <f>(20/900)*100%</f>
        <v>2.2222222222222223E-2</v>
      </c>
      <c r="AM34" s="49" t="s">
        <v>1040</v>
      </c>
      <c r="AN34" s="45">
        <v>0</v>
      </c>
      <c r="AO34" s="45">
        <v>3</v>
      </c>
      <c r="AP34" s="46">
        <v>0.33333333333333331</v>
      </c>
      <c r="AQ34" s="48" t="s">
        <v>1042</v>
      </c>
      <c r="AR34" s="45">
        <v>900</v>
      </c>
      <c r="AS34" s="45">
        <v>3</v>
      </c>
      <c r="AT34" s="46">
        <f>(20/900)*100%</f>
        <v>2.2222222222222223E-2</v>
      </c>
      <c r="AU34" s="98" t="s">
        <v>1043</v>
      </c>
      <c r="AV34" s="969">
        <v>2</v>
      </c>
      <c r="AW34" s="99">
        <v>3</v>
      </c>
      <c r="AX34" s="21">
        <f>+AV34/AW34</f>
        <v>0.66666666666666663</v>
      </c>
      <c r="AY34" s="970" t="s">
        <v>1044</v>
      </c>
      <c r="AZ34" s="45">
        <v>900</v>
      </c>
      <c r="BA34" s="45">
        <v>3</v>
      </c>
      <c r="BB34" s="46">
        <v>2.2222222222222223E-2</v>
      </c>
      <c r="BC34" s="98" t="s">
        <v>1045</v>
      </c>
      <c r="BD34" s="49">
        <v>0</v>
      </c>
      <c r="BE34" s="98">
        <v>3</v>
      </c>
      <c r="BF34" s="749">
        <v>0.66666666666666663</v>
      </c>
      <c r="BG34" s="49" t="s">
        <v>1046</v>
      </c>
      <c r="BH34" s="45">
        <v>900</v>
      </c>
      <c r="BI34" s="45">
        <v>3</v>
      </c>
      <c r="BJ34" s="46">
        <v>1</v>
      </c>
      <c r="BK34" s="98" t="s">
        <v>1045</v>
      </c>
      <c r="BL34" s="49">
        <v>0</v>
      </c>
      <c r="BM34" s="98">
        <v>3</v>
      </c>
      <c r="BN34" s="749">
        <v>0.66666666666666663</v>
      </c>
      <c r="BO34" s="49" t="s">
        <v>1047</v>
      </c>
      <c r="BP34" s="45">
        <v>900</v>
      </c>
      <c r="BQ34" s="45">
        <v>3</v>
      </c>
      <c r="BR34" s="46">
        <v>1</v>
      </c>
      <c r="BS34" s="720" t="s">
        <v>1045</v>
      </c>
      <c r="BT34" s="49">
        <v>2</v>
      </c>
      <c r="BU34" s="98">
        <v>3</v>
      </c>
      <c r="BV34" s="749">
        <v>0.66666666666666663</v>
      </c>
      <c r="BW34" s="749" t="s">
        <v>1047</v>
      </c>
      <c r="BX34" s="45">
        <v>900</v>
      </c>
      <c r="BY34" s="45">
        <v>3</v>
      </c>
      <c r="BZ34" s="46">
        <v>1</v>
      </c>
      <c r="CA34" s="720" t="s">
        <v>1048</v>
      </c>
      <c r="CB34" s="49">
        <v>3</v>
      </c>
      <c r="CC34" s="98">
        <v>3</v>
      </c>
      <c r="CD34" s="749">
        <v>1</v>
      </c>
      <c r="CE34" s="749" t="s">
        <v>1047</v>
      </c>
      <c r="CF34" s="45">
        <v>900</v>
      </c>
      <c r="CG34" s="45">
        <v>3</v>
      </c>
      <c r="CH34" s="46">
        <v>1</v>
      </c>
      <c r="CI34" s="720" t="s">
        <v>1049</v>
      </c>
      <c r="CJ34" s="49">
        <v>3</v>
      </c>
      <c r="CK34" s="49">
        <v>3</v>
      </c>
      <c r="CL34" s="720">
        <v>1</v>
      </c>
      <c r="CM34" s="720" t="s">
        <v>1050</v>
      </c>
      <c r="CN34" s="971">
        <v>900</v>
      </c>
      <c r="CO34" s="971">
        <v>3</v>
      </c>
      <c r="CP34" s="972">
        <f>((880+20)/900)*100%</f>
        <v>1</v>
      </c>
      <c r="CQ34" s="973" t="s">
        <v>1049</v>
      </c>
      <c r="CR34" s="49">
        <v>3</v>
      </c>
      <c r="CS34" s="49">
        <v>3</v>
      </c>
      <c r="CT34" s="720">
        <v>1</v>
      </c>
      <c r="CU34" s="720" t="s">
        <v>1050</v>
      </c>
      <c r="CV34" s="16"/>
      <c r="CW34" s="16"/>
      <c r="CX34" s="16"/>
      <c r="CY34" s="16"/>
      <c r="CZ34" s="16"/>
      <c r="DA34" s="16"/>
      <c r="DB34" s="16"/>
      <c r="DC34" s="16"/>
      <c r="DD34" s="16"/>
      <c r="DE34" s="16"/>
      <c r="DF34" s="16"/>
      <c r="DG34" s="16"/>
      <c r="DH34" s="16"/>
      <c r="DI34" s="16"/>
      <c r="DJ34" s="16"/>
      <c r="DK34" s="16"/>
      <c r="DL34" s="16"/>
      <c r="DM34" s="16"/>
      <c r="DN34" s="16"/>
      <c r="DO34" s="16"/>
      <c r="DP34" s="16"/>
      <c r="DQ34" s="16"/>
      <c r="DR34" s="16"/>
      <c r="DS34" s="16"/>
      <c r="DT34" s="16"/>
      <c r="DU34" s="16"/>
      <c r="DV34" s="16"/>
      <c r="DW34" s="16"/>
      <c r="DX34" s="16"/>
      <c r="DY34" s="16"/>
      <c r="DZ34" s="16"/>
      <c r="EA34" s="16"/>
      <c r="EB34" s="16"/>
      <c r="EC34" s="16"/>
      <c r="ED34" s="16"/>
      <c r="EE34" s="16"/>
      <c r="EF34" s="16"/>
      <c r="EG34" s="16"/>
      <c r="EH34" s="16"/>
      <c r="EI34" s="16"/>
      <c r="EJ34" s="16"/>
      <c r="EK34" s="16"/>
      <c r="EL34" s="16"/>
      <c r="EM34" s="16"/>
      <c r="EN34" s="16"/>
      <c r="EO34" s="16"/>
      <c r="EP34" s="16"/>
      <c r="EQ34" s="16"/>
      <c r="ER34" s="16"/>
      <c r="ES34" s="16"/>
      <c r="ET34" s="16"/>
      <c r="EU34" s="16"/>
      <c r="EV34" s="16"/>
      <c r="EW34" s="16"/>
      <c r="EX34" s="16"/>
      <c r="EY34" s="16"/>
      <c r="EZ34" s="16"/>
      <c r="FA34" s="16"/>
      <c r="FB34" s="16"/>
      <c r="FC34" s="16"/>
      <c r="FD34" s="16"/>
      <c r="FE34" s="16"/>
      <c r="FF34" s="16"/>
      <c r="FG34" s="16"/>
      <c r="FH34" s="16"/>
      <c r="FI34" s="16"/>
      <c r="FJ34" s="16"/>
      <c r="FK34" s="16"/>
      <c r="FL34" s="16"/>
      <c r="FM34" s="16"/>
      <c r="FN34" s="16"/>
      <c r="FO34" s="16"/>
      <c r="FP34" s="16"/>
      <c r="FQ34" s="16"/>
      <c r="FR34" s="16"/>
      <c r="FS34" s="16"/>
      <c r="FT34" s="16"/>
      <c r="FU34" s="16"/>
      <c r="FV34" s="16"/>
      <c r="FW34" s="16"/>
      <c r="FX34" s="16"/>
      <c r="FY34" s="16"/>
      <c r="FZ34" s="16"/>
      <c r="GA34" s="16"/>
      <c r="GB34" s="16"/>
      <c r="GC34" s="16"/>
      <c r="GD34" s="16"/>
      <c r="GE34" s="16"/>
      <c r="GF34" s="16"/>
      <c r="GG34" s="16"/>
      <c r="GH34" s="16"/>
      <c r="GI34" s="16"/>
      <c r="GJ34" s="16"/>
      <c r="GK34" s="16"/>
      <c r="GL34" s="16"/>
      <c r="GM34" s="16"/>
      <c r="GN34" s="16"/>
      <c r="GO34" s="16"/>
      <c r="GP34" s="16"/>
      <c r="GQ34" s="16"/>
      <c r="GR34" s="16"/>
      <c r="GS34" s="16"/>
      <c r="GT34" s="16"/>
      <c r="GU34" s="16"/>
      <c r="GV34" s="16"/>
      <c r="GW34" s="16"/>
      <c r="GX34" s="16"/>
      <c r="GY34" s="16"/>
      <c r="GZ34" s="16"/>
      <c r="HA34" s="16"/>
      <c r="HB34" s="16"/>
      <c r="HC34" s="16"/>
      <c r="HD34" s="16"/>
      <c r="HE34" s="16"/>
      <c r="HF34" s="16"/>
      <c r="HG34" s="16"/>
      <c r="HH34" s="16"/>
      <c r="HI34" s="16"/>
      <c r="HJ34" s="16"/>
      <c r="HK34" s="16"/>
      <c r="HL34" s="16"/>
      <c r="HM34" s="16"/>
      <c r="HN34" s="16"/>
      <c r="HO34" s="16"/>
      <c r="HP34" s="16"/>
      <c r="HQ34" s="16"/>
      <c r="HR34" s="16"/>
      <c r="HS34" s="16"/>
      <c r="HT34" s="16"/>
      <c r="HU34" s="16"/>
      <c r="HV34" s="16"/>
      <c r="HW34" s="16"/>
      <c r="HX34" s="16"/>
      <c r="HY34" s="16"/>
      <c r="HZ34" s="16"/>
      <c r="IA34" s="16"/>
      <c r="IB34" s="16"/>
      <c r="IC34" s="16"/>
      <c r="ID34" s="16"/>
      <c r="IE34" s="16"/>
      <c r="IF34" s="16"/>
      <c r="IG34" s="16"/>
      <c r="IH34" s="16"/>
      <c r="II34" s="16"/>
      <c r="IJ34" s="16"/>
      <c r="IK34" s="16"/>
      <c r="IL34" s="16"/>
      <c r="IM34" s="16"/>
      <c r="IN34" s="16"/>
      <c r="IO34" s="16"/>
      <c r="IP34" s="16"/>
      <c r="IQ34" s="16"/>
      <c r="IR34" s="16"/>
      <c r="IS34" s="16"/>
      <c r="IT34" s="16"/>
      <c r="IU34" s="16"/>
      <c r="IV34" s="16"/>
      <c r="IW34" s="16"/>
      <c r="IX34" s="16"/>
      <c r="IY34" s="16"/>
      <c r="IZ34" s="16"/>
      <c r="JA34" s="16"/>
      <c r="JB34" s="16"/>
      <c r="JC34" s="16"/>
      <c r="JD34" s="16"/>
      <c r="JE34" s="16"/>
      <c r="JF34" s="16"/>
      <c r="JG34" s="16"/>
      <c r="JH34" s="16"/>
      <c r="JI34" s="16"/>
      <c r="JJ34" s="16"/>
      <c r="JK34" s="16"/>
      <c r="JL34" s="16"/>
      <c r="JM34" s="16"/>
      <c r="JN34" s="16"/>
      <c r="JO34" s="16"/>
      <c r="JP34" s="16"/>
      <c r="JQ34" s="16"/>
      <c r="JR34" s="16"/>
      <c r="JS34" s="16"/>
      <c r="JT34" s="16"/>
      <c r="JU34" s="16"/>
      <c r="JV34" s="16"/>
      <c r="JW34" s="16"/>
      <c r="JX34" s="16"/>
      <c r="JY34" s="16"/>
      <c r="JZ34" s="16"/>
      <c r="KA34" s="16"/>
      <c r="KB34" s="16"/>
      <c r="KC34" s="16"/>
      <c r="KD34" s="16"/>
      <c r="KE34" s="16"/>
      <c r="KF34" s="16"/>
      <c r="KG34" s="16"/>
      <c r="KH34" s="16"/>
      <c r="KI34" s="16"/>
      <c r="KJ34" s="16"/>
      <c r="KK34" s="16"/>
      <c r="KL34" s="16"/>
      <c r="KM34" s="16"/>
      <c r="KN34" s="16"/>
      <c r="KO34" s="16"/>
      <c r="KP34" s="16"/>
      <c r="KQ34" s="16"/>
      <c r="KR34" s="16"/>
      <c r="KS34" s="16"/>
      <c r="KT34" s="16"/>
    </row>
    <row r="35" spans="1:306" s="3" customFormat="1" ht="100.5" customHeight="1" x14ac:dyDescent="0.25">
      <c r="A35" s="185"/>
      <c r="B35" s="185"/>
      <c r="C35" s="185"/>
      <c r="D35" s="185"/>
      <c r="E35" s="185"/>
      <c r="F35" s="185"/>
      <c r="G35" s="185"/>
      <c r="H35" s="8" t="s">
        <v>1051</v>
      </c>
      <c r="I35" s="185"/>
      <c r="J35" s="252"/>
      <c r="K35" s="116"/>
      <c r="L35" s="216"/>
      <c r="M35" s="694"/>
      <c r="N35" s="170"/>
      <c r="O35" s="725" t="s">
        <v>1052</v>
      </c>
      <c r="P35" s="726" t="s">
        <v>1053</v>
      </c>
      <c r="Q35" s="51" t="s">
        <v>50</v>
      </c>
      <c r="R35" s="51">
        <v>0</v>
      </c>
      <c r="S35" s="51">
        <v>1</v>
      </c>
      <c r="T35" s="715"/>
      <c r="U35" s="715"/>
      <c r="V35" s="715"/>
      <c r="W35" s="974"/>
      <c r="X35" s="975"/>
      <c r="Y35" s="753"/>
      <c r="Z35" s="680"/>
      <c r="AA35" s="602"/>
      <c r="AB35" s="93">
        <v>0</v>
      </c>
      <c r="AC35" s="93">
        <v>1</v>
      </c>
      <c r="AD35" s="967">
        <v>0</v>
      </c>
      <c r="AE35" s="9" t="s">
        <v>1054</v>
      </c>
      <c r="AF35" s="297"/>
      <c r="AG35" s="297"/>
      <c r="AH35" s="682"/>
      <c r="AI35" s="9"/>
      <c r="AJ35" s="968">
        <v>0</v>
      </c>
      <c r="AK35" s="45">
        <v>1</v>
      </c>
      <c r="AL35" s="46">
        <v>0</v>
      </c>
      <c r="AM35" s="49" t="s">
        <v>1055</v>
      </c>
      <c r="AN35" s="45"/>
      <c r="AO35" s="45"/>
      <c r="AP35" s="46"/>
      <c r="AQ35" s="814"/>
      <c r="AR35" s="51">
        <v>0</v>
      </c>
      <c r="AS35" s="51">
        <v>1</v>
      </c>
      <c r="AT35" s="51">
        <v>0</v>
      </c>
      <c r="AU35" s="56" t="s">
        <v>1056</v>
      </c>
      <c r="AV35" s="97"/>
      <c r="AW35" s="97"/>
      <c r="AX35" s="22"/>
      <c r="AY35" s="976"/>
      <c r="AZ35" s="51">
        <v>0</v>
      </c>
      <c r="BA35" s="51">
        <v>1</v>
      </c>
      <c r="BB35" s="51">
        <v>0</v>
      </c>
      <c r="BC35" s="56" t="s">
        <v>1057</v>
      </c>
      <c r="BD35" s="56"/>
      <c r="BE35" s="56"/>
      <c r="BF35" s="56"/>
      <c r="BG35" s="56"/>
      <c r="BH35" s="56">
        <v>0</v>
      </c>
      <c r="BI35" s="56">
        <v>1</v>
      </c>
      <c r="BJ35" s="56">
        <v>0</v>
      </c>
      <c r="BK35" s="56" t="s">
        <v>1058</v>
      </c>
      <c r="BL35" s="56"/>
      <c r="BM35" s="56"/>
      <c r="BN35" s="56"/>
      <c r="BO35" s="56"/>
      <c r="BP35" s="56">
        <v>0</v>
      </c>
      <c r="BQ35" s="56">
        <v>1</v>
      </c>
      <c r="BR35" s="56">
        <v>0</v>
      </c>
      <c r="BS35" s="56" t="s">
        <v>1059</v>
      </c>
      <c r="BT35" s="56"/>
      <c r="BU35" s="56"/>
      <c r="BV35" s="56"/>
      <c r="BW35" s="56"/>
      <c r="BX35" s="56">
        <v>0</v>
      </c>
      <c r="BY35" s="56">
        <v>1</v>
      </c>
      <c r="BZ35" s="56">
        <v>0</v>
      </c>
      <c r="CA35" s="56" t="s">
        <v>1060</v>
      </c>
      <c r="CB35" s="56"/>
      <c r="CC35" s="56"/>
      <c r="CD35" s="56"/>
      <c r="CE35" s="56"/>
      <c r="CF35" s="56">
        <v>0</v>
      </c>
      <c r="CG35" s="56">
        <v>1</v>
      </c>
      <c r="CH35" s="56">
        <v>0</v>
      </c>
      <c r="CI35" s="56" t="s">
        <v>1061</v>
      </c>
      <c r="CJ35" s="56"/>
      <c r="CK35" s="56"/>
      <c r="CL35" s="56"/>
      <c r="CM35" s="56"/>
      <c r="CN35" s="977">
        <v>0</v>
      </c>
      <c r="CO35" s="977">
        <v>1</v>
      </c>
      <c r="CP35" s="978">
        <v>0</v>
      </c>
      <c r="CQ35" s="979" t="s">
        <v>1062</v>
      </c>
      <c r="CR35" s="56"/>
      <c r="CS35" s="56"/>
      <c r="CT35" s="56"/>
      <c r="CU35" s="56"/>
      <c r="CV35" s="16"/>
      <c r="CW35" s="16"/>
      <c r="CX35" s="16"/>
      <c r="CY35" s="16"/>
      <c r="CZ35" s="16"/>
      <c r="DA35" s="16"/>
      <c r="DB35" s="16"/>
      <c r="DC35" s="16"/>
      <c r="DD35" s="713"/>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c r="EF35" s="16"/>
      <c r="EG35" s="16"/>
      <c r="EH35" s="16"/>
      <c r="EI35" s="16"/>
      <c r="EJ35" s="16"/>
      <c r="EK35" s="16"/>
      <c r="EL35" s="16"/>
      <c r="EM35" s="16"/>
      <c r="EN35" s="16"/>
      <c r="EO35" s="16"/>
      <c r="EP35" s="16"/>
      <c r="EQ35" s="16"/>
      <c r="ER35" s="16"/>
      <c r="ES35" s="16"/>
      <c r="ET35" s="16"/>
      <c r="EU35" s="16"/>
      <c r="EV35" s="16"/>
      <c r="EW35" s="16"/>
      <c r="EX35" s="16"/>
      <c r="EY35" s="16"/>
      <c r="EZ35" s="16"/>
      <c r="FA35" s="16"/>
      <c r="FB35" s="16"/>
      <c r="FC35" s="16"/>
      <c r="FD35" s="16"/>
      <c r="FE35" s="16"/>
      <c r="FF35" s="16"/>
      <c r="FG35" s="16"/>
      <c r="FH35" s="16"/>
      <c r="FI35" s="16"/>
      <c r="FJ35" s="16"/>
      <c r="FK35" s="16"/>
      <c r="FL35" s="16"/>
      <c r="FM35" s="16"/>
      <c r="FN35" s="16"/>
      <c r="FO35" s="16"/>
      <c r="FP35" s="16"/>
      <c r="FQ35" s="16"/>
      <c r="FR35" s="16"/>
      <c r="FS35" s="16"/>
      <c r="FT35" s="16"/>
      <c r="FU35" s="16"/>
      <c r="FV35" s="16"/>
      <c r="FW35" s="16"/>
      <c r="FX35" s="16"/>
      <c r="FY35" s="16"/>
      <c r="FZ35" s="16"/>
      <c r="GA35" s="16"/>
      <c r="GB35" s="16"/>
      <c r="GC35" s="16"/>
      <c r="GD35" s="16"/>
      <c r="GE35" s="16"/>
      <c r="GF35" s="16"/>
      <c r="GG35" s="16"/>
      <c r="GH35" s="16"/>
      <c r="GI35" s="16"/>
      <c r="GJ35" s="16"/>
      <c r="GK35" s="16"/>
      <c r="GL35" s="16"/>
      <c r="GM35" s="16"/>
      <c r="GN35" s="16"/>
      <c r="GO35" s="16"/>
      <c r="GP35" s="16"/>
      <c r="GQ35" s="16"/>
      <c r="GR35" s="16"/>
      <c r="GS35" s="16"/>
      <c r="GT35" s="16"/>
      <c r="GU35" s="16"/>
      <c r="GV35" s="16"/>
      <c r="GW35" s="16"/>
      <c r="GX35" s="16"/>
      <c r="GY35" s="16"/>
      <c r="GZ35" s="16"/>
      <c r="HA35" s="16"/>
      <c r="HB35" s="16"/>
      <c r="HC35" s="16"/>
      <c r="HD35" s="16"/>
      <c r="HE35" s="16"/>
      <c r="HF35" s="16"/>
      <c r="HG35" s="16"/>
      <c r="HH35" s="16"/>
      <c r="HI35" s="16"/>
      <c r="HJ35" s="16"/>
      <c r="HK35" s="16"/>
      <c r="HL35" s="16"/>
      <c r="HM35" s="16"/>
      <c r="HN35" s="16"/>
      <c r="HO35" s="16"/>
      <c r="HP35" s="16"/>
      <c r="HQ35" s="16"/>
      <c r="HR35" s="16"/>
      <c r="HS35" s="16"/>
      <c r="HT35" s="16"/>
      <c r="HU35" s="16"/>
      <c r="HV35" s="16"/>
      <c r="HW35" s="16"/>
      <c r="HX35" s="16"/>
      <c r="HY35" s="16"/>
      <c r="HZ35" s="16"/>
      <c r="IA35" s="16"/>
      <c r="IB35" s="16"/>
      <c r="IC35" s="16"/>
      <c r="ID35" s="16"/>
      <c r="IE35" s="16"/>
      <c r="IF35" s="16"/>
      <c r="IG35" s="16"/>
      <c r="IH35" s="16"/>
      <c r="II35" s="16"/>
      <c r="IJ35" s="16"/>
      <c r="IK35" s="16"/>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row>
    <row r="36" spans="1:306" s="3" customFormat="1" ht="254.25" customHeight="1" x14ac:dyDescent="0.25">
      <c r="A36" s="150"/>
      <c r="B36" s="150"/>
      <c r="C36" s="150"/>
      <c r="D36" s="150"/>
      <c r="E36" s="150"/>
      <c r="F36" s="150"/>
      <c r="G36" s="150"/>
      <c r="H36" s="455" t="s">
        <v>114</v>
      </c>
      <c r="I36" s="150"/>
      <c r="J36" s="252"/>
      <c r="K36" s="116"/>
      <c r="L36" s="216"/>
      <c r="M36" s="694"/>
      <c r="N36" s="170"/>
      <c r="O36" s="504" t="s">
        <v>1063</v>
      </c>
      <c r="P36" s="504" t="s">
        <v>1064</v>
      </c>
      <c r="Q36" s="980" t="s">
        <v>51</v>
      </c>
      <c r="R36" s="981">
        <v>27</v>
      </c>
      <c r="S36" s="981">
        <v>20</v>
      </c>
      <c r="T36" s="715"/>
      <c r="U36" s="715"/>
      <c r="V36" s="715"/>
      <c r="W36" s="715"/>
      <c r="X36" s="715"/>
      <c r="Y36" s="699"/>
      <c r="Z36" s="680"/>
      <c r="AA36" s="602"/>
      <c r="AB36" s="304">
        <v>0.15</v>
      </c>
      <c r="AC36" s="681">
        <v>0.2</v>
      </c>
      <c r="AD36" s="317">
        <v>0.15</v>
      </c>
      <c r="AE36" s="683" t="s">
        <v>1065</v>
      </c>
      <c r="AF36" s="297"/>
      <c r="AG36" s="297"/>
      <c r="AH36" s="685"/>
      <c r="AI36" s="9"/>
      <c r="AJ36" s="982">
        <v>0.17299999999999999</v>
      </c>
      <c r="AK36" s="982">
        <v>0.2</v>
      </c>
      <c r="AL36" s="982">
        <v>0.16139999999999999</v>
      </c>
      <c r="AM36" s="49" t="s">
        <v>1066</v>
      </c>
      <c r="AN36" s="45"/>
      <c r="AO36" s="45"/>
      <c r="AP36" s="45"/>
      <c r="AQ36" s="814"/>
      <c r="AR36" s="52">
        <v>0.23765786452353616</v>
      </c>
      <c r="AS36" s="52">
        <v>0.2</v>
      </c>
      <c r="AT36" s="52">
        <v>0.18679999999999999</v>
      </c>
      <c r="AU36" s="56" t="s">
        <v>1067</v>
      </c>
      <c r="AV36" s="99" t="s">
        <v>1068</v>
      </c>
      <c r="AW36" s="99"/>
      <c r="AX36" s="99"/>
      <c r="AY36" s="983"/>
      <c r="AZ36" s="46">
        <v>0.25800000000000001</v>
      </c>
      <c r="BA36" s="46">
        <v>0.2</v>
      </c>
      <c r="BB36" s="46">
        <v>0.18709999999999999</v>
      </c>
      <c r="BC36" s="49" t="s">
        <v>1069</v>
      </c>
      <c r="BD36" s="46"/>
      <c r="BE36" s="46"/>
      <c r="BF36" s="46"/>
      <c r="BG36" s="49"/>
      <c r="BH36" s="46">
        <v>0.22693531283138918</v>
      </c>
      <c r="BI36" s="46">
        <v>0.2</v>
      </c>
      <c r="BJ36" s="46">
        <v>0.19521912350597609</v>
      </c>
      <c r="BK36" s="49" t="s">
        <v>1070</v>
      </c>
      <c r="BL36" s="984"/>
      <c r="BM36" s="984"/>
      <c r="BN36" s="984"/>
      <c r="BO36" s="976"/>
      <c r="BP36" s="46">
        <v>0.2135</v>
      </c>
      <c r="BQ36" s="46">
        <v>0.2</v>
      </c>
      <c r="BR36" s="46">
        <v>0.19689999999999999</v>
      </c>
      <c r="BS36" s="720" t="s">
        <v>1071</v>
      </c>
      <c r="BT36" s="984"/>
      <c r="BU36" s="984"/>
      <c r="BV36" s="984"/>
      <c r="BW36" s="976"/>
      <c r="BX36" s="46">
        <v>0.17647058823529413</v>
      </c>
      <c r="BY36" s="46">
        <v>0.2</v>
      </c>
      <c r="BZ36" s="985">
        <f>1071/5592</f>
        <v>0.1915236051502146</v>
      </c>
      <c r="CA36" s="720" t="s">
        <v>1072</v>
      </c>
      <c r="CB36" s="984"/>
      <c r="CC36" s="984"/>
      <c r="CD36" s="984"/>
      <c r="CE36" s="976"/>
      <c r="CF36" s="46">
        <v>0.21229999999999999</v>
      </c>
      <c r="CG36" s="46">
        <v>0.2</v>
      </c>
      <c r="CH36" s="46">
        <f>1291/6798</f>
        <v>0.1899087967049132</v>
      </c>
      <c r="CI36" s="720" t="s">
        <v>1073</v>
      </c>
      <c r="CJ36" s="986"/>
      <c r="CK36" s="986"/>
      <c r="CL36" s="986"/>
      <c r="CM36" s="987"/>
      <c r="CN36" s="988">
        <v>0.2077</v>
      </c>
      <c r="CO36" s="989">
        <v>0.2</v>
      </c>
      <c r="CP36" s="988">
        <v>0.18410000000000001</v>
      </c>
      <c r="CQ36" s="941" t="s">
        <v>1074</v>
      </c>
      <c r="CR36" s="986"/>
      <c r="CS36" s="986"/>
      <c r="CT36" s="986"/>
      <c r="CU36" s="987"/>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c r="IH36" s="16"/>
      <c r="II36" s="16"/>
      <c r="IJ36" s="16"/>
      <c r="IK36" s="16"/>
      <c r="IL36" s="16"/>
      <c r="IM36" s="16"/>
      <c r="IN36" s="16"/>
      <c r="IO36" s="16"/>
      <c r="IP36" s="16"/>
      <c r="IQ36" s="16"/>
      <c r="IR36" s="16"/>
      <c r="IS36" s="16"/>
      <c r="IT36" s="16"/>
      <c r="IU36" s="16"/>
      <c r="IV36" s="16"/>
      <c r="IW36" s="16"/>
      <c r="IX36" s="16"/>
      <c r="IY36" s="16"/>
      <c r="IZ36" s="16"/>
      <c r="JA36" s="16"/>
      <c r="JB36" s="16"/>
      <c r="JC36" s="16"/>
      <c r="JD36" s="16"/>
      <c r="JE36" s="16"/>
      <c r="JF36" s="16"/>
      <c r="JG36" s="16"/>
      <c r="JH36" s="16"/>
      <c r="JI36" s="16"/>
      <c r="JJ36" s="16"/>
      <c r="JK36" s="16"/>
      <c r="JL36" s="16"/>
      <c r="JM36" s="16"/>
      <c r="JN36" s="16"/>
      <c r="JO36" s="16"/>
      <c r="JP36" s="16"/>
      <c r="JQ36" s="16"/>
      <c r="JR36" s="16"/>
      <c r="JS36" s="16"/>
      <c r="JT36" s="16"/>
      <c r="JU36" s="16"/>
      <c r="JV36" s="16"/>
      <c r="JW36" s="16"/>
      <c r="JX36" s="16"/>
      <c r="JY36" s="16"/>
      <c r="JZ36" s="16"/>
      <c r="KA36" s="16"/>
      <c r="KB36" s="16"/>
      <c r="KC36" s="16"/>
      <c r="KD36" s="16"/>
      <c r="KE36" s="16"/>
      <c r="KF36" s="16"/>
      <c r="KG36" s="16"/>
      <c r="KH36" s="16"/>
      <c r="KI36" s="16"/>
      <c r="KJ36" s="16"/>
      <c r="KK36" s="16"/>
      <c r="KL36" s="16"/>
      <c r="KM36" s="16"/>
      <c r="KN36" s="16"/>
      <c r="KO36" s="16"/>
      <c r="KP36" s="16"/>
      <c r="KQ36" s="16"/>
      <c r="KR36" s="16"/>
      <c r="KS36" s="16"/>
      <c r="KT36" s="16"/>
    </row>
    <row r="37" spans="1:306" s="3" customFormat="1" ht="96" x14ac:dyDescent="0.25">
      <c r="A37" s="10" t="s">
        <v>98</v>
      </c>
      <c r="B37" s="10" t="s">
        <v>100</v>
      </c>
      <c r="C37" s="10" t="s">
        <v>99</v>
      </c>
      <c r="D37" s="9" t="s">
        <v>1075</v>
      </c>
      <c r="E37" s="297" t="s">
        <v>695</v>
      </c>
      <c r="F37" s="9" t="s">
        <v>696</v>
      </c>
      <c r="G37" s="297"/>
      <c r="H37" s="9"/>
      <c r="I37" s="297"/>
      <c r="J37" s="252"/>
      <c r="K37" s="7" t="s">
        <v>505</v>
      </c>
      <c r="L37" s="7" t="s">
        <v>505</v>
      </c>
      <c r="M37" s="694"/>
      <c r="N37" s="990" t="s">
        <v>666</v>
      </c>
      <c r="O37" s="991"/>
      <c r="P37" s="992"/>
      <c r="Q37" s="993"/>
      <c r="R37" s="994"/>
      <c r="S37" s="994"/>
      <c r="T37" s="995"/>
      <c r="U37" s="995"/>
      <c r="V37" s="996"/>
      <c r="W37" s="997"/>
      <c r="X37" s="996"/>
      <c r="Y37" s="998">
        <v>553673985.29999995</v>
      </c>
      <c r="Z37" s="680"/>
      <c r="AA37" s="602"/>
      <c r="AB37" s="715"/>
      <c r="AC37" s="999"/>
      <c r="AD37" s="682"/>
      <c r="AE37" s="297"/>
      <c r="AF37" s="297"/>
      <c r="AG37" s="297"/>
      <c r="AH37" s="685"/>
      <c r="AI37" s="297"/>
      <c r="AJ37" s="1000"/>
      <c r="AK37" s="1000"/>
      <c r="AL37" s="682"/>
      <c r="AM37" s="685"/>
      <c r="AN37" s="685"/>
      <c r="AO37" s="685"/>
      <c r="AP37" s="685"/>
      <c r="AQ37" s="717"/>
      <c r="AR37" s="689"/>
      <c r="AS37" s="689"/>
      <c r="AT37" s="857"/>
      <c r="AU37" s="689"/>
      <c r="AV37" s="689"/>
      <c r="AW37" s="689"/>
      <c r="AX37" s="689"/>
      <c r="AY37" s="689"/>
      <c r="AZ37" s="689"/>
      <c r="BA37" s="689"/>
      <c r="BB37" s="857"/>
      <c r="BC37" s="689"/>
      <c r="BD37" s="689"/>
      <c r="BE37" s="689"/>
      <c r="BF37" s="689"/>
      <c r="BG37" s="689"/>
      <c r="BH37" s="689"/>
      <c r="BI37" s="689"/>
      <c r="BJ37" s="857"/>
      <c r="BK37" s="689"/>
      <c r="BL37" s="689"/>
      <c r="BM37" s="689"/>
      <c r="BN37" s="689"/>
      <c r="BO37" s="689"/>
      <c r="BP37" s="689"/>
      <c r="BQ37" s="689"/>
      <c r="BR37" s="857"/>
      <c r="BS37" s="689"/>
      <c r="BT37" s="689"/>
      <c r="BU37" s="689"/>
      <c r="BV37" s="689"/>
      <c r="BW37" s="689"/>
      <c r="BX37" s="689"/>
      <c r="BY37" s="689"/>
      <c r="BZ37" s="857"/>
      <c r="CA37" s="689"/>
      <c r="CB37" s="689"/>
      <c r="CC37" s="689"/>
      <c r="CD37" s="689"/>
      <c r="CE37" s="689"/>
      <c r="CF37" s="56">
        <v>8</v>
      </c>
      <c r="CG37" s="56">
        <v>16</v>
      </c>
      <c r="CH37" s="56">
        <v>0.5</v>
      </c>
      <c r="CI37" s="56" t="s">
        <v>1076</v>
      </c>
      <c r="CJ37" s="689"/>
      <c r="CK37" s="689"/>
      <c r="CL37" s="689"/>
      <c r="CM37" s="689"/>
      <c r="CN37" s="56">
        <v>8</v>
      </c>
      <c r="CO37" s="56">
        <v>16</v>
      </c>
      <c r="CP37" s="56">
        <v>0.5</v>
      </c>
      <c r="CQ37" s="56" t="s">
        <v>1076</v>
      </c>
      <c r="CR37" s="689"/>
      <c r="CS37" s="689"/>
      <c r="CT37" s="689"/>
      <c r="CU37" s="689"/>
      <c r="CV37" s="16"/>
      <c r="CW37" s="16"/>
      <c r="CX37" s="16"/>
      <c r="CY37" s="16"/>
      <c r="CZ37" s="16"/>
      <c r="DA37" s="16"/>
      <c r="DB37" s="16"/>
      <c r="DC37" s="16"/>
      <c r="DD37" s="1001"/>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c r="IH37" s="16"/>
      <c r="II37" s="16"/>
      <c r="IJ37" s="16"/>
      <c r="IK37" s="16"/>
      <c r="IL37" s="16"/>
      <c r="IM37" s="16"/>
      <c r="IN37" s="16"/>
      <c r="IO37" s="16"/>
      <c r="IP37" s="16"/>
      <c r="IQ37" s="16"/>
      <c r="IR37" s="16"/>
      <c r="IS37" s="16"/>
      <c r="IT37" s="16"/>
      <c r="IU37" s="16"/>
      <c r="IV37" s="16"/>
      <c r="IW37" s="16"/>
      <c r="IX37" s="16"/>
      <c r="IY37" s="16"/>
      <c r="IZ37" s="16"/>
      <c r="JA37" s="16"/>
      <c r="JB37" s="16"/>
      <c r="JC37" s="16"/>
      <c r="JD37" s="16"/>
      <c r="JE37" s="16"/>
      <c r="JF37" s="16"/>
      <c r="JG37" s="16"/>
      <c r="JH37" s="16"/>
      <c r="JI37" s="16"/>
      <c r="JJ37" s="16"/>
      <c r="JK37" s="16"/>
      <c r="JL37" s="16"/>
      <c r="JM37" s="16"/>
      <c r="JN37" s="16"/>
      <c r="JO37" s="16"/>
      <c r="JP37" s="16"/>
      <c r="JQ37" s="16"/>
      <c r="JR37" s="16"/>
      <c r="JS37" s="16"/>
      <c r="JT37" s="16"/>
      <c r="JU37" s="16"/>
      <c r="JV37" s="16"/>
      <c r="JW37" s="16"/>
      <c r="JX37" s="16"/>
      <c r="JY37" s="16"/>
      <c r="JZ37" s="16"/>
      <c r="KA37" s="16"/>
      <c r="KB37" s="16"/>
      <c r="KC37" s="16"/>
      <c r="KD37" s="16"/>
      <c r="KE37" s="16"/>
      <c r="KF37" s="16"/>
      <c r="KG37" s="16"/>
      <c r="KH37" s="16"/>
      <c r="KI37" s="16"/>
      <c r="KJ37" s="16"/>
      <c r="KK37" s="16"/>
      <c r="KL37" s="16"/>
      <c r="KM37" s="16"/>
      <c r="KN37" s="16"/>
      <c r="KO37" s="16"/>
      <c r="KP37" s="16"/>
      <c r="KQ37" s="16"/>
      <c r="KR37" s="16"/>
      <c r="KS37" s="16"/>
      <c r="KT37" s="16"/>
    </row>
    <row r="38" spans="1:306" s="4" customFormat="1" ht="41.25" customHeight="1" x14ac:dyDescent="0.25">
      <c r="A38" s="567" t="s">
        <v>98</v>
      </c>
      <c r="B38" s="567" t="s">
        <v>100</v>
      </c>
      <c r="C38" s="567" t="s">
        <v>99</v>
      </c>
      <c r="D38" s="568" t="s">
        <v>927</v>
      </c>
      <c r="E38" s="568" t="s">
        <v>695</v>
      </c>
      <c r="F38" s="1002" t="s">
        <v>696</v>
      </c>
      <c r="G38" s="568"/>
      <c r="H38" s="567"/>
      <c r="I38" s="568"/>
      <c r="J38" s="252"/>
      <c r="K38" s="190" t="s">
        <v>1077</v>
      </c>
      <c r="L38" s="7" t="s">
        <v>505</v>
      </c>
      <c r="M38" s="694"/>
      <c r="N38" s="170" t="s">
        <v>1078</v>
      </c>
      <c r="O38" s="1003" t="s">
        <v>1079</v>
      </c>
      <c r="P38" s="504" t="s">
        <v>1080</v>
      </c>
      <c r="Q38" s="865" t="s">
        <v>51</v>
      </c>
      <c r="R38" s="51">
        <v>0</v>
      </c>
      <c r="S38" s="51">
        <v>100</v>
      </c>
      <c r="T38" s="708"/>
      <c r="U38" s="100"/>
      <c r="V38" s="708"/>
      <c r="W38" s="708"/>
      <c r="X38" s="708"/>
      <c r="Y38" s="716">
        <v>360397658.80000001</v>
      </c>
      <c r="Z38" s="680"/>
      <c r="AA38" s="602"/>
      <c r="AB38" s="1004">
        <v>101</v>
      </c>
      <c r="AC38" s="1005">
        <v>121</v>
      </c>
      <c r="AD38" s="894">
        <v>0.83</v>
      </c>
      <c r="AE38" s="305"/>
      <c r="AF38" s="1006">
        <v>101</v>
      </c>
      <c r="AG38" s="1006">
        <v>121</v>
      </c>
      <c r="AH38" s="894">
        <v>0.83</v>
      </c>
      <c r="AI38" s="305"/>
      <c r="AJ38" s="1007">
        <v>111</v>
      </c>
      <c r="AK38" s="1007">
        <v>131</v>
      </c>
      <c r="AL38" s="1008">
        <f>+AJ38/AK38</f>
        <v>0.84732824427480913</v>
      </c>
      <c r="AM38" s="729"/>
      <c r="AN38" s="1009"/>
      <c r="AO38" s="1009"/>
      <c r="AP38" s="894"/>
      <c r="AQ38" s="730"/>
      <c r="AR38" s="1010">
        <v>24</v>
      </c>
      <c r="AS38" s="706">
        <v>1</v>
      </c>
      <c r="AT38" s="706">
        <v>1</v>
      </c>
      <c r="AU38" s="865"/>
      <c r="AV38" s="1010"/>
      <c r="AW38" s="1010"/>
      <c r="AX38" s="1011"/>
      <c r="AY38" s="865"/>
      <c r="AZ38" s="1010">
        <v>37</v>
      </c>
      <c r="BA38" s="706">
        <v>1</v>
      </c>
      <c r="BB38" s="706">
        <f>+AZ38/37</f>
        <v>1</v>
      </c>
      <c r="BC38" s="504" t="s">
        <v>1081</v>
      </c>
      <c r="BD38" s="1010"/>
      <c r="BE38" s="1010"/>
      <c r="BF38" s="1011"/>
      <c r="BG38" s="865"/>
      <c r="BH38" s="1010">
        <v>35</v>
      </c>
      <c r="BI38" s="706">
        <v>1</v>
      </c>
      <c r="BJ38" s="706">
        <v>1</v>
      </c>
      <c r="BK38" s="504"/>
      <c r="BL38" s="1010"/>
      <c r="BM38" s="1010"/>
      <c r="BN38" s="1011"/>
      <c r="BO38" s="865"/>
      <c r="BP38" s="1010">
        <v>12</v>
      </c>
      <c r="BQ38" s="706">
        <v>1</v>
      </c>
      <c r="BR38" s="706">
        <v>1</v>
      </c>
      <c r="BS38" s="504" t="s">
        <v>1082</v>
      </c>
      <c r="BT38" s="1010"/>
      <c r="BU38" s="1010"/>
      <c r="BV38" s="1011"/>
      <c r="BW38" s="865"/>
      <c r="BX38" s="1004">
        <v>26</v>
      </c>
      <c r="BY38" s="1004">
        <v>26</v>
      </c>
      <c r="BZ38" s="1011">
        <v>1</v>
      </c>
      <c r="CA38" s="504" t="s">
        <v>1083</v>
      </c>
      <c r="CB38" s="1010"/>
      <c r="CC38" s="1010"/>
      <c r="CD38" s="1011"/>
      <c r="CE38" s="865"/>
      <c r="CF38" s="1004">
        <v>26</v>
      </c>
      <c r="CG38" s="1011">
        <v>1</v>
      </c>
      <c r="CH38" s="1004">
        <v>26</v>
      </c>
      <c r="CI38" s="504" t="s">
        <v>1084</v>
      </c>
      <c r="CJ38" s="1010"/>
      <c r="CK38" s="1010"/>
      <c r="CL38" s="1011"/>
      <c r="CM38" s="865"/>
      <c r="CN38" s="1005">
        <v>26</v>
      </c>
      <c r="CO38" s="1005">
        <v>26</v>
      </c>
      <c r="CP38" s="894">
        <f>+CN38/CO38</f>
        <v>1</v>
      </c>
      <c r="CQ38" s="504" t="s">
        <v>1085</v>
      </c>
      <c r="CR38" s="1010"/>
      <c r="CS38" s="1010"/>
      <c r="CT38" s="1011"/>
      <c r="CU38" s="865"/>
      <c r="CV38" s="16"/>
      <c r="CW38" s="16"/>
      <c r="CX38" s="16"/>
      <c r="CY38" s="16"/>
      <c r="CZ38" s="16"/>
      <c r="DA38" s="16"/>
      <c r="DB38" s="16"/>
      <c r="DC38" s="16"/>
      <c r="DD38" s="713"/>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c r="FB38" s="16"/>
      <c r="FC38" s="16"/>
      <c r="FD38" s="16"/>
      <c r="FE38" s="16"/>
      <c r="FF38" s="16"/>
      <c r="FG38" s="16"/>
      <c r="FH38" s="16"/>
      <c r="FI38" s="16"/>
      <c r="FJ38" s="16"/>
      <c r="FK38" s="16"/>
      <c r="FL38" s="16"/>
      <c r="FM38" s="16"/>
      <c r="FN38" s="16"/>
      <c r="FO38" s="16"/>
      <c r="FP38" s="16"/>
      <c r="FQ38" s="16"/>
      <c r="FR38" s="16"/>
      <c r="FS38" s="16"/>
      <c r="FT38" s="16"/>
      <c r="FU38" s="16"/>
      <c r="FV38" s="16"/>
      <c r="FW38" s="16"/>
      <c r="FX38" s="16"/>
      <c r="FY38" s="16"/>
      <c r="FZ38" s="16"/>
      <c r="GA38" s="16"/>
      <c r="GB38" s="16"/>
      <c r="GC38" s="16"/>
      <c r="GD38" s="16"/>
      <c r="GE38" s="16"/>
      <c r="GF38" s="16"/>
      <c r="GG38" s="16"/>
      <c r="GH38" s="16"/>
      <c r="GI38" s="16"/>
      <c r="GJ38" s="16"/>
      <c r="GK38" s="16"/>
      <c r="GL38" s="16"/>
      <c r="GM38" s="16"/>
      <c r="GN38" s="16"/>
      <c r="GO38" s="16"/>
      <c r="GP38" s="16"/>
      <c r="GQ38" s="16"/>
      <c r="GR38" s="16"/>
      <c r="GS38" s="16"/>
      <c r="GT38" s="16"/>
      <c r="GU38" s="16"/>
      <c r="GV38" s="16"/>
      <c r="GW38" s="16"/>
      <c r="GX38" s="16"/>
      <c r="GY38" s="16"/>
      <c r="GZ38" s="16"/>
      <c r="HA38" s="16"/>
      <c r="HB38" s="16"/>
      <c r="HC38" s="16"/>
      <c r="HD38" s="16"/>
      <c r="HE38" s="16"/>
      <c r="HF38" s="16"/>
      <c r="HG38" s="16"/>
      <c r="HH38" s="16"/>
      <c r="HI38" s="16"/>
      <c r="HJ38" s="16"/>
      <c r="HK38" s="16"/>
      <c r="HL38" s="16"/>
      <c r="HM38" s="16"/>
      <c r="HN38" s="16"/>
      <c r="HO38" s="16"/>
      <c r="HP38" s="16"/>
      <c r="HQ38" s="16"/>
      <c r="HR38" s="16"/>
      <c r="HS38" s="16"/>
      <c r="HT38" s="16"/>
      <c r="HU38" s="16"/>
      <c r="HV38" s="16"/>
      <c r="HW38" s="16"/>
      <c r="HX38" s="16"/>
      <c r="HY38" s="16"/>
      <c r="HZ38" s="16"/>
      <c r="IA38" s="16"/>
      <c r="IB38" s="16"/>
      <c r="IC38" s="16"/>
      <c r="ID38" s="16"/>
      <c r="IE38" s="16"/>
      <c r="IF38" s="16"/>
      <c r="IG38" s="16"/>
      <c r="IH38" s="16"/>
      <c r="II38" s="16"/>
      <c r="IJ38" s="16"/>
      <c r="IK38" s="16"/>
      <c r="IL38" s="16"/>
      <c r="IM38" s="16"/>
      <c r="IN38" s="16"/>
      <c r="IO38" s="16"/>
      <c r="IP38" s="16"/>
      <c r="IQ38" s="16"/>
      <c r="IR38" s="16"/>
      <c r="IS38" s="16"/>
      <c r="IT38" s="16"/>
      <c r="IU38" s="16"/>
      <c r="IV38" s="16"/>
      <c r="IW38" s="16"/>
      <c r="IX38" s="16"/>
      <c r="IY38" s="16"/>
      <c r="IZ38" s="16"/>
      <c r="JA38" s="16"/>
      <c r="JB38" s="16"/>
      <c r="JC38" s="16"/>
      <c r="JD38" s="16"/>
      <c r="JE38" s="16"/>
      <c r="JF38" s="16"/>
      <c r="JG38" s="16"/>
      <c r="JH38" s="16"/>
      <c r="JI38" s="16"/>
      <c r="JJ38" s="16"/>
      <c r="JK38" s="16"/>
      <c r="JL38" s="16"/>
      <c r="JM38" s="16"/>
      <c r="JN38" s="16"/>
      <c r="JO38" s="16"/>
      <c r="JP38" s="16"/>
      <c r="JQ38" s="16"/>
      <c r="JR38" s="16"/>
      <c r="JS38" s="16"/>
      <c r="JT38" s="16"/>
      <c r="JU38" s="16"/>
      <c r="JV38" s="16"/>
      <c r="JW38" s="16"/>
      <c r="JX38" s="16"/>
      <c r="JY38" s="16"/>
      <c r="JZ38" s="16"/>
      <c r="KA38" s="16"/>
      <c r="KB38" s="16"/>
      <c r="KC38" s="16"/>
      <c r="KD38" s="16"/>
      <c r="KE38" s="16"/>
      <c r="KF38" s="16"/>
      <c r="KG38" s="16"/>
      <c r="KH38" s="16"/>
      <c r="KI38" s="16"/>
      <c r="KJ38" s="16"/>
      <c r="KK38" s="16"/>
      <c r="KL38" s="16"/>
      <c r="KM38" s="16"/>
      <c r="KN38" s="16"/>
      <c r="KO38" s="16"/>
      <c r="KP38" s="16"/>
      <c r="KQ38" s="16"/>
      <c r="KR38" s="16"/>
      <c r="KS38" s="16"/>
      <c r="KT38" s="16"/>
    </row>
    <row r="39" spans="1:306" ht="48" x14ac:dyDescent="0.25">
      <c r="A39" s="247"/>
      <c r="B39" s="247"/>
      <c r="C39" s="247"/>
      <c r="D39" s="1012"/>
      <c r="E39" s="1012"/>
      <c r="F39" s="1013"/>
      <c r="G39" s="1012"/>
      <c r="H39" s="247"/>
      <c r="I39" s="1012"/>
      <c r="J39" s="253"/>
      <c r="K39" s="191"/>
      <c r="L39" s="6" t="s">
        <v>505</v>
      </c>
      <c r="M39" s="694"/>
      <c r="N39" s="170"/>
      <c r="O39" s="676" t="s">
        <v>1086</v>
      </c>
      <c r="P39" s="719" t="s">
        <v>1087</v>
      </c>
      <c r="Q39" s="689" t="s">
        <v>51</v>
      </c>
      <c r="R39" s="45">
        <v>0</v>
      </c>
      <c r="S39" s="45">
        <v>100</v>
      </c>
      <c r="T39" s="715"/>
      <c r="U39" s="98"/>
      <c r="V39" s="715"/>
      <c r="W39" s="715"/>
      <c r="X39" s="715"/>
      <c r="Y39" s="728"/>
      <c r="Z39" s="680"/>
      <c r="AA39" s="602"/>
      <c r="AB39" s="715">
        <v>41</v>
      </c>
      <c r="AC39" s="3">
        <v>41</v>
      </c>
      <c r="AD39" s="1014">
        <v>1</v>
      </c>
      <c r="AE39" s="3"/>
      <c r="AF39" s="3">
        <v>41</v>
      </c>
      <c r="AG39" s="3">
        <v>41</v>
      </c>
      <c r="AH39" s="1014">
        <v>1</v>
      </c>
      <c r="AI39" s="3"/>
      <c r="AJ39" s="687">
        <v>8</v>
      </c>
      <c r="AK39" s="687">
        <v>8</v>
      </c>
      <c r="AL39" s="1014">
        <f>+AJ39/AK39</f>
        <v>1</v>
      </c>
      <c r="AM39" s="687"/>
      <c r="AN39" s="687"/>
      <c r="AO39" s="687"/>
      <c r="AP39" s="1014"/>
      <c r="AQ39" s="687"/>
      <c r="AR39" s="689">
        <v>13</v>
      </c>
      <c r="AS39" s="888">
        <v>1</v>
      </c>
      <c r="AT39" s="1015">
        <v>13</v>
      </c>
      <c r="AU39" s="689"/>
      <c r="AV39" s="689"/>
      <c r="AW39" s="689"/>
      <c r="AX39" s="888"/>
      <c r="AY39" s="689"/>
      <c r="AZ39" s="689">
        <v>6</v>
      </c>
      <c r="BA39" s="888">
        <v>1</v>
      </c>
      <c r="BB39" s="1015">
        <v>100</v>
      </c>
      <c r="BC39" s="719" t="s">
        <v>1088</v>
      </c>
      <c r="BD39" s="689"/>
      <c r="BE39" s="689"/>
      <c r="BF39" s="888"/>
      <c r="BG39" s="689"/>
      <c r="BH39" s="689">
        <v>71</v>
      </c>
      <c r="BI39" s="888">
        <v>1</v>
      </c>
      <c r="BJ39" s="1016">
        <v>1</v>
      </c>
      <c r="BK39" s="719"/>
      <c r="BL39" s="689"/>
      <c r="BM39" s="689"/>
      <c r="BN39" s="888"/>
      <c r="BO39" s="689"/>
      <c r="BP39" s="689">
        <v>1</v>
      </c>
      <c r="BQ39" s="1016">
        <v>1</v>
      </c>
      <c r="BR39" s="1016">
        <v>1</v>
      </c>
      <c r="BS39" s="719" t="s">
        <v>1089</v>
      </c>
      <c r="BT39" s="689"/>
      <c r="BU39" s="689"/>
      <c r="BV39" s="888"/>
      <c r="BW39" s="689"/>
      <c r="BX39" s="715">
        <v>26</v>
      </c>
      <c r="BY39" s="715">
        <v>26</v>
      </c>
      <c r="BZ39" s="888">
        <v>1</v>
      </c>
      <c r="CA39" s="719" t="s">
        <v>1090</v>
      </c>
      <c r="CB39" s="689"/>
      <c r="CC39" s="689"/>
      <c r="CD39" s="888"/>
      <c r="CE39" s="689"/>
      <c r="CF39" s="715">
        <v>1</v>
      </c>
      <c r="CG39" s="888">
        <v>1</v>
      </c>
      <c r="CH39" s="715">
        <v>1</v>
      </c>
      <c r="CI39" s="719" t="s">
        <v>1090</v>
      </c>
      <c r="CJ39" s="689"/>
      <c r="CK39" s="689"/>
      <c r="CL39" s="888"/>
      <c r="CM39" s="689"/>
      <c r="CN39" s="3">
        <v>43</v>
      </c>
      <c r="CO39" s="3">
        <v>43</v>
      </c>
      <c r="CP39" s="1014">
        <f>+CN39/CO39</f>
        <v>1</v>
      </c>
      <c r="CQ39" s="719" t="s">
        <v>1091</v>
      </c>
      <c r="CR39" s="689"/>
      <c r="CS39" s="689"/>
      <c r="CT39" s="888"/>
      <c r="CU39" s="689"/>
      <c r="DD39" s="713"/>
    </row>
    <row r="40" spans="1:306" ht="12" x14ac:dyDescent="0.25">
      <c r="DD40" s="713"/>
    </row>
    <row r="41" spans="1:306" ht="22.5" customHeight="1" x14ac:dyDescent="0.25">
      <c r="DD41" s="1001"/>
    </row>
    <row r="44" spans="1:306" ht="22.5" customHeight="1" x14ac:dyDescent="0.25">
      <c r="T44" s="1019"/>
    </row>
    <row r="45" spans="1:306" ht="22.5" customHeight="1" x14ac:dyDescent="0.25">
      <c r="T45" s="1019"/>
    </row>
    <row r="46" spans="1:306" ht="22.5" customHeight="1" x14ac:dyDescent="0.25">
      <c r="T46" s="1020"/>
    </row>
    <row r="47" spans="1:306" ht="22.5" customHeight="1" x14ac:dyDescent="0.25">
      <c r="T47" s="1019"/>
    </row>
    <row r="48" spans="1:306" ht="22.5" customHeight="1" x14ac:dyDescent="0.25">
      <c r="T48" s="1019"/>
    </row>
    <row r="49" spans="20:20" ht="22.5" customHeight="1" x14ac:dyDescent="0.25">
      <c r="T49" s="1019"/>
    </row>
    <row r="50" spans="20:20" ht="22.5" customHeight="1" x14ac:dyDescent="0.25">
      <c r="T50" s="1019"/>
    </row>
    <row r="51" spans="20:20" ht="22.5" customHeight="1" x14ac:dyDescent="0.25">
      <c r="T51" s="1019"/>
    </row>
  </sheetData>
  <sheetProtection algorithmName="SHA-512" hashValue="dy5c37j+F0MIRfRgGWWMWByqrEf3IpZ9pnccGqBSxVfu8VzdGLlxPzPlhrvoJEZG7RbLjqQCUgeJv6RFV8e+lg==" saltValue="M1F7xeL5gpOeOBQGM2A8kg==" spinCount="100000" sheet="1" objects="1" scenarios="1" selectLockedCells="1" selectUnlockedCells="1"/>
  <mergeCells count="371">
    <mergeCell ref="I38:I39"/>
    <mergeCell ref="K38:K39"/>
    <mergeCell ref="N38:N39"/>
    <mergeCell ref="Y38:Y39"/>
    <mergeCell ref="G34:G36"/>
    <mergeCell ref="I34:I36"/>
    <mergeCell ref="A38:A39"/>
    <mergeCell ref="B38:B39"/>
    <mergeCell ref="C38:C39"/>
    <mergeCell ref="D38:D39"/>
    <mergeCell ref="E38:E39"/>
    <mergeCell ref="F38:F39"/>
    <mergeCell ref="G38:G39"/>
    <mergeCell ref="H38:H39"/>
    <mergeCell ref="CN32:CN33"/>
    <mergeCell ref="CO32:CO33"/>
    <mergeCell ref="CP32:CP33"/>
    <mergeCell ref="CQ32:CQ33"/>
    <mergeCell ref="A34:A36"/>
    <mergeCell ref="B34:B36"/>
    <mergeCell ref="C34:C36"/>
    <mergeCell ref="D34:D36"/>
    <mergeCell ref="E34:E36"/>
    <mergeCell ref="F34:F36"/>
    <mergeCell ref="BZ32:BZ33"/>
    <mergeCell ref="CA32:CA33"/>
    <mergeCell ref="CF32:CF33"/>
    <mergeCell ref="CG32:CG33"/>
    <mergeCell ref="CH32:CH33"/>
    <mergeCell ref="CI32:CI33"/>
    <mergeCell ref="BP32:BP33"/>
    <mergeCell ref="BQ32:BQ33"/>
    <mergeCell ref="BR32:BR33"/>
    <mergeCell ref="BS32:BS33"/>
    <mergeCell ref="BX32:BX33"/>
    <mergeCell ref="BY32:BY33"/>
    <mergeCell ref="BB32:BB33"/>
    <mergeCell ref="BC32:BC33"/>
    <mergeCell ref="BH32:BH33"/>
    <mergeCell ref="BI32:BI33"/>
    <mergeCell ref="BJ32:BJ33"/>
    <mergeCell ref="BK32:BK33"/>
    <mergeCell ref="AR32:AR33"/>
    <mergeCell ref="AS32:AS33"/>
    <mergeCell ref="AT32:AT33"/>
    <mergeCell ref="AU32:AU33"/>
    <mergeCell ref="AZ32:AZ33"/>
    <mergeCell ref="BA32:BA33"/>
    <mergeCell ref="AD32:AD33"/>
    <mergeCell ref="AE32:AE33"/>
    <mergeCell ref="AJ32:AJ33"/>
    <mergeCell ref="AK32:AK33"/>
    <mergeCell ref="AL32:AL33"/>
    <mergeCell ref="AM32:AM33"/>
    <mergeCell ref="G32:G33"/>
    <mergeCell ref="H32:H33"/>
    <mergeCell ref="I32:I33"/>
    <mergeCell ref="O32:O33"/>
    <mergeCell ref="P32:P33"/>
    <mergeCell ref="Q32:Q33"/>
    <mergeCell ref="A32:A33"/>
    <mergeCell ref="B32:B33"/>
    <mergeCell ref="C32:C33"/>
    <mergeCell ref="D32:D33"/>
    <mergeCell ref="E32:E33"/>
    <mergeCell ref="F32:F33"/>
    <mergeCell ref="CP27:CP29"/>
    <mergeCell ref="CQ27:CQ29"/>
    <mergeCell ref="K31:K34"/>
    <mergeCell ref="L31:L36"/>
    <mergeCell ref="N31:N36"/>
    <mergeCell ref="Y31:Y36"/>
    <mergeCell ref="R32:R33"/>
    <mergeCell ref="S32:S33"/>
    <mergeCell ref="AB32:AB33"/>
    <mergeCell ref="AC32:AC33"/>
    <mergeCell ref="CF27:CF29"/>
    <mergeCell ref="CG27:CG29"/>
    <mergeCell ref="CH27:CH29"/>
    <mergeCell ref="CI27:CI29"/>
    <mergeCell ref="CN27:CN29"/>
    <mergeCell ref="CO27:CO29"/>
    <mergeCell ref="BR27:BR29"/>
    <mergeCell ref="BS27:BS29"/>
    <mergeCell ref="BX27:BX29"/>
    <mergeCell ref="BY27:BY29"/>
    <mergeCell ref="BZ27:BZ29"/>
    <mergeCell ref="CA27:CA29"/>
    <mergeCell ref="BH27:BH29"/>
    <mergeCell ref="BI27:BI29"/>
    <mergeCell ref="BJ27:BJ29"/>
    <mergeCell ref="BK27:BK29"/>
    <mergeCell ref="BP27:BP29"/>
    <mergeCell ref="BQ27:BQ29"/>
    <mergeCell ref="AR27:AR29"/>
    <mergeCell ref="AS27:AS29"/>
    <mergeCell ref="AZ27:AZ29"/>
    <mergeCell ref="BA27:BA29"/>
    <mergeCell ref="BB27:BB29"/>
    <mergeCell ref="BC27:BC29"/>
    <mergeCell ref="S27:S29"/>
    <mergeCell ref="Y27:Y30"/>
    <mergeCell ref="AB27:AB29"/>
    <mergeCell ref="AC27:AC29"/>
    <mergeCell ref="AJ27:AJ29"/>
    <mergeCell ref="AK27:AK29"/>
    <mergeCell ref="L27:L30"/>
    <mergeCell ref="N27:N30"/>
    <mergeCell ref="O27:O29"/>
    <mergeCell ref="P27:P29"/>
    <mergeCell ref="Q27:Q29"/>
    <mergeCell ref="R27:R29"/>
    <mergeCell ref="L25:L26"/>
    <mergeCell ref="N25:N26"/>
    <mergeCell ref="Y25:Y26"/>
    <mergeCell ref="A27:A30"/>
    <mergeCell ref="B27:B30"/>
    <mergeCell ref="C27:C30"/>
    <mergeCell ref="D27:D30"/>
    <mergeCell ref="E27:E30"/>
    <mergeCell ref="F27:F30"/>
    <mergeCell ref="K27:K30"/>
    <mergeCell ref="CO22:CO24"/>
    <mergeCell ref="CP22:CP24"/>
    <mergeCell ref="CQ22:CQ24"/>
    <mergeCell ref="A25:A26"/>
    <mergeCell ref="B25:B26"/>
    <mergeCell ref="C25:C26"/>
    <mergeCell ref="D25:D26"/>
    <mergeCell ref="E25:E26"/>
    <mergeCell ref="F25:F26"/>
    <mergeCell ref="K25:K26"/>
    <mergeCell ref="CA22:CA24"/>
    <mergeCell ref="CF22:CF24"/>
    <mergeCell ref="CG22:CG24"/>
    <mergeCell ref="CH22:CH24"/>
    <mergeCell ref="CI22:CI24"/>
    <mergeCell ref="CN22:CN24"/>
    <mergeCell ref="BQ22:BQ24"/>
    <mergeCell ref="BR22:BR24"/>
    <mergeCell ref="BS22:BS24"/>
    <mergeCell ref="BX22:BX24"/>
    <mergeCell ref="BY22:BY24"/>
    <mergeCell ref="BZ22:BZ24"/>
    <mergeCell ref="BC22:BC24"/>
    <mergeCell ref="BH22:BH24"/>
    <mergeCell ref="BI22:BI24"/>
    <mergeCell ref="BJ22:BJ24"/>
    <mergeCell ref="BK22:BK24"/>
    <mergeCell ref="BP22:BP24"/>
    <mergeCell ref="AS22:AS24"/>
    <mergeCell ref="AT22:AT24"/>
    <mergeCell ref="AU22:AU24"/>
    <mergeCell ref="AZ22:AZ24"/>
    <mergeCell ref="BA22:BA24"/>
    <mergeCell ref="BB22:BB24"/>
    <mergeCell ref="AE22:AE24"/>
    <mergeCell ref="AJ22:AJ24"/>
    <mergeCell ref="AK22:AK24"/>
    <mergeCell ref="AL22:AL24"/>
    <mergeCell ref="AM22:AM24"/>
    <mergeCell ref="AR22:AR24"/>
    <mergeCell ref="R22:R24"/>
    <mergeCell ref="S22:S24"/>
    <mergeCell ref="Y22:Y24"/>
    <mergeCell ref="AB22:AB24"/>
    <mergeCell ref="AC22:AC24"/>
    <mergeCell ref="AD22:AD24"/>
    <mergeCell ref="K22:K24"/>
    <mergeCell ref="L22:L24"/>
    <mergeCell ref="N22:N24"/>
    <mergeCell ref="O22:O24"/>
    <mergeCell ref="P22:P24"/>
    <mergeCell ref="Q22:Q24"/>
    <mergeCell ref="CN19:CN20"/>
    <mergeCell ref="CO19:CO20"/>
    <mergeCell ref="CP19:CP20"/>
    <mergeCell ref="CQ19:CQ20"/>
    <mergeCell ref="A22:A24"/>
    <mergeCell ref="B22:B24"/>
    <mergeCell ref="C22:C24"/>
    <mergeCell ref="D22:D24"/>
    <mergeCell ref="E22:E24"/>
    <mergeCell ref="F22:F24"/>
    <mergeCell ref="BZ19:BZ20"/>
    <mergeCell ref="CA19:CA20"/>
    <mergeCell ref="CF19:CF20"/>
    <mergeCell ref="CG19:CG20"/>
    <mergeCell ref="CH19:CH20"/>
    <mergeCell ref="CI19:CI20"/>
    <mergeCell ref="BP19:BP20"/>
    <mergeCell ref="BQ19:BQ20"/>
    <mergeCell ref="BR19:BR20"/>
    <mergeCell ref="BS19:BS20"/>
    <mergeCell ref="BX19:BX20"/>
    <mergeCell ref="BY19:BY20"/>
    <mergeCell ref="BB19:BB20"/>
    <mergeCell ref="BC19:BC20"/>
    <mergeCell ref="BH19:BH20"/>
    <mergeCell ref="BI19:BI20"/>
    <mergeCell ref="BJ19:BJ20"/>
    <mergeCell ref="BK19:BK20"/>
    <mergeCell ref="AR19:AR20"/>
    <mergeCell ref="AS19:AS20"/>
    <mergeCell ref="AT19:AT20"/>
    <mergeCell ref="AU19:AU20"/>
    <mergeCell ref="AZ19:AZ20"/>
    <mergeCell ref="BA19:BA20"/>
    <mergeCell ref="AD19:AD20"/>
    <mergeCell ref="AE19:AE20"/>
    <mergeCell ref="AJ19:AJ20"/>
    <mergeCell ref="AK19:AK20"/>
    <mergeCell ref="AL19:AL20"/>
    <mergeCell ref="AM19:AM20"/>
    <mergeCell ref="CO17:CO18"/>
    <mergeCell ref="CP17:CP18"/>
    <mergeCell ref="CQ17:CQ18"/>
    <mergeCell ref="O19:O20"/>
    <mergeCell ref="P19:P20"/>
    <mergeCell ref="Q19:Q20"/>
    <mergeCell ref="R19:R20"/>
    <mergeCell ref="S19:S20"/>
    <mergeCell ref="AB19:AB20"/>
    <mergeCell ref="AC19:AC20"/>
    <mergeCell ref="CA17:CA18"/>
    <mergeCell ref="CF17:CF18"/>
    <mergeCell ref="CG17:CG18"/>
    <mergeCell ref="CH17:CH18"/>
    <mergeCell ref="CI17:CI18"/>
    <mergeCell ref="CN17:CN18"/>
    <mergeCell ref="BQ17:BQ18"/>
    <mergeCell ref="BR17:BR18"/>
    <mergeCell ref="BS17:BS18"/>
    <mergeCell ref="BX17:BX18"/>
    <mergeCell ref="BY17:BY18"/>
    <mergeCell ref="BZ17:BZ18"/>
    <mergeCell ref="BC17:BC18"/>
    <mergeCell ref="BH17:BH18"/>
    <mergeCell ref="BI17:BI18"/>
    <mergeCell ref="BJ17:BJ18"/>
    <mergeCell ref="BK17:BK18"/>
    <mergeCell ref="BP17:BP18"/>
    <mergeCell ref="AS17:AS18"/>
    <mergeCell ref="AT17:AT18"/>
    <mergeCell ref="AU17:AU18"/>
    <mergeCell ref="AZ17:AZ18"/>
    <mergeCell ref="BA17:BA18"/>
    <mergeCell ref="BB17:BB18"/>
    <mergeCell ref="AE17:AE18"/>
    <mergeCell ref="AJ17:AJ18"/>
    <mergeCell ref="AK17:AK18"/>
    <mergeCell ref="AL17:AL18"/>
    <mergeCell ref="AM17:AM18"/>
    <mergeCell ref="AR17:AR18"/>
    <mergeCell ref="CP12:CP16"/>
    <mergeCell ref="CQ12:CQ16"/>
    <mergeCell ref="CV15:CW15"/>
    <mergeCell ref="A17:A20"/>
    <mergeCell ref="B17:B20"/>
    <mergeCell ref="C17:C20"/>
    <mergeCell ref="D17:D20"/>
    <mergeCell ref="E17:E20"/>
    <mergeCell ref="F17:F20"/>
    <mergeCell ref="O17:O18"/>
    <mergeCell ref="CF12:CF16"/>
    <mergeCell ref="CG12:CG16"/>
    <mergeCell ref="CH12:CH16"/>
    <mergeCell ref="CI12:CI16"/>
    <mergeCell ref="CN12:CN16"/>
    <mergeCell ref="CO12:CO16"/>
    <mergeCell ref="BR12:BR16"/>
    <mergeCell ref="BS12:BS16"/>
    <mergeCell ref="BX12:BX16"/>
    <mergeCell ref="BY12:BY16"/>
    <mergeCell ref="BZ12:BZ16"/>
    <mergeCell ref="CA12:CA16"/>
    <mergeCell ref="BH12:BH16"/>
    <mergeCell ref="BI12:BI16"/>
    <mergeCell ref="BJ12:BJ16"/>
    <mergeCell ref="BK12:BK16"/>
    <mergeCell ref="BP12:BP16"/>
    <mergeCell ref="BQ12:BQ16"/>
    <mergeCell ref="AT12:AT16"/>
    <mergeCell ref="AU12:AU16"/>
    <mergeCell ref="AZ12:AZ16"/>
    <mergeCell ref="BA12:BA16"/>
    <mergeCell ref="BB12:BB16"/>
    <mergeCell ref="BC12:BC16"/>
    <mergeCell ref="AJ12:AJ16"/>
    <mergeCell ref="AK12:AK16"/>
    <mergeCell ref="AL12:AL16"/>
    <mergeCell ref="AM12:AM16"/>
    <mergeCell ref="AR12:AR16"/>
    <mergeCell ref="AS12:AS16"/>
    <mergeCell ref="S12:S16"/>
    <mergeCell ref="Y12:Y21"/>
    <mergeCell ref="AB12:AB16"/>
    <mergeCell ref="AC12:AC16"/>
    <mergeCell ref="AD12:AD16"/>
    <mergeCell ref="AE12:AE16"/>
    <mergeCell ref="S17:S18"/>
    <mergeCell ref="AB17:AB18"/>
    <mergeCell ref="AC17:AC18"/>
    <mergeCell ref="AD17:AD18"/>
    <mergeCell ref="L12:L21"/>
    <mergeCell ref="N12:N21"/>
    <mergeCell ref="O12:O16"/>
    <mergeCell ref="P12:P16"/>
    <mergeCell ref="Q12:Q16"/>
    <mergeCell ref="R12:R16"/>
    <mergeCell ref="P17:P18"/>
    <mergeCell ref="Q17:Q18"/>
    <mergeCell ref="R17:R18"/>
    <mergeCell ref="L10:L11"/>
    <mergeCell ref="N10:N11"/>
    <mergeCell ref="Y10:Y11"/>
    <mergeCell ref="A12:A16"/>
    <mergeCell ref="B12:B16"/>
    <mergeCell ref="C12:C16"/>
    <mergeCell ref="D12:D16"/>
    <mergeCell ref="E12:E16"/>
    <mergeCell ref="F12:F16"/>
    <mergeCell ref="K12:K21"/>
    <mergeCell ref="CF6:CI6"/>
    <mergeCell ref="CJ6:CM6"/>
    <mergeCell ref="CN6:CQ6"/>
    <mergeCell ref="CR6:CU6"/>
    <mergeCell ref="J8:J39"/>
    <mergeCell ref="K8:K9"/>
    <mergeCell ref="L8:L9"/>
    <mergeCell ref="N8:N9"/>
    <mergeCell ref="Y8:Y9"/>
    <mergeCell ref="K10:K11"/>
    <mergeCell ref="BH6:BK6"/>
    <mergeCell ref="BL6:BO6"/>
    <mergeCell ref="BP6:BS6"/>
    <mergeCell ref="BT6:BW6"/>
    <mergeCell ref="BX6:CA6"/>
    <mergeCell ref="CB6:CE6"/>
    <mergeCell ref="AF6:AI6"/>
    <mergeCell ref="AJ6:AM6"/>
    <mergeCell ref="AN6:AQ6"/>
    <mergeCell ref="AR6:AU6"/>
    <mergeCell ref="AZ6:BC6"/>
    <mergeCell ref="BD6:BG6"/>
    <mergeCell ref="BP5:BS5"/>
    <mergeCell ref="BX5:CA5"/>
    <mergeCell ref="CF5:CI5"/>
    <mergeCell ref="CN5:CQ5"/>
    <mergeCell ref="A6:C6"/>
    <mergeCell ref="D6:F6"/>
    <mergeCell ref="G6:I6"/>
    <mergeCell ref="J6:L6"/>
    <mergeCell ref="T6:X6"/>
    <mergeCell ref="AB6:AE6"/>
    <mergeCell ref="BP4:BW4"/>
    <mergeCell ref="BX4:CE4"/>
    <mergeCell ref="CF4:CM4"/>
    <mergeCell ref="CN4:CU4"/>
    <mergeCell ref="M5:M6"/>
    <mergeCell ref="AB5:AI5"/>
    <mergeCell ref="AJ5:AQ5"/>
    <mergeCell ref="AR5:AU5"/>
    <mergeCell ref="AZ5:BC5"/>
    <mergeCell ref="BH5:BK5"/>
    <mergeCell ref="C2:O2"/>
    <mergeCell ref="AB4:AI4"/>
    <mergeCell ref="AJ4:AQ4"/>
    <mergeCell ref="AR4:AY4"/>
    <mergeCell ref="AZ4:BG4"/>
    <mergeCell ref="BH4:BO4"/>
  </mergeCell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D8DBADF0-2372-4956-83AC-EAD1C8697A47}">
          <x14:formula1>
            <xm:f>'C:\Users\alexm\AppData\Local\Microsoft\Windows\INetCache\Content.Outlook\JW6ZW3Q5\[Presupuesto detallado Plan de Acción 2019 SAF v2 11122018.xlsx]Tablas'!#REF!</xm:f>
          </x14:formula1>
          <xm:sqref>Q35:Q37 V34 T34 O35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0D8229-149E-4FCD-A02A-1175D34C0B4F}">
  <sheetPr>
    <tabColor rgb="FF0070C0"/>
  </sheetPr>
  <dimension ref="A1:BHQ32"/>
  <sheetViews>
    <sheetView workbookViewId="0">
      <selection activeCell="CR3" sqref="CR3"/>
    </sheetView>
  </sheetViews>
  <sheetFormatPr baseColWidth="10" defaultRowHeight="22.5" customHeight="1" x14ac:dyDescent="0.25"/>
  <cols>
    <col min="1" max="1" width="22.42578125" style="5" customWidth="1"/>
    <col min="2" max="2" width="26.85546875" style="5" customWidth="1"/>
    <col min="3" max="3" width="40.140625" style="5" customWidth="1"/>
    <col min="4" max="4" width="21.28515625" style="5" customWidth="1"/>
    <col min="5" max="5" width="16" style="5" customWidth="1"/>
    <col min="6" max="6" width="53" style="5" bestFit="1" customWidth="1"/>
    <col min="7" max="7" width="43.42578125" style="5" bestFit="1" customWidth="1"/>
    <col min="8" max="8" width="17.140625" style="5" customWidth="1"/>
    <col min="9" max="9" width="16.140625" style="5" customWidth="1"/>
    <col min="10" max="10" width="29.140625" style="5" bestFit="1" customWidth="1"/>
    <col min="11" max="11" width="16" style="5" customWidth="1"/>
    <col min="12" max="12" width="17.28515625" style="5" customWidth="1"/>
    <col min="13" max="13" width="16.85546875" style="5" customWidth="1"/>
    <col min="14" max="14" width="15.85546875" style="5" customWidth="1"/>
    <col min="15" max="15" width="36.85546875" style="5" customWidth="1"/>
    <col min="16" max="16" width="28.7109375" style="5" bestFit="1" customWidth="1"/>
    <col min="17" max="17" width="16.28515625" style="5" bestFit="1" customWidth="1"/>
    <col min="18" max="18" width="9.42578125" style="5" bestFit="1" customWidth="1"/>
    <col min="19" max="19" width="16.28515625" style="5" bestFit="1" customWidth="1"/>
    <col min="20" max="20" width="35.42578125" style="5" customWidth="1"/>
    <col min="21" max="21" width="27.140625" style="5" bestFit="1" customWidth="1"/>
    <col min="22" max="22" width="17.140625" style="5" bestFit="1" customWidth="1"/>
    <col min="23" max="23" width="10.28515625" style="5" bestFit="1" customWidth="1"/>
    <col min="24" max="24" width="14.5703125" style="5" bestFit="1" customWidth="1"/>
    <col min="25" max="26" width="15.42578125" style="5" bestFit="1" customWidth="1"/>
    <col min="27" max="27" width="20.28515625" style="5" bestFit="1" customWidth="1"/>
    <col min="28" max="28" width="24.28515625" style="5" hidden="1" customWidth="1"/>
    <col min="29" max="29" width="15.7109375" style="5" hidden="1" customWidth="1"/>
    <col min="30" max="30" width="17.5703125" style="5" hidden="1" customWidth="1"/>
    <col min="31" max="31" width="29" style="5" hidden="1" customWidth="1"/>
    <col min="32" max="32" width="23.28515625" style="5" hidden="1" customWidth="1"/>
    <col min="33" max="33" width="19.5703125" style="5" hidden="1" customWidth="1"/>
    <col min="34" max="34" width="17.5703125" style="5" hidden="1" customWidth="1"/>
    <col min="35" max="35" width="33.5703125" style="5" hidden="1" customWidth="1"/>
    <col min="36" max="36" width="22.28515625" style="5" hidden="1" customWidth="1"/>
    <col min="37" max="37" width="20.28515625" style="5" hidden="1" customWidth="1"/>
    <col min="38" max="38" width="19.140625" style="5" hidden="1" customWidth="1"/>
    <col min="39" max="39" width="32.140625" style="5" hidden="1" customWidth="1"/>
    <col min="40" max="40" width="0" style="5" hidden="1" customWidth="1"/>
    <col min="41" max="41" width="16.42578125" style="5" hidden="1" customWidth="1"/>
    <col min="42" max="42" width="20.28515625" style="5" hidden="1" customWidth="1"/>
    <col min="43" max="43" width="36.140625" style="5" hidden="1" customWidth="1"/>
    <col min="44" max="44" width="21.7109375" style="5" hidden="1" customWidth="1"/>
    <col min="45" max="45" width="24.28515625" style="5" hidden="1" customWidth="1"/>
    <col min="46" max="46" width="17.42578125" style="5" hidden="1" customWidth="1"/>
    <col min="47" max="47" width="49.28515625" style="5" hidden="1" customWidth="1"/>
    <col min="48" max="48" width="0" style="5" hidden="1" customWidth="1"/>
    <col min="49" max="49" width="13.28515625" style="5" hidden="1" customWidth="1"/>
    <col min="50" max="50" width="18.140625" style="5" hidden="1" customWidth="1"/>
    <col min="51" max="51" width="41.7109375" style="5" hidden="1" customWidth="1"/>
    <col min="52" max="52" width="32.5703125" style="5" hidden="1" customWidth="1"/>
    <col min="53" max="53" width="19.28515625" style="5" hidden="1" customWidth="1"/>
    <col min="54" max="54" width="17.42578125" style="5" hidden="1" customWidth="1"/>
    <col min="55" max="55" width="33.5703125" style="5" hidden="1" customWidth="1"/>
    <col min="56" max="58" width="0" style="5" hidden="1" customWidth="1"/>
    <col min="59" max="59" width="38.7109375" style="5" hidden="1" customWidth="1"/>
    <col min="60" max="60" width="16" style="5" hidden="1" customWidth="1"/>
    <col min="61" max="61" width="13.5703125" style="5" hidden="1" customWidth="1"/>
    <col min="62" max="62" width="12" style="5" hidden="1" customWidth="1"/>
    <col min="63" max="63" width="31.28515625" style="5" hidden="1" customWidth="1"/>
    <col min="64" max="64" width="0" style="5" hidden="1" customWidth="1"/>
    <col min="65" max="65" width="20.5703125" style="5" hidden="1" customWidth="1"/>
    <col min="66" max="66" width="0" style="5" hidden="1" customWidth="1"/>
    <col min="67" max="67" width="37.85546875" style="5" hidden="1" customWidth="1"/>
    <col min="68" max="68" width="24" style="5" hidden="1" customWidth="1"/>
    <col min="69" max="69" width="16.140625" style="5" hidden="1" customWidth="1"/>
    <col min="70" max="70" width="0" style="5" hidden="1" customWidth="1"/>
    <col min="71" max="71" width="36.140625" style="5" hidden="1" customWidth="1"/>
    <col min="72" max="74" width="0" style="5" hidden="1" customWidth="1"/>
    <col min="75" max="75" width="33.28515625" style="5" hidden="1" customWidth="1"/>
    <col min="76" max="76" width="24" style="5" hidden="1" customWidth="1"/>
    <col min="77" max="77" width="16.140625" style="5" hidden="1" customWidth="1"/>
    <col min="78" max="78" width="0" style="5" hidden="1" customWidth="1"/>
    <col min="79" max="79" width="36.140625" style="5" hidden="1" customWidth="1"/>
    <col min="80" max="82" width="0" style="5" hidden="1" customWidth="1"/>
    <col min="83" max="83" width="33.28515625" style="5" hidden="1" customWidth="1"/>
    <col min="84" max="84" width="17.42578125" style="5" hidden="1" customWidth="1"/>
    <col min="85" max="85" width="18.85546875" style="5" hidden="1" customWidth="1"/>
    <col min="86" max="86" width="19" style="5" hidden="1" customWidth="1"/>
    <col min="87" max="87" width="36.7109375" style="5" hidden="1" customWidth="1"/>
    <col min="88" max="89" width="0" style="5" hidden="1" customWidth="1"/>
    <col min="90" max="90" width="19.140625" style="5" hidden="1" customWidth="1"/>
    <col min="91" max="91" width="42.28515625" style="5" hidden="1" customWidth="1"/>
    <col min="92" max="92" width="21.7109375" style="5" customWidth="1"/>
    <col min="93" max="93" width="19.28515625" style="5" customWidth="1"/>
    <col min="94" max="94" width="11.42578125" style="5"/>
    <col min="95" max="95" width="39.85546875" style="5" customWidth="1"/>
    <col min="96" max="98" width="11.42578125" style="5"/>
    <col min="99" max="99" width="41.7109375" style="5" customWidth="1"/>
    <col min="100" max="101" width="11.42578125" style="5"/>
    <col min="102" max="1559" width="11.42578125" style="16"/>
    <col min="1560" max="16384" width="11.42578125" style="5"/>
  </cols>
  <sheetData>
    <row r="1" spans="1:1577" s="273" customFormat="1" ht="22.5" customHeight="1" x14ac:dyDescent="0.25">
      <c r="A1" s="17"/>
      <c r="B1" s="17"/>
      <c r="C1" s="17"/>
      <c r="D1" s="17"/>
      <c r="E1" s="17"/>
      <c r="F1" s="17"/>
      <c r="G1" s="17"/>
      <c r="H1" s="17"/>
      <c r="I1" s="17"/>
      <c r="J1" s="17"/>
      <c r="K1" s="17"/>
      <c r="L1" s="17"/>
      <c r="M1" s="17"/>
      <c r="N1" s="17"/>
      <c r="O1" s="17"/>
      <c r="P1" s="17"/>
      <c r="Q1" s="17"/>
      <c r="R1" s="17"/>
      <c r="S1" s="39"/>
      <c r="T1" s="17"/>
      <c r="U1" s="17"/>
      <c r="V1" s="17"/>
      <c r="W1" s="17"/>
      <c r="X1" s="17"/>
      <c r="Y1" s="17"/>
      <c r="Z1" s="17"/>
      <c r="AA1" s="17"/>
      <c r="AB1" s="17"/>
      <c r="AC1" s="39"/>
      <c r="AD1" s="39"/>
      <c r="AE1" s="17"/>
      <c r="AF1" s="17"/>
      <c r="AG1" s="1160" t="s">
        <v>0</v>
      </c>
      <c r="AH1" s="1160"/>
      <c r="AI1" s="1161">
        <v>43458</v>
      </c>
    </row>
    <row r="2" spans="1:1577" s="273" customFormat="1" ht="33.75" customHeight="1" x14ac:dyDescent="0.25">
      <c r="A2" s="17"/>
      <c r="B2" s="17"/>
      <c r="C2" s="1162" t="s">
        <v>1</v>
      </c>
      <c r="D2" s="1162"/>
      <c r="E2" s="1162"/>
      <c r="F2" s="1162"/>
      <c r="G2" s="1162"/>
      <c r="H2" s="1162"/>
      <c r="I2" s="1162"/>
      <c r="J2" s="1162"/>
      <c r="K2" s="1162"/>
      <c r="L2" s="1162"/>
      <c r="M2" s="1162"/>
      <c r="N2" s="1162"/>
      <c r="O2" s="1162"/>
      <c r="P2" s="17"/>
      <c r="Q2" s="17"/>
      <c r="R2" s="17"/>
      <c r="S2" s="39"/>
      <c r="T2" s="17"/>
      <c r="U2" s="17"/>
      <c r="V2" s="17"/>
      <c r="W2" s="17"/>
      <c r="X2" s="17"/>
      <c r="Y2" s="17"/>
      <c r="Z2" s="17"/>
      <c r="AA2" s="17"/>
      <c r="AB2" s="17"/>
      <c r="AC2" s="39"/>
      <c r="AD2" s="39"/>
      <c r="AE2" s="17"/>
      <c r="AF2" s="17"/>
      <c r="AG2" s="1160" t="s">
        <v>2</v>
      </c>
      <c r="AH2" s="1160"/>
      <c r="AI2" s="274">
        <v>5</v>
      </c>
    </row>
    <row r="3" spans="1:1577" s="273" customFormat="1" ht="35.25" customHeight="1" thickBot="1" x14ac:dyDescent="0.3">
      <c r="A3" s="17"/>
      <c r="B3" s="17"/>
      <c r="C3" s="17"/>
      <c r="D3" s="17"/>
      <c r="E3" s="17"/>
      <c r="F3" s="17"/>
      <c r="G3" s="17"/>
      <c r="H3" s="17"/>
      <c r="I3" s="17"/>
      <c r="J3" s="17"/>
      <c r="K3" s="17"/>
      <c r="L3" s="17"/>
      <c r="M3" s="17"/>
      <c r="N3" s="17"/>
      <c r="O3" s="17"/>
      <c r="P3" s="17"/>
      <c r="Q3" s="17"/>
      <c r="R3" s="17"/>
      <c r="S3" s="39"/>
      <c r="T3" s="17"/>
      <c r="U3" s="17"/>
      <c r="V3" s="17"/>
      <c r="W3" s="17"/>
      <c r="X3" s="17"/>
      <c r="Y3" s="17"/>
      <c r="Z3" s="17"/>
      <c r="AA3" s="17"/>
      <c r="AB3" s="17"/>
      <c r="AC3" s="39"/>
      <c r="AD3" s="39"/>
      <c r="AE3" s="17"/>
      <c r="AF3" s="17"/>
      <c r="AG3" s="1163" t="s">
        <v>3</v>
      </c>
      <c r="AH3" s="1163"/>
      <c r="AI3" s="1164" t="s">
        <v>4</v>
      </c>
    </row>
    <row r="4" spans="1:1577" s="383" customFormat="1" ht="21" x14ac:dyDescent="0.25">
      <c r="A4" s="351"/>
      <c r="B4" s="351"/>
      <c r="C4" s="351"/>
      <c r="D4" s="351"/>
      <c r="E4" s="351"/>
      <c r="F4" s="351"/>
      <c r="G4" s="351"/>
      <c r="H4" s="351"/>
      <c r="I4" s="351"/>
      <c r="J4" s="351"/>
      <c r="K4" s="351"/>
      <c r="L4" s="351"/>
      <c r="M4" s="259" t="s">
        <v>5</v>
      </c>
      <c r="N4" s="351"/>
      <c r="O4" s="351"/>
      <c r="P4" s="351"/>
      <c r="Q4" s="351"/>
      <c r="R4" s="351"/>
      <c r="S4" s="351"/>
      <c r="T4" s="351"/>
      <c r="U4" s="351"/>
      <c r="V4" s="351"/>
      <c r="W4" s="351"/>
      <c r="X4" s="351"/>
      <c r="Y4" s="351" t="s">
        <v>6</v>
      </c>
      <c r="Z4" s="351"/>
      <c r="AA4" s="351"/>
      <c r="AB4" s="351" t="s">
        <v>658</v>
      </c>
      <c r="AC4" s="1021" t="s">
        <v>650</v>
      </c>
      <c r="AD4" s="1022"/>
      <c r="AE4" s="1022"/>
      <c r="AF4" s="1022"/>
      <c r="AG4" s="1022"/>
      <c r="AH4" s="1022"/>
      <c r="AI4" s="1023"/>
      <c r="AJ4" s="351" t="s">
        <v>658</v>
      </c>
      <c r="AK4" s="1021" t="s">
        <v>651</v>
      </c>
      <c r="AL4" s="1022"/>
      <c r="AM4" s="1022"/>
      <c r="AN4" s="1022"/>
      <c r="AO4" s="1022"/>
      <c r="AP4" s="1022"/>
      <c r="AQ4" s="1023"/>
      <c r="AR4" s="351" t="s">
        <v>658</v>
      </c>
      <c r="AS4" s="1021" t="s">
        <v>1092</v>
      </c>
      <c r="AT4" s="1022"/>
      <c r="AU4" s="1022"/>
      <c r="AV4" s="1022"/>
      <c r="AW4" s="1022"/>
      <c r="AX4" s="1022"/>
      <c r="AY4" s="1023"/>
      <c r="AZ4" s="351" t="s">
        <v>658</v>
      </c>
      <c r="BA4" s="1021" t="s">
        <v>652</v>
      </c>
      <c r="BB4" s="1022"/>
      <c r="BC4" s="1022"/>
      <c r="BD4" s="1022"/>
      <c r="BE4" s="1022"/>
      <c r="BF4" s="1022"/>
      <c r="BG4" s="1023"/>
      <c r="BH4" s="351" t="s">
        <v>658</v>
      </c>
      <c r="BI4" s="1021" t="s">
        <v>653</v>
      </c>
      <c r="BJ4" s="1022"/>
      <c r="BK4" s="1022"/>
      <c r="BL4" s="1022"/>
      <c r="BM4" s="1022"/>
      <c r="BN4" s="1022"/>
      <c r="BO4" s="1023"/>
      <c r="BP4" s="351" t="s">
        <v>658</v>
      </c>
      <c r="BQ4" s="1021" t="s">
        <v>654</v>
      </c>
      <c r="BR4" s="1022"/>
      <c r="BS4" s="1022"/>
      <c r="BT4" s="1022"/>
      <c r="BU4" s="1022"/>
      <c r="BV4" s="1022"/>
      <c r="BW4" s="1023"/>
      <c r="BX4" s="351" t="s">
        <v>658</v>
      </c>
      <c r="BY4" s="1021" t="s">
        <v>655</v>
      </c>
      <c r="BZ4" s="1022"/>
      <c r="CA4" s="1022"/>
      <c r="CB4" s="1022"/>
      <c r="CC4" s="1022"/>
      <c r="CD4" s="1022"/>
      <c r="CE4" s="1023"/>
      <c r="CF4" s="351" t="s">
        <v>658</v>
      </c>
      <c r="CG4" s="1021" t="s">
        <v>656</v>
      </c>
      <c r="CH4" s="1022"/>
      <c r="CI4" s="1022"/>
      <c r="CJ4" s="1022"/>
      <c r="CK4" s="1022"/>
      <c r="CL4" s="1022"/>
      <c r="CM4" s="1023"/>
      <c r="CN4" s="261" t="s">
        <v>210</v>
      </c>
      <c r="CO4" s="262"/>
      <c r="CP4" s="262"/>
      <c r="CQ4" s="262"/>
      <c r="CR4" s="262"/>
      <c r="CS4" s="262"/>
      <c r="CT4" s="262"/>
      <c r="CU4" s="263"/>
      <c r="CX4" s="1090"/>
      <c r="CY4" s="1090"/>
      <c r="CZ4" s="1090"/>
      <c r="DA4" s="1090"/>
      <c r="DB4" s="1090"/>
      <c r="DC4" s="1090"/>
      <c r="DD4" s="1090"/>
      <c r="DE4" s="1090"/>
      <c r="DF4" s="1090"/>
      <c r="DG4" s="1090"/>
      <c r="DH4" s="1090"/>
      <c r="DI4" s="1090"/>
      <c r="DJ4" s="1090"/>
      <c r="DK4" s="1090"/>
      <c r="DL4" s="1090"/>
      <c r="DM4" s="1090"/>
      <c r="DN4" s="1090"/>
      <c r="DO4" s="1090"/>
      <c r="DP4" s="1090"/>
      <c r="DQ4" s="1090"/>
      <c r="DR4" s="1090"/>
      <c r="DS4" s="1090"/>
      <c r="DT4" s="1090"/>
      <c r="DU4" s="1090"/>
      <c r="DV4" s="1090"/>
      <c r="DW4" s="1090"/>
      <c r="DX4" s="1090"/>
      <c r="DY4" s="1090"/>
      <c r="DZ4" s="1090"/>
      <c r="EA4" s="1090"/>
      <c r="EB4" s="1090"/>
      <c r="EC4" s="1090"/>
      <c r="ED4" s="1090"/>
      <c r="EE4" s="1090"/>
      <c r="EF4" s="1090"/>
      <c r="EG4" s="1090"/>
      <c r="EH4" s="1090"/>
      <c r="EI4" s="1090"/>
      <c r="EJ4" s="1090"/>
      <c r="EK4" s="1090"/>
      <c r="EL4" s="1090"/>
      <c r="EM4" s="1090"/>
      <c r="EN4" s="1090"/>
      <c r="EO4" s="1090"/>
      <c r="EP4" s="1090"/>
      <c r="EQ4" s="1090"/>
      <c r="ER4" s="1090"/>
      <c r="ES4" s="1090"/>
      <c r="ET4" s="1090"/>
      <c r="EU4" s="1090"/>
      <c r="EV4" s="1090"/>
      <c r="EW4" s="1090"/>
      <c r="EX4" s="1090"/>
      <c r="EY4" s="1090"/>
      <c r="EZ4" s="1090"/>
      <c r="FA4" s="1090"/>
      <c r="FB4" s="1090"/>
      <c r="FC4" s="1090"/>
      <c r="FD4" s="1090"/>
      <c r="FE4" s="1090"/>
      <c r="FF4" s="1090"/>
      <c r="FG4" s="1090"/>
      <c r="FH4" s="1090"/>
      <c r="FI4" s="1090"/>
      <c r="FJ4" s="1090"/>
      <c r="FK4" s="1090"/>
      <c r="FL4" s="1090"/>
      <c r="FM4" s="1090"/>
      <c r="FN4" s="1090"/>
      <c r="FO4" s="1090"/>
      <c r="FP4" s="1090"/>
      <c r="FQ4" s="1090"/>
      <c r="FR4" s="1090"/>
      <c r="FS4" s="1090"/>
      <c r="FT4" s="1090"/>
      <c r="FU4" s="1090"/>
      <c r="FV4" s="1090"/>
      <c r="FW4" s="1090"/>
      <c r="FX4" s="1090"/>
      <c r="FY4" s="1090"/>
      <c r="FZ4" s="1090"/>
      <c r="GA4" s="1090"/>
      <c r="GB4" s="1090"/>
      <c r="GC4" s="1090"/>
      <c r="GD4" s="1090"/>
      <c r="GE4" s="1090"/>
      <c r="GF4" s="1090"/>
      <c r="GG4" s="1090"/>
      <c r="GH4" s="1090"/>
      <c r="GI4" s="1090"/>
      <c r="GJ4" s="1090"/>
      <c r="GK4" s="1090"/>
      <c r="GL4" s="1090"/>
      <c r="GM4" s="1090"/>
      <c r="GN4" s="1090"/>
      <c r="GO4" s="1090"/>
      <c r="GP4" s="1090"/>
      <c r="GQ4" s="1090"/>
      <c r="GR4" s="1090"/>
      <c r="GS4" s="1090"/>
      <c r="GT4" s="1090"/>
      <c r="GU4" s="1090"/>
      <c r="GV4" s="1090"/>
      <c r="GW4" s="1090"/>
      <c r="GX4" s="1090"/>
      <c r="GY4" s="1090"/>
      <c r="GZ4" s="1090"/>
      <c r="HA4" s="1090"/>
      <c r="HB4" s="1090"/>
      <c r="HC4" s="1090"/>
      <c r="HD4" s="1090"/>
      <c r="HE4" s="1090"/>
      <c r="HF4" s="1090"/>
      <c r="HG4" s="1090"/>
      <c r="HH4" s="1090"/>
      <c r="HI4" s="1090"/>
      <c r="HJ4" s="1090"/>
      <c r="HK4" s="1090"/>
      <c r="HL4" s="1090"/>
      <c r="HM4" s="1090"/>
      <c r="HN4" s="1090"/>
      <c r="HO4" s="1090"/>
      <c r="HP4" s="1090"/>
      <c r="HQ4" s="1090"/>
      <c r="HR4" s="1090"/>
      <c r="HS4" s="1090"/>
      <c r="HT4" s="1090"/>
      <c r="HU4" s="1090"/>
      <c r="HV4" s="1090"/>
      <c r="HW4" s="1090"/>
      <c r="HX4" s="1090"/>
      <c r="HY4" s="1090"/>
      <c r="HZ4" s="1090"/>
      <c r="IA4" s="1090"/>
      <c r="IB4" s="1090"/>
      <c r="IC4" s="1090"/>
      <c r="ID4" s="1090"/>
      <c r="IE4" s="1090"/>
      <c r="IF4" s="1090"/>
      <c r="IG4" s="1090"/>
      <c r="IH4" s="1090"/>
      <c r="II4" s="1090"/>
      <c r="IJ4" s="1090"/>
      <c r="IK4" s="1090"/>
      <c r="IL4" s="1090"/>
      <c r="IM4" s="1090"/>
      <c r="IN4" s="1090"/>
      <c r="IO4" s="1090"/>
      <c r="IP4" s="1090"/>
      <c r="IQ4" s="1090"/>
      <c r="IR4" s="1090"/>
      <c r="IS4" s="1090"/>
      <c r="IT4" s="1090"/>
      <c r="IU4" s="1090"/>
      <c r="IV4" s="1090"/>
      <c r="IW4" s="1090"/>
      <c r="IX4" s="1090"/>
      <c r="IY4" s="1090"/>
      <c r="IZ4" s="1090"/>
      <c r="JA4" s="1090"/>
      <c r="JB4" s="1090"/>
      <c r="JC4" s="1090"/>
      <c r="JD4" s="1090"/>
      <c r="JE4" s="1090"/>
      <c r="JF4" s="1090"/>
      <c r="JG4" s="1090"/>
      <c r="JH4" s="1090"/>
      <c r="JI4" s="1090"/>
      <c r="JJ4" s="1090"/>
      <c r="JK4" s="1090"/>
      <c r="JL4" s="1090"/>
      <c r="JM4" s="1090"/>
      <c r="JN4" s="1090"/>
      <c r="JO4" s="1090"/>
      <c r="JP4" s="1090"/>
      <c r="JQ4" s="1090"/>
      <c r="JR4" s="1090"/>
      <c r="JS4" s="1090"/>
      <c r="JT4" s="1090"/>
      <c r="JU4" s="1090"/>
      <c r="JV4" s="1090"/>
      <c r="JW4" s="1090"/>
      <c r="JX4" s="1090"/>
      <c r="JY4" s="1090"/>
      <c r="JZ4" s="1090"/>
      <c r="KA4" s="1090"/>
      <c r="KB4" s="1090"/>
      <c r="KC4" s="1090"/>
      <c r="KD4" s="1090"/>
      <c r="KE4" s="1090"/>
      <c r="KF4" s="1090"/>
      <c r="KG4" s="1090"/>
      <c r="KH4" s="1090"/>
      <c r="KI4" s="1090"/>
      <c r="KJ4" s="1090"/>
      <c r="KK4" s="1090"/>
      <c r="KL4" s="1090"/>
      <c r="KM4" s="1090"/>
      <c r="KN4" s="1090"/>
      <c r="KO4" s="1090"/>
      <c r="KP4" s="1090"/>
      <c r="KQ4" s="1090"/>
      <c r="KR4" s="1090"/>
      <c r="KS4" s="1090"/>
      <c r="KT4" s="1090"/>
      <c r="KU4" s="1090"/>
      <c r="KV4" s="1090"/>
      <c r="KW4" s="1090"/>
      <c r="KX4" s="1090"/>
      <c r="KY4" s="1090"/>
      <c r="KZ4" s="1090"/>
      <c r="LA4" s="1090"/>
      <c r="LB4" s="1090"/>
      <c r="LC4" s="1090"/>
      <c r="LD4" s="1090"/>
      <c r="LE4" s="1090"/>
      <c r="LF4" s="1090"/>
      <c r="LG4" s="1090"/>
      <c r="LH4" s="1090"/>
      <c r="LI4" s="1090"/>
      <c r="LJ4" s="1090"/>
      <c r="LK4" s="1090"/>
      <c r="LL4" s="1090"/>
      <c r="LM4" s="1090"/>
      <c r="LN4" s="1090"/>
      <c r="LO4" s="1090"/>
      <c r="LP4" s="1090"/>
      <c r="LQ4" s="1090"/>
      <c r="LR4" s="1090"/>
      <c r="LS4" s="1090"/>
      <c r="LT4" s="1090"/>
      <c r="LU4" s="1090"/>
      <c r="LV4" s="1090"/>
      <c r="LW4" s="1090"/>
      <c r="LX4" s="1090"/>
      <c r="LY4" s="1090"/>
      <c r="LZ4" s="1090"/>
      <c r="MA4" s="1090"/>
      <c r="MB4" s="1090"/>
      <c r="MC4" s="1090"/>
      <c r="MD4" s="1090"/>
      <c r="ME4" s="1090"/>
      <c r="MF4" s="1090"/>
      <c r="MG4" s="1090"/>
      <c r="MH4" s="1090"/>
      <c r="MI4" s="1090"/>
      <c r="MJ4" s="1090"/>
      <c r="MK4" s="1090"/>
      <c r="ML4" s="1090"/>
      <c r="MM4" s="1090"/>
      <c r="MN4" s="1090"/>
      <c r="MO4" s="1090"/>
      <c r="MP4" s="1090"/>
      <c r="MQ4" s="1090"/>
      <c r="MR4" s="1090"/>
      <c r="MS4" s="1090"/>
      <c r="MT4" s="1090"/>
      <c r="MU4" s="1090"/>
      <c r="MV4" s="1090"/>
      <c r="MW4" s="1090"/>
      <c r="MX4" s="1090"/>
      <c r="MY4" s="1090"/>
      <c r="MZ4" s="1090"/>
      <c r="NA4" s="1090"/>
      <c r="NB4" s="1090"/>
      <c r="NC4" s="1090"/>
      <c r="ND4" s="1090"/>
      <c r="NE4" s="1090"/>
      <c r="NF4" s="1090"/>
      <c r="NG4" s="1090"/>
      <c r="NH4" s="1090"/>
      <c r="NI4" s="1090"/>
      <c r="NJ4" s="1090"/>
      <c r="NK4" s="1090"/>
      <c r="NL4" s="1090"/>
      <c r="NM4" s="1090"/>
      <c r="NN4" s="1090"/>
      <c r="NO4" s="1090"/>
      <c r="NP4" s="1090"/>
      <c r="NQ4" s="1090"/>
      <c r="NR4" s="1090"/>
      <c r="NS4" s="1090"/>
      <c r="NT4" s="1090"/>
      <c r="NU4" s="1090"/>
      <c r="NV4" s="1090"/>
      <c r="NW4" s="1090"/>
      <c r="NX4" s="1090"/>
      <c r="NY4" s="1090"/>
      <c r="NZ4" s="1090"/>
      <c r="OA4" s="1090"/>
      <c r="OB4" s="1090"/>
      <c r="OC4" s="1090"/>
      <c r="OD4" s="1090"/>
      <c r="OE4" s="1090"/>
      <c r="OF4" s="1090"/>
      <c r="OG4" s="1090"/>
      <c r="OH4" s="1090"/>
      <c r="OI4" s="1090"/>
      <c r="OJ4" s="1090"/>
      <c r="OK4" s="1090"/>
      <c r="OL4" s="1090"/>
      <c r="OM4" s="1090"/>
      <c r="ON4" s="1090"/>
      <c r="OO4" s="1090"/>
      <c r="OP4" s="1090"/>
      <c r="OQ4" s="1090"/>
      <c r="OR4" s="1090"/>
      <c r="OS4" s="1090"/>
      <c r="OT4" s="1090"/>
      <c r="OU4" s="1090"/>
      <c r="OV4" s="1090"/>
      <c r="OW4" s="1090"/>
      <c r="OX4" s="1090"/>
      <c r="OY4" s="1090"/>
      <c r="OZ4" s="1090"/>
      <c r="PA4" s="1090"/>
      <c r="PB4" s="1090"/>
      <c r="PC4" s="1090"/>
      <c r="PD4" s="1090"/>
      <c r="PE4" s="1090"/>
      <c r="PF4" s="1090"/>
      <c r="PG4" s="1090"/>
      <c r="PH4" s="1090"/>
      <c r="PI4" s="1090"/>
      <c r="PJ4" s="1090"/>
      <c r="PK4" s="1090"/>
      <c r="PL4" s="1090"/>
      <c r="PM4" s="1090"/>
      <c r="PN4" s="1090"/>
      <c r="PO4" s="1090"/>
      <c r="PP4" s="1090"/>
      <c r="PQ4" s="1090"/>
      <c r="PR4" s="1090"/>
      <c r="PS4" s="1090"/>
      <c r="PT4" s="1090"/>
      <c r="PU4" s="1090"/>
      <c r="PV4" s="1090"/>
      <c r="PW4" s="1090"/>
      <c r="PX4" s="1090"/>
      <c r="PY4" s="1090"/>
      <c r="PZ4" s="1090"/>
      <c r="QA4" s="1090"/>
      <c r="QB4" s="1090"/>
      <c r="QC4" s="1090"/>
      <c r="QD4" s="1090"/>
      <c r="QE4" s="1090"/>
      <c r="QF4" s="1090"/>
      <c r="QG4" s="1090"/>
      <c r="QH4" s="1090"/>
      <c r="QI4" s="1090"/>
      <c r="QJ4" s="1090"/>
      <c r="QK4" s="1090"/>
      <c r="QL4" s="1090"/>
      <c r="QM4" s="1090"/>
      <c r="QN4" s="1090"/>
      <c r="QO4" s="1090"/>
      <c r="QP4" s="1090"/>
      <c r="QQ4" s="1090"/>
      <c r="QR4" s="1090"/>
      <c r="QS4" s="1090"/>
      <c r="QT4" s="1090"/>
      <c r="QU4" s="1090"/>
      <c r="QV4" s="1090"/>
      <c r="QW4" s="1090"/>
      <c r="QX4" s="1090"/>
      <c r="QY4" s="1090"/>
      <c r="QZ4" s="1090"/>
      <c r="RA4" s="1090"/>
      <c r="RB4" s="1090"/>
      <c r="RC4" s="1090"/>
      <c r="RD4" s="1090"/>
      <c r="RE4" s="1090"/>
      <c r="RF4" s="1090"/>
      <c r="RG4" s="1090"/>
      <c r="RH4" s="1090"/>
      <c r="RI4" s="1090"/>
      <c r="RJ4" s="1090"/>
      <c r="RK4" s="1090"/>
      <c r="RL4" s="1090"/>
      <c r="RM4" s="1090"/>
      <c r="RN4" s="1090"/>
      <c r="RO4" s="1090"/>
      <c r="RP4" s="1090"/>
      <c r="RQ4" s="1090"/>
      <c r="RR4" s="1090"/>
      <c r="RS4" s="1090"/>
      <c r="RT4" s="1090"/>
      <c r="RU4" s="1090"/>
      <c r="RV4" s="1090"/>
      <c r="RW4" s="1090"/>
      <c r="RX4" s="1090"/>
      <c r="RY4" s="1090"/>
      <c r="RZ4" s="1090"/>
      <c r="SA4" s="1090"/>
      <c r="SB4" s="1090"/>
      <c r="SC4" s="1090"/>
      <c r="SD4" s="1090"/>
      <c r="SE4" s="1090"/>
      <c r="SF4" s="1090"/>
      <c r="SG4" s="1090"/>
      <c r="SH4" s="1090"/>
      <c r="SI4" s="1090"/>
      <c r="SJ4" s="1090"/>
      <c r="SK4" s="1090"/>
      <c r="SL4" s="1090"/>
      <c r="SM4" s="1090"/>
      <c r="SN4" s="1090"/>
      <c r="SO4" s="1090"/>
      <c r="SP4" s="1090"/>
      <c r="SQ4" s="1090"/>
      <c r="SR4" s="1090"/>
      <c r="SS4" s="1090"/>
      <c r="ST4" s="1090"/>
      <c r="SU4" s="1090"/>
      <c r="SV4" s="1090"/>
      <c r="SW4" s="1090"/>
      <c r="SX4" s="1090"/>
      <c r="SY4" s="1090"/>
      <c r="SZ4" s="1090"/>
      <c r="TA4" s="1090"/>
      <c r="TB4" s="1090"/>
      <c r="TC4" s="1090"/>
      <c r="TD4" s="1090"/>
      <c r="TE4" s="1090"/>
      <c r="TF4" s="1090"/>
      <c r="TG4" s="1090"/>
      <c r="TH4" s="1090"/>
      <c r="TI4" s="1090"/>
      <c r="TJ4" s="1090"/>
      <c r="TK4" s="1090"/>
      <c r="TL4" s="1090"/>
      <c r="TM4" s="1090"/>
      <c r="TN4" s="1090"/>
      <c r="TO4" s="1090"/>
      <c r="TP4" s="1090"/>
      <c r="TQ4" s="1090"/>
      <c r="TR4" s="1090"/>
      <c r="TS4" s="1090"/>
      <c r="TT4" s="1090"/>
      <c r="TU4" s="1090"/>
      <c r="TV4" s="1090"/>
      <c r="TW4" s="1090"/>
      <c r="TX4" s="1090"/>
      <c r="TY4" s="1090"/>
      <c r="TZ4" s="1090"/>
      <c r="UA4" s="1090"/>
      <c r="UB4" s="1090"/>
      <c r="UC4" s="1090"/>
      <c r="UD4" s="1090"/>
      <c r="UE4" s="1090"/>
      <c r="UF4" s="1090"/>
      <c r="UG4" s="1090"/>
      <c r="UH4" s="1090"/>
      <c r="UI4" s="1090"/>
      <c r="UJ4" s="1090"/>
      <c r="UK4" s="1090"/>
      <c r="UL4" s="1090"/>
      <c r="UM4" s="1090"/>
      <c r="UN4" s="1090"/>
      <c r="UO4" s="1090"/>
      <c r="UP4" s="1090"/>
      <c r="UQ4" s="1090"/>
      <c r="UR4" s="1090"/>
      <c r="US4" s="1090"/>
      <c r="UT4" s="1090"/>
      <c r="UU4" s="1090"/>
      <c r="UV4" s="1090"/>
      <c r="UW4" s="1090"/>
      <c r="UX4" s="1090"/>
      <c r="UY4" s="1090"/>
      <c r="UZ4" s="1090"/>
      <c r="VA4" s="1090"/>
      <c r="VB4" s="1090"/>
      <c r="VC4" s="1090"/>
      <c r="VD4" s="1090"/>
      <c r="VE4" s="1090"/>
      <c r="VF4" s="1090"/>
      <c r="VG4" s="1090"/>
      <c r="VH4" s="1090"/>
      <c r="VI4" s="1090"/>
      <c r="VJ4" s="1090"/>
      <c r="VK4" s="1090"/>
      <c r="VL4" s="1090"/>
      <c r="VM4" s="1090"/>
      <c r="VN4" s="1090"/>
      <c r="VO4" s="1090"/>
      <c r="VP4" s="1090"/>
      <c r="VQ4" s="1090"/>
      <c r="VR4" s="1090"/>
      <c r="VS4" s="1090"/>
      <c r="VT4" s="1090"/>
      <c r="VU4" s="1090"/>
      <c r="VV4" s="1090"/>
      <c r="VW4" s="1090"/>
      <c r="VX4" s="1090"/>
      <c r="VY4" s="1090"/>
      <c r="VZ4" s="1090"/>
      <c r="WA4" s="1090"/>
      <c r="WB4" s="1090"/>
      <c r="WC4" s="1090"/>
      <c r="WD4" s="1090"/>
      <c r="WE4" s="1090"/>
      <c r="WF4" s="1090"/>
      <c r="WG4" s="1090"/>
      <c r="WH4" s="1090"/>
      <c r="WI4" s="1090"/>
      <c r="WJ4" s="1090"/>
      <c r="WK4" s="1090"/>
      <c r="WL4" s="1090"/>
      <c r="WM4" s="1090"/>
      <c r="WN4" s="1090"/>
      <c r="WO4" s="1090"/>
      <c r="WP4" s="1090"/>
      <c r="WQ4" s="1090"/>
      <c r="WR4" s="1090"/>
      <c r="WS4" s="1090"/>
      <c r="WT4" s="1090"/>
      <c r="WU4" s="1090"/>
      <c r="WV4" s="1090"/>
      <c r="WW4" s="1090"/>
      <c r="WX4" s="1090"/>
      <c r="WY4" s="1090"/>
      <c r="WZ4" s="1090"/>
      <c r="XA4" s="1090"/>
      <c r="XB4" s="1090"/>
      <c r="XC4" s="1090"/>
      <c r="XD4" s="1090"/>
      <c r="XE4" s="1090"/>
      <c r="XF4" s="1090"/>
      <c r="XG4" s="1090"/>
      <c r="XH4" s="1090"/>
      <c r="XI4" s="1090"/>
      <c r="XJ4" s="1090"/>
      <c r="XK4" s="1090"/>
      <c r="XL4" s="1090"/>
      <c r="XM4" s="1090"/>
      <c r="XN4" s="1090"/>
      <c r="XO4" s="1090"/>
      <c r="XP4" s="1090"/>
      <c r="XQ4" s="1090"/>
      <c r="XR4" s="1090"/>
      <c r="XS4" s="1090"/>
      <c r="XT4" s="1090"/>
      <c r="XU4" s="1090"/>
      <c r="XV4" s="1090"/>
      <c r="XW4" s="1090"/>
      <c r="XX4" s="1090"/>
      <c r="XY4" s="1090"/>
      <c r="XZ4" s="1090"/>
      <c r="YA4" s="1090"/>
      <c r="YB4" s="1090"/>
      <c r="YC4" s="1090"/>
      <c r="YD4" s="1090"/>
      <c r="YE4" s="1090"/>
      <c r="YF4" s="1090"/>
      <c r="YG4" s="1090"/>
      <c r="YH4" s="1090"/>
      <c r="YI4" s="1090"/>
      <c r="YJ4" s="1090"/>
      <c r="YK4" s="1090"/>
      <c r="YL4" s="1090"/>
      <c r="YM4" s="1090"/>
      <c r="YN4" s="1090"/>
      <c r="YO4" s="1090"/>
      <c r="YP4" s="1090"/>
      <c r="YQ4" s="1090"/>
      <c r="YR4" s="1090"/>
      <c r="YS4" s="1090"/>
      <c r="YT4" s="1090"/>
      <c r="YU4" s="1090"/>
      <c r="YV4" s="1090"/>
      <c r="YW4" s="1090"/>
      <c r="YX4" s="1090"/>
      <c r="YY4" s="1090"/>
      <c r="YZ4" s="1090"/>
      <c r="ZA4" s="1090"/>
      <c r="ZB4" s="1090"/>
      <c r="ZC4" s="1090"/>
      <c r="ZD4" s="1090"/>
      <c r="ZE4" s="1090"/>
      <c r="ZF4" s="1090"/>
      <c r="ZG4" s="1090"/>
      <c r="ZH4" s="1090"/>
      <c r="ZI4" s="1090"/>
      <c r="ZJ4" s="1090"/>
      <c r="ZK4" s="1090"/>
      <c r="ZL4" s="1090"/>
      <c r="ZM4" s="1090"/>
      <c r="ZN4" s="1090"/>
      <c r="ZO4" s="1090"/>
      <c r="ZP4" s="1090"/>
      <c r="ZQ4" s="1090"/>
      <c r="ZR4" s="1090"/>
      <c r="ZS4" s="1090"/>
      <c r="ZT4" s="1090"/>
      <c r="ZU4" s="1090"/>
      <c r="ZV4" s="1090"/>
      <c r="ZW4" s="1090"/>
      <c r="ZX4" s="1090"/>
      <c r="ZY4" s="1090"/>
      <c r="ZZ4" s="1090"/>
      <c r="AAA4" s="1090"/>
      <c r="AAB4" s="1090"/>
      <c r="AAC4" s="1090"/>
      <c r="AAD4" s="1090"/>
      <c r="AAE4" s="1090"/>
      <c r="AAF4" s="1090"/>
      <c r="AAG4" s="1090"/>
      <c r="AAH4" s="1090"/>
      <c r="AAI4" s="1090"/>
      <c r="AAJ4" s="1090"/>
      <c r="AAK4" s="1090"/>
      <c r="AAL4" s="1090"/>
      <c r="AAM4" s="1090"/>
      <c r="AAN4" s="1090"/>
      <c r="AAO4" s="1090"/>
      <c r="AAP4" s="1090"/>
      <c r="AAQ4" s="1090"/>
      <c r="AAR4" s="1090"/>
      <c r="AAS4" s="1090"/>
      <c r="AAT4" s="1090"/>
      <c r="AAU4" s="1090"/>
      <c r="AAV4" s="1090"/>
      <c r="AAW4" s="1090"/>
      <c r="AAX4" s="1090"/>
      <c r="AAY4" s="1090"/>
      <c r="AAZ4" s="1090"/>
      <c r="ABA4" s="1090"/>
      <c r="ABB4" s="1090"/>
      <c r="ABC4" s="1090"/>
      <c r="ABD4" s="1090"/>
      <c r="ABE4" s="1090"/>
      <c r="ABF4" s="1090"/>
      <c r="ABG4" s="1090"/>
      <c r="ABH4" s="1090"/>
      <c r="ABI4" s="1090"/>
      <c r="ABJ4" s="1090"/>
      <c r="ABK4" s="1090"/>
      <c r="ABL4" s="1090"/>
      <c r="ABM4" s="1090"/>
      <c r="ABN4" s="1090"/>
      <c r="ABO4" s="1090"/>
      <c r="ABP4" s="1090"/>
      <c r="ABQ4" s="1090"/>
      <c r="ABR4" s="1090"/>
      <c r="ABS4" s="1090"/>
      <c r="ABT4" s="1090"/>
      <c r="ABU4" s="1090"/>
      <c r="ABV4" s="1090"/>
      <c r="ABW4" s="1090"/>
      <c r="ABX4" s="1090"/>
      <c r="ABY4" s="1090"/>
      <c r="ABZ4" s="1090"/>
      <c r="ACA4" s="1090"/>
      <c r="ACB4" s="1090"/>
      <c r="ACC4" s="1090"/>
      <c r="ACD4" s="1090"/>
      <c r="ACE4" s="1090"/>
      <c r="ACF4" s="1090"/>
      <c r="ACG4" s="1090"/>
      <c r="ACH4" s="1090"/>
      <c r="ACI4" s="1090"/>
      <c r="ACJ4" s="1090"/>
      <c r="ACK4" s="1090"/>
      <c r="ACL4" s="1090"/>
      <c r="ACM4" s="1090"/>
      <c r="ACN4" s="1090"/>
      <c r="ACO4" s="1090"/>
      <c r="ACP4" s="1090"/>
      <c r="ACQ4" s="1090"/>
      <c r="ACR4" s="1090"/>
      <c r="ACS4" s="1090"/>
      <c r="ACT4" s="1090"/>
      <c r="ACU4" s="1090"/>
      <c r="ACV4" s="1090"/>
      <c r="ACW4" s="1090"/>
      <c r="ACX4" s="1090"/>
      <c r="ACY4" s="1090"/>
      <c r="ACZ4" s="1090"/>
      <c r="ADA4" s="1090"/>
      <c r="ADB4" s="1090"/>
      <c r="ADC4" s="1090"/>
      <c r="ADD4" s="1090"/>
      <c r="ADE4" s="1090"/>
      <c r="ADF4" s="1090"/>
      <c r="ADG4" s="1090"/>
      <c r="ADH4" s="1090"/>
      <c r="ADI4" s="1090"/>
      <c r="ADJ4" s="1090"/>
      <c r="ADK4" s="1090"/>
      <c r="ADL4" s="1090"/>
      <c r="ADM4" s="1090"/>
      <c r="ADN4" s="1090"/>
      <c r="ADO4" s="1090"/>
      <c r="ADP4" s="1090"/>
      <c r="ADQ4" s="1090"/>
      <c r="ADR4" s="1090"/>
      <c r="ADS4" s="1090"/>
      <c r="ADT4" s="1090"/>
      <c r="ADU4" s="1090"/>
      <c r="ADV4" s="1090"/>
      <c r="ADW4" s="1090"/>
      <c r="ADX4" s="1090"/>
      <c r="ADY4" s="1090"/>
      <c r="ADZ4" s="1090"/>
      <c r="AEA4" s="1090"/>
      <c r="AEB4" s="1090"/>
      <c r="AEC4" s="1090"/>
      <c r="AED4" s="1090"/>
      <c r="AEE4" s="1090"/>
      <c r="AEF4" s="1090"/>
      <c r="AEG4" s="1090"/>
      <c r="AEH4" s="1090"/>
      <c r="AEI4" s="1090"/>
      <c r="AEJ4" s="1090"/>
      <c r="AEK4" s="1090"/>
      <c r="AEL4" s="1090"/>
      <c r="AEM4" s="1090"/>
      <c r="AEN4" s="1090"/>
      <c r="AEO4" s="1090"/>
      <c r="AEP4" s="1090"/>
      <c r="AEQ4" s="1090"/>
      <c r="AER4" s="1090"/>
      <c r="AES4" s="1090"/>
      <c r="AET4" s="1090"/>
      <c r="AEU4" s="1090"/>
      <c r="AEV4" s="1090"/>
      <c r="AEW4" s="1090"/>
      <c r="AEX4" s="1090"/>
      <c r="AEY4" s="1090"/>
      <c r="AEZ4" s="1090"/>
      <c r="AFA4" s="1090"/>
      <c r="AFB4" s="1090"/>
      <c r="AFC4" s="1090"/>
      <c r="AFD4" s="1090"/>
      <c r="AFE4" s="1090"/>
      <c r="AFF4" s="1090"/>
      <c r="AFG4" s="1090"/>
      <c r="AFH4" s="1090"/>
      <c r="AFI4" s="1090"/>
      <c r="AFJ4" s="1090"/>
      <c r="AFK4" s="1090"/>
      <c r="AFL4" s="1090"/>
      <c r="AFM4" s="1090"/>
      <c r="AFN4" s="1090"/>
      <c r="AFO4" s="1090"/>
      <c r="AFP4" s="1090"/>
      <c r="AFQ4" s="1090"/>
      <c r="AFR4" s="1090"/>
      <c r="AFS4" s="1090"/>
      <c r="AFT4" s="1090"/>
      <c r="AFU4" s="1090"/>
      <c r="AFV4" s="1090"/>
      <c r="AFW4" s="1090"/>
      <c r="AFX4" s="1090"/>
      <c r="AFY4" s="1090"/>
      <c r="AFZ4" s="1090"/>
      <c r="AGA4" s="1090"/>
      <c r="AGB4" s="1090"/>
      <c r="AGC4" s="1090"/>
      <c r="AGD4" s="1090"/>
      <c r="AGE4" s="1090"/>
      <c r="AGF4" s="1090"/>
      <c r="AGG4" s="1090"/>
      <c r="AGH4" s="1090"/>
      <c r="AGI4" s="1090"/>
      <c r="AGJ4" s="1090"/>
      <c r="AGK4" s="1090"/>
      <c r="AGL4" s="1090"/>
      <c r="AGM4" s="1090"/>
      <c r="AGN4" s="1090"/>
      <c r="AGO4" s="1090"/>
      <c r="AGP4" s="1090"/>
      <c r="AGQ4" s="1090"/>
      <c r="AGR4" s="1090"/>
      <c r="AGS4" s="1090"/>
      <c r="AGT4" s="1090"/>
      <c r="AGU4" s="1090"/>
      <c r="AGV4" s="1090"/>
      <c r="AGW4" s="1090"/>
      <c r="AGX4" s="1090"/>
      <c r="AGY4" s="1090"/>
      <c r="AGZ4" s="1090"/>
      <c r="AHA4" s="1090"/>
      <c r="AHB4" s="1090"/>
      <c r="AHC4" s="1090"/>
      <c r="AHD4" s="1090"/>
      <c r="AHE4" s="1090"/>
      <c r="AHF4" s="1090"/>
      <c r="AHG4" s="1090"/>
      <c r="AHH4" s="1090"/>
      <c r="AHI4" s="1090"/>
      <c r="AHJ4" s="1090"/>
      <c r="AHK4" s="1090"/>
      <c r="AHL4" s="1090"/>
      <c r="AHM4" s="1090"/>
      <c r="AHN4" s="1090"/>
      <c r="AHO4" s="1090"/>
      <c r="AHP4" s="1090"/>
      <c r="AHQ4" s="1090"/>
      <c r="AHR4" s="1090"/>
      <c r="AHS4" s="1090"/>
      <c r="AHT4" s="1090"/>
      <c r="AHU4" s="1090"/>
      <c r="AHV4" s="1090"/>
      <c r="AHW4" s="1090"/>
      <c r="AHX4" s="1090"/>
      <c r="AHY4" s="1090"/>
      <c r="AHZ4" s="1090"/>
      <c r="AIA4" s="1090"/>
      <c r="AIB4" s="1090"/>
      <c r="AIC4" s="1090"/>
      <c r="AID4" s="1090"/>
      <c r="AIE4" s="1090"/>
      <c r="AIF4" s="1090"/>
      <c r="AIG4" s="1090"/>
      <c r="AIH4" s="1090"/>
      <c r="AII4" s="1090"/>
      <c r="AIJ4" s="1090"/>
      <c r="AIK4" s="1090"/>
      <c r="AIL4" s="1090"/>
      <c r="AIM4" s="1090"/>
      <c r="AIN4" s="1090"/>
      <c r="AIO4" s="1090"/>
      <c r="AIP4" s="1090"/>
      <c r="AIQ4" s="1090"/>
      <c r="AIR4" s="1090"/>
      <c r="AIS4" s="1090"/>
      <c r="AIT4" s="1090"/>
      <c r="AIU4" s="1090"/>
      <c r="AIV4" s="1090"/>
      <c r="AIW4" s="1090"/>
      <c r="AIX4" s="1090"/>
      <c r="AIY4" s="1090"/>
      <c r="AIZ4" s="1090"/>
      <c r="AJA4" s="1090"/>
      <c r="AJB4" s="1090"/>
      <c r="AJC4" s="1090"/>
      <c r="AJD4" s="1090"/>
      <c r="AJE4" s="1090"/>
      <c r="AJF4" s="1090"/>
      <c r="AJG4" s="1090"/>
      <c r="AJH4" s="1090"/>
      <c r="AJI4" s="1090"/>
      <c r="AJJ4" s="1090"/>
      <c r="AJK4" s="1090"/>
      <c r="AJL4" s="1090"/>
      <c r="AJM4" s="1090"/>
      <c r="AJN4" s="1090"/>
      <c r="AJO4" s="1090"/>
      <c r="AJP4" s="1090"/>
      <c r="AJQ4" s="1090"/>
      <c r="AJR4" s="1090"/>
      <c r="AJS4" s="1090"/>
      <c r="AJT4" s="1090"/>
      <c r="AJU4" s="1090"/>
      <c r="AJV4" s="1090"/>
      <c r="AJW4" s="1090"/>
      <c r="AJX4" s="1090"/>
      <c r="AJY4" s="1090"/>
      <c r="AJZ4" s="1090"/>
      <c r="AKA4" s="1090"/>
      <c r="AKB4" s="1090"/>
      <c r="AKC4" s="1090"/>
      <c r="AKD4" s="1090"/>
      <c r="AKE4" s="1090"/>
      <c r="AKF4" s="1090"/>
      <c r="AKG4" s="1090"/>
      <c r="AKH4" s="1090"/>
      <c r="AKI4" s="1090"/>
      <c r="AKJ4" s="1090"/>
      <c r="AKK4" s="1090"/>
      <c r="AKL4" s="1090"/>
      <c r="AKM4" s="1090"/>
      <c r="AKN4" s="1090"/>
      <c r="AKO4" s="1090"/>
      <c r="AKP4" s="1090"/>
      <c r="AKQ4" s="1090"/>
      <c r="AKR4" s="1090"/>
      <c r="AKS4" s="1090"/>
      <c r="AKT4" s="1090"/>
      <c r="AKU4" s="1090"/>
      <c r="AKV4" s="1090"/>
      <c r="AKW4" s="1090"/>
      <c r="AKX4" s="1090"/>
      <c r="AKY4" s="1090"/>
      <c r="AKZ4" s="1090"/>
      <c r="ALA4" s="1090"/>
      <c r="ALB4" s="1090"/>
      <c r="ALC4" s="1090"/>
      <c r="ALD4" s="1090"/>
      <c r="ALE4" s="1090"/>
      <c r="ALF4" s="1090"/>
      <c r="ALG4" s="1090"/>
      <c r="ALH4" s="1090"/>
      <c r="ALI4" s="1090"/>
      <c r="ALJ4" s="1090"/>
      <c r="ALK4" s="1090"/>
      <c r="ALL4" s="1090"/>
      <c r="ALM4" s="1090"/>
      <c r="ALN4" s="1090"/>
      <c r="ALO4" s="1090"/>
      <c r="ALP4" s="1090"/>
      <c r="ALQ4" s="1090"/>
      <c r="ALR4" s="1090"/>
      <c r="ALS4" s="1090"/>
      <c r="ALT4" s="1090"/>
      <c r="ALU4" s="1090"/>
      <c r="ALV4" s="1090"/>
      <c r="ALW4" s="1090"/>
      <c r="ALX4" s="1090"/>
      <c r="ALY4" s="1090"/>
      <c r="ALZ4" s="1090"/>
      <c r="AMA4" s="1090"/>
      <c r="AMB4" s="1090"/>
      <c r="AMC4" s="1090"/>
      <c r="AMD4" s="1090"/>
      <c r="AME4" s="1090"/>
      <c r="AMF4" s="1090"/>
      <c r="AMG4" s="1090"/>
      <c r="AMH4" s="1090"/>
      <c r="AMI4" s="1090"/>
      <c r="AMJ4" s="1090"/>
      <c r="AMK4" s="1090"/>
      <c r="AML4" s="1090"/>
      <c r="AMM4" s="1090"/>
      <c r="AMN4" s="1090"/>
      <c r="AMO4" s="1090"/>
      <c r="AMP4" s="1090"/>
      <c r="AMQ4" s="1090"/>
      <c r="AMR4" s="1090"/>
      <c r="AMS4" s="1090"/>
      <c r="AMT4" s="1090"/>
      <c r="AMU4" s="1090"/>
      <c r="AMV4" s="1090"/>
      <c r="AMW4" s="1090"/>
      <c r="AMX4" s="1090"/>
      <c r="AMY4" s="1090"/>
      <c r="AMZ4" s="1090"/>
      <c r="ANA4" s="1090"/>
      <c r="ANB4" s="1090"/>
      <c r="ANC4" s="1090"/>
      <c r="AND4" s="1090"/>
      <c r="ANE4" s="1090"/>
      <c r="ANF4" s="1090"/>
      <c r="ANG4" s="1090"/>
      <c r="ANH4" s="1090"/>
      <c r="ANI4" s="1090"/>
      <c r="ANJ4" s="1090"/>
      <c r="ANK4" s="1090"/>
      <c r="ANL4" s="1090"/>
      <c r="ANM4" s="1090"/>
      <c r="ANN4" s="1090"/>
      <c r="ANO4" s="1090"/>
      <c r="ANP4" s="1090"/>
      <c r="ANQ4" s="1090"/>
      <c r="ANR4" s="1090"/>
      <c r="ANS4" s="1090"/>
      <c r="ANT4" s="1090"/>
      <c r="ANU4" s="1090"/>
      <c r="ANV4" s="1090"/>
      <c r="ANW4" s="1090"/>
      <c r="ANX4" s="1090"/>
      <c r="ANY4" s="1090"/>
      <c r="ANZ4" s="1090"/>
      <c r="AOA4" s="1090"/>
      <c r="AOB4" s="1090"/>
      <c r="AOC4" s="1090"/>
      <c r="AOD4" s="1090"/>
      <c r="AOE4" s="1090"/>
      <c r="AOF4" s="1090"/>
      <c r="AOG4" s="1090"/>
      <c r="AOH4" s="1090"/>
      <c r="AOI4" s="1090"/>
      <c r="AOJ4" s="1090"/>
      <c r="AOK4" s="1090"/>
      <c r="AOL4" s="1090"/>
      <c r="AOM4" s="1090"/>
      <c r="AON4" s="1090"/>
      <c r="AOO4" s="1090"/>
      <c r="AOP4" s="1090"/>
      <c r="AOQ4" s="1090"/>
      <c r="AOR4" s="1090"/>
      <c r="AOS4" s="1090"/>
      <c r="AOT4" s="1090"/>
      <c r="AOU4" s="1090"/>
      <c r="AOV4" s="1090"/>
      <c r="AOW4" s="1090"/>
      <c r="AOX4" s="1090"/>
      <c r="AOY4" s="1090"/>
      <c r="AOZ4" s="1090"/>
      <c r="APA4" s="1090"/>
      <c r="APB4" s="1090"/>
      <c r="APC4" s="1090"/>
      <c r="APD4" s="1090"/>
      <c r="APE4" s="1090"/>
      <c r="APF4" s="1090"/>
      <c r="APG4" s="1090"/>
      <c r="APH4" s="1090"/>
      <c r="API4" s="1090"/>
      <c r="APJ4" s="1090"/>
      <c r="APK4" s="1090"/>
      <c r="APL4" s="1090"/>
      <c r="APM4" s="1090"/>
      <c r="APN4" s="1090"/>
      <c r="APO4" s="1090"/>
      <c r="APP4" s="1090"/>
      <c r="APQ4" s="1090"/>
      <c r="APR4" s="1090"/>
      <c r="APS4" s="1090"/>
      <c r="APT4" s="1090"/>
      <c r="APU4" s="1090"/>
      <c r="APV4" s="1090"/>
      <c r="APW4" s="1090"/>
      <c r="APX4" s="1090"/>
      <c r="APY4" s="1090"/>
      <c r="APZ4" s="1090"/>
      <c r="AQA4" s="1090"/>
      <c r="AQB4" s="1090"/>
      <c r="AQC4" s="1090"/>
      <c r="AQD4" s="1090"/>
      <c r="AQE4" s="1090"/>
      <c r="AQF4" s="1090"/>
      <c r="AQG4" s="1090"/>
      <c r="AQH4" s="1090"/>
      <c r="AQI4" s="1090"/>
      <c r="AQJ4" s="1090"/>
      <c r="AQK4" s="1090"/>
      <c r="AQL4" s="1090"/>
      <c r="AQM4" s="1090"/>
      <c r="AQN4" s="1090"/>
      <c r="AQO4" s="1090"/>
      <c r="AQP4" s="1090"/>
      <c r="AQQ4" s="1090"/>
      <c r="AQR4" s="1090"/>
      <c r="AQS4" s="1090"/>
      <c r="AQT4" s="1090"/>
      <c r="AQU4" s="1090"/>
      <c r="AQV4" s="1090"/>
      <c r="AQW4" s="1090"/>
      <c r="AQX4" s="1090"/>
      <c r="AQY4" s="1090"/>
      <c r="AQZ4" s="1090"/>
      <c r="ARA4" s="1090"/>
      <c r="ARB4" s="1090"/>
      <c r="ARC4" s="1090"/>
      <c r="ARD4" s="1090"/>
      <c r="ARE4" s="1090"/>
      <c r="ARF4" s="1090"/>
      <c r="ARG4" s="1090"/>
      <c r="ARH4" s="1090"/>
      <c r="ARI4" s="1090"/>
      <c r="ARJ4" s="1090"/>
      <c r="ARK4" s="1090"/>
      <c r="ARL4" s="1090"/>
      <c r="ARM4" s="1090"/>
      <c r="ARN4" s="1090"/>
      <c r="ARO4" s="1090"/>
      <c r="ARP4" s="1090"/>
      <c r="ARQ4" s="1090"/>
      <c r="ARR4" s="1090"/>
      <c r="ARS4" s="1090"/>
      <c r="ART4" s="1090"/>
      <c r="ARU4" s="1090"/>
      <c r="ARV4" s="1090"/>
      <c r="ARW4" s="1090"/>
      <c r="ARX4" s="1090"/>
      <c r="ARY4" s="1090"/>
      <c r="ARZ4" s="1090"/>
      <c r="ASA4" s="1090"/>
      <c r="ASB4" s="1090"/>
      <c r="ASC4" s="1090"/>
      <c r="ASD4" s="1090"/>
      <c r="ASE4" s="1090"/>
      <c r="ASF4" s="1090"/>
      <c r="ASG4" s="1090"/>
      <c r="ASH4" s="1090"/>
      <c r="ASI4" s="1090"/>
      <c r="ASJ4" s="1090"/>
      <c r="ASK4" s="1090"/>
      <c r="ASL4" s="1090"/>
      <c r="ASM4" s="1090"/>
      <c r="ASN4" s="1090"/>
      <c r="ASO4" s="1090"/>
      <c r="ASP4" s="1090"/>
      <c r="ASQ4" s="1090"/>
      <c r="ASR4" s="1090"/>
      <c r="ASS4" s="1090"/>
      <c r="AST4" s="1090"/>
      <c r="ASU4" s="1090"/>
      <c r="ASV4" s="1090"/>
      <c r="ASW4" s="1090"/>
      <c r="ASX4" s="1090"/>
      <c r="ASY4" s="1090"/>
      <c r="ASZ4" s="1090"/>
      <c r="ATA4" s="1090"/>
      <c r="ATB4" s="1090"/>
      <c r="ATC4" s="1090"/>
      <c r="ATD4" s="1090"/>
      <c r="ATE4" s="1090"/>
      <c r="ATF4" s="1090"/>
      <c r="ATG4" s="1090"/>
      <c r="ATH4" s="1090"/>
      <c r="ATI4" s="1090"/>
      <c r="ATJ4" s="1090"/>
      <c r="ATK4" s="1090"/>
      <c r="ATL4" s="1090"/>
      <c r="ATM4" s="1090"/>
      <c r="ATN4" s="1090"/>
      <c r="ATO4" s="1090"/>
      <c r="ATP4" s="1090"/>
      <c r="ATQ4" s="1090"/>
      <c r="ATR4" s="1090"/>
      <c r="ATS4" s="1090"/>
      <c r="ATT4" s="1090"/>
      <c r="ATU4" s="1090"/>
      <c r="ATV4" s="1090"/>
      <c r="ATW4" s="1090"/>
      <c r="ATX4" s="1090"/>
      <c r="ATY4" s="1090"/>
      <c r="ATZ4" s="1090"/>
      <c r="AUA4" s="1090"/>
      <c r="AUB4" s="1090"/>
      <c r="AUC4" s="1090"/>
      <c r="AUD4" s="1090"/>
      <c r="AUE4" s="1090"/>
      <c r="AUF4" s="1090"/>
      <c r="AUG4" s="1090"/>
      <c r="AUH4" s="1090"/>
      <c r="AUI4" s="1090"/>
      <c r="AUJ4" s="1090"/>
      <c r="AUK4" s="1090"/>
      <c r="AUL4" s="1090"/>
      <c r="AUM4" s="1090"/>
      <c r="AUN4" s="1090"/>
      <c r="AUO4" s="1090"/>
      <c r="AUP4" s="1090"/>
      <c r="AUQ4" s="1090"/>
      <c r="AUR4" s="1090"/>
      <c r="AUS4" s="1090"/>
      <c r="AUT4" s="1090"/>
      <c r="AUU4" s="1090"/>
      <c r="AUV4" s="1090"/>
      <c r="AUW4" s="1090"/>
      <c r="AUX4" s="1090"/>
      <c r="AUY4" s="1090"/>
      <c r="AUZ4" s="1090"/>
      <c r="AVA4" s="1090"/>
      <c r="AVB4" s="1090"/>
      <c r="AVC4" s="1090"/>
      <c r="AVD4" s="1090"/>
      <c r="AVE4" s="1090"/>
      <c r="AVF4" s="1090"/>
      <c r="AVG4" s="1090"/>
      <c r="AVH4" s="1090"/>
      <c r="AVI4" s="1090"/>
      <c r="AVJ4" s="1090"/>
      <c r="AVK4" s="1090"/>
      <c r="AVL4" s="1090"/>
      <c r="AVM4" s="1090"/>
      <c r="AVN4" s="1090"/>
      <c r="AVO4" s="1090"/>
      <c r="AVP4" s="1090"/>
      <c r="AVQ4" s="1090"/>
      <c r="AVR4" s="1090"/>
      <c r="AVS4" s="1090"/>
      <c r="AVT4" s="1090"/>
      <c r="AVU4" s="1090"/>
      <c r="AVV4" s="1090"/>
      <c r="AVW4" s="1090"/>
      <c r="AVX4" s="1090"/>
      <c r="AVY4" s="1090"/>
      <c r="AVZ4" s="1090"/>
      <c r="AWA4" s="1090"/>
      <c r="AWB4" s="1090"/>
      <c r="AWC4" s="1090"/>
      <c r="AWD4" s="1090"/>
      <c r="AWE4" s="1090"/>
      <c r="AWF4" s="1090"/>
      <c r="AWG4" s="1090"/>
      <c r="AWH4" s="1090"/>
      <c r="AWI4" s="1090"/>
      <c r="AWJ4" s="1090"/>
      <c r="AWK4" s="1090"/>
      <c r="AWL4" s="1090"/>
      <c r="AWM4" s="1090"/>
      <c r="AWN4" s="1090"/>
      <c r="AWO4" s="1090"/>
      <c r="AWP4" s="1090"/>
      <c r="AWQ4" s="1090"/>
      <c r="AWR4" s="1090"/>
      <c r="AWS4" s="1090"/>
      <c r="AWT4" s="1090"/>
      <c r="AWU4" s="1090"/>
      <c r="AWV4" s="1090"/>
      <c r="AWW4" s="1090"/>
      <c r="AWX4" s="1090"/>
      <c r="AWY4" s="1090"/>
      <c r="AWZ4" s="1090"/>
      <c r="AXA4" s="1090"/>
      <c r="AXB4" s="1090"/>
      <c r="AXC4" s="1090"/>
      <c r="AXD4" s="1090"/>
      <c r="AXE4" s="1090"/>
      <c r="AXF4" s="1090"/>
      <c r="AXG4" s="1090"/>
      <c r="AXH4" s="1090"/>
      <c r="AXI4" s="1090"/>
      <c r="AXJ4" s="1090"/>
      <c r="AXK4" s="1090"/>
      <c r="AXL4" s="1090"/>
      <c r="AXM4" s="1090"/>
      <c r="AXN4" s="1090"/>
      <c r="AXO4" s="1090"/>
      <c r="AXP4" s="1090"/>
      <c r="AXQ4" s="1090"/>
      <c r="AXR4" s="1090"/>
      <c r="AXS4" s="1090"/>
      <c r="AXT4" s="1090"/>
      <c r="AXU4" s="1090"/>
      <c r="AXV4" s="1090"/>
      <c r="AXW4" s="1090"/>
      <c r="AXX4" s="1090"/>
      <c r="AXY4" s="1090"/>
      <c r="AXZ4" s="1090"/>
      <c r="AYA4" s="1090"/>
      <c r="AYB4" s="1090"/>
      <c r="AYC4" s="1090"/>
      <c r="AYD4" s="1090"/>
      <c r="AYE4" s="1090"/>
      <c r="AYF4" s="1090"/>
      <c r="AYG4" s="1090"/>
      <c r="AYH4" s="1090"/>
      <c r="AYI4" s="1090"/>
      <c r="AYJ4" s="1090"/>
      <c r="AYK4" s="1090"/>
      <c r="AYL4" s="1090"/>
      <c r="AYM4" s="1090"/>
      <c r="AYN4" s="1090"/>
      <c r="AYO4" s="1090"/>
      <c r="AYP4" s="1090"/>
      <c r="AYQ4" s="1090"/>
      <c r="AYR4" s="1090"/>
      <c r="AYS4" s="1090"/>
      <c r="AYT4" s="1090"/>
      <c r="AYU4" s="1090"/>
      <c r="AYV4" s="1090"/>
      <c r="AYW4" s="1090"/>
      <c r="AYX4" s="1090"/>
      <c r="AYY4" s="1090"/>
      <c r="AYZ4" s="1090"/>
      <c r="AZA4" s="1090"/>
      <c r="AZB4" s="1090"/>
      <c r="AZC4" s="1090"/>
      <c r="AZD4" s="1090"/>
      <c r="AZE4" s="1090"/>
      <c r="AZF4" s="1090"/>
      <c r="AZG4" s="1090"/>
      <c r="AZH4" s="1090"/>
      <c r="AZI4" s="1090"/>
      <c r="AZJ4" s="1090"/>
      <c r="AZK4" s="1090"/>
      <c r="AZL4" s="1090"/>
      <c r="AZM4" s="1090"/>
      <c r="AZN4" s="1090"/>
      <c r="AZO4" s="1090"/>
      <c r="AZP4" s="1090"/>
      <c r="AZQ4" s="1090"/>
      <c r="AZR4" s="1090"/>
      <c r="AZS4" s="1090"/>
      <c r="AZT4" s="1090"/>
      <c r="AZU4" s="1090"/>
      <c r="AZV4" s="1090"/>
      <c r="AZW4" s="1090"/>
      <c r="AZX4" s="1090"/>
      <c r="AZY4" s="1090"/>
      <c r="AZZ4" s="1090"/>
      <c r="BAA4" s="1090"/>
      <c r="BAB4" s="1090"/>
      <c r="BAC4" s="1090"/>
      <c r="BAD4" s="1090"/>
      <c r="BAE4" s="1090"/>
      <c r="BAF4" s="1090"/>
      <c r="BAG4" s="1090"/>
      <c r="BAH4" s="1090"/>
      <c r="BAI4" s="1090"/>
      <c r="BAJ4" s="1090"/>
      <c r="BAK4" s="1090"/>
      <c r="BAL4" s="1090"/>
      <c r="BAM4" s="1090"/>
      <c r="BAN4" s="1090"/>
      <c r="BAO4" s="1090"/>
      <c r="BAP4" s="1090"/>
      <c r="BAQ4" s="1090"/>
      <c r="BAR4" s="1090"/>
      <c r="BAS4" s="1090"/>
      <c r="BAT4" s="1090"/>
      <c r="BAU4" s="1090"/>
      <c r="BAV4" s="1090"/>
      <c r="BAW4" s="1090"/>
      <c r="BAX4" s="1090"/>
      <c r="BAY4" s="1090"/>
      <c r="BAZ4" s="1090"/>
      <c r="BBA4" s="1090"/>
      <c r="BBB4" s="1090"/>
      <c r="BBC4" s="1090"/>
      <c r="BBD4" s="1090"/>
      <c r="BBE4" s="1090"/>
      <c r="BBF4" s="1090"/>
      <c r="BBG4" s="1090"/>
      <c r="BBH4" s="1090"/>
      <c r="BBI4" s="1090"/>
      <c r="BBJ4" s="1090"/>
      <c r="BBK4" s="1090"/>
      <c r="BBL4" s="1090"/>
      <c r="BBM4" s="1090"/>
      <c r="BBN4" s="1090"/>
      <c r="BBO4" s="1090"/>
      <c r="BBP4" s="1090"/>
      <c r="BBQ4" s="1090"/>
      <c r="BBR4" s="1090"/>
      <c r="BBS4" s="1090"/>
      <c r="BBT4" s="1090"/>
      <c r="BBU4" s="1090"/>
      <c r="BBV4" s="1090"/>
      <c r="BBW4" s="1090"/>
      <c r="BBX4" s="1090"/>
      <c r="BBY4" s="1090"/>
      <c r="BBZ4" s="1090"/>
      <c r="BCA4" s="1090"/>
      <c r="BCB4" s="1090"/>
      <c r="BCC4" s="1090"/>
      <c r="BCD4" s="1090"/>
      <c r="BCE4" s="1090"/>
      <c r="BCF4" s="1090"/>
      <c r="BCG4" s="1090"/>
      <c r="BCH4" s="1090"/>
      <c r="BCI4" s="1090"/>
      <c r="BCJ4" s="1090"/>
      <c r="BCK4" s="1090"/>
      <c r="BCL4" s="1090"/>
      <c r="BCM4" s="1090"/>
      <c r="BCN4" s="1090"/>
      <c r="BCO4" s="1090"/>
      <c r="BCP4" s="1090"/>
      <c r="BCQ4" s="1090"/>
      <c r="BCR4" s="1090"/>
      <c r="BCS4" s="1090"/>
      <c r="BCT4" s="1090"/>
      <c r="BCU4" s="1090"/>
      <c r="BCV4" s="1090"/>
      <c r="BCW4" s="1090"/>
      <c r="BCX4" s="1090"/>
      <c r="BCY4" s="1090"/>
      <c r="BCZ4" s="1090"/>
      <c r="BDA4" s="1090"/>
      <c r="BDB4" s="1090"/>
      <c r="BDC4" s="1090"/>
      <c r="BDD4" s="1090"/>
      <c r="BDE4" s="1090"/>
      <c r="BDF4" s="1090"/>
      <c r="BDG4" s="1090"/>
      <c r="BDH4" s="1090"/>
      <c r="BDI4" s="1090"/>
      <c r="BDJ4" s="1090"/>
      <c r="BDK4" s="1090"/>
      <c r="BDL4" s="1090"/>
      <c r="BDM4" s="1090"/>
      <c r="BDN4" s="1090"/>
      <c r="BDO4" s="1090"/>
      <c r="BDP4" s="1090"/>
      <c r="BDQ4" s="1090"/>
      <c r="BDR4" s="1090"/>
      <c r="BDS4" s="1090"/>
      <c r="BDT4" s="1090"/>
      <c r="BDU4" s="1090"/>
      <c r="BDV4" s="1090"/>
      <c r="BDW4" s="1090"/>
      <c r="BDX4" s="1090"/>
      <c r="BDY4" s="1090"/>
      <c r="BDZ4" s="1090"/>
      <c r="BEA4" s="1090"/>
      <c r="BEB4" s="1090"/>
      <c r="BEC4" s="1090"/>
      <c r="BED4" s="1090"/>
      <c r="BEE4" s="1090"/>
      <c r="BEF4" s="1090"/>
      <c r="BEG4" s="1090"/>
      <c r="BEH4" s="1090"/>
      <c r="BEI4" s="1090"/>
      <c r="BEJ4" s="1090"/>
      <c r="BEK4" s="1090"/>
      <c r="BEL4" s="1090"/>
      <c r="BEM4" s="1090"/>
      <c r="BEN4" s="1090"/>
      <c r="BEO4" s="1090"/>
      <c r="BEP4" s="1090"/>
      <c r="BEQ4" s="1090"/>
      <c r="BER4" s="1090"/>
      <c r="BES4" s="1090"/>
      <c r="BET4" s="1090"/>
      <c r="BEU4" s="1090"/>
      <c r="BEV4" s="1090"/>
      <c r="BEW4" s="1090"/>
      <c r="BEX4" s="1090"/>
      <c r="BEY4" s="1090"/>
      <c r="BEZ4" s="1090"/>
      <c r="BFA4" s="1090"/>
      <c r="BFB4" s="1090"/>
      <c r="BFC4" s="1090"/>
      <c r="BFD4" s="1090"/>
      <c r="BFE4" s="1090"/>
      <c r="BFF4" s="1090"/>
      <c r="BFG4" s="1090"/>
      <c r="BFH4" s="1090"/>
      <c r="BFI4" s="1090"/>
      <c r="BFJ4" s="1090"/>
      <c r="BFK4" s="1090"/>
      <c r="BFL4" s="1090"/>
      <c r="BFM4" s="1090"/>
      <c r="BFN4" s="1090"/>
      <c r="BFO4" s="1090"/>
      <c r="BFP4" s="1090"/>
      <c r="BFQ4" s="1090"/>
      <c r="BFR4" s="1090"/>
      <c r="BFS4" s="1090"/>
      <c r="BFT4" s="1090"/>
      <c r="BFU4" s="1090"/>
      <c r="BFV4" s="1090"/>
      <c r="BFW4" s="1090"/>
      <c r="BFX4" s="1090"/>
      <c r="BFY4" s="1090"/>
      <c r="BFZ4" s="1090"/>
      <c r="BGA4" s="1090"/>
      <c r="BGB4" s="1090"/>
      <c r="BGC4" s="1090"/>
      <c r="BGD4" s="1090"/>
      <c r="BGE4" s="1090"/>
      <c r="BGF4" s="1090"/>
      <c r="BGG4" s="1090"/>
      <c r="BGH4" s="1090"/>
      <c r="BGI4" s="1090"/>
      <c r="BGJ4" s="1090"/>
      <c r="BGK4" s="1090"/>
      <c r="BGL4" s="1090"/>
      <c r="BGM4" s="1090"/>
      <c r="BGN4" s="1090"/>
      <c r="BGO4" s="1090"/>
      <c r="BGP4" s="1090"/>
      <c r="BGQ4" s="1090"/>
      <c r="BGR4" s="1090"/>
      <c r="BGS4" s="1090"/>
      <c r="BGT4" s="1090"/>
      <c r="BGU4" s="1090"/>
      <c r="BGV4" s="1090"/>
      <c r="BGW4" s="1090"/>
      <c r="BGX4" s="1090"/>
      <c r="BGY4" s="1090"/>
      <c r="BGZ4" s="1090"/>
      <c r="BHA4" s="1090"/>
      <c r="BHB4" s="1090"/>
      <c r="BHC4" s="1090"/>
      <c r="BHD4" s="1090"/>
      <c r="BHE4" s="1090"/>
      <c r="BHF4" s="1090"/>
      <c r="BHG4" s="1090"/>
      <c r="BHH4" s="1090"/>
      <c r="BHI4" s="1090"/>
      <c r="BHJ4" s="1090"/>
      <c r="BHK4" s="1090"/>
      <c r="BHL4" s="1090"/>
      <c r="BHM4" s="1090"/>
      <c r="BHN4" s="1090"/>
      <c r="BHO4" s="1090"/>
      <c r="BHP4" s="1090"/>
      <c r="BHQ4" s="1090"/>
    </row>
    <row r="5" spans="1:1577" s="13" customFormat="1" ht="12" x14ac:dyDescent="0.25">
      <c r="A5" s="264" t="s">
        <v>7</v>
      </c>
      <c r="B5" s="264"/>
      <c r="C5" s="264"/>
      <c r="D5" s="265" t="s">
        <v>8</v>
      </c>
      <c r="E5" s="266"/>
      <c r="F5" s="267"/>
      <c r="G5" s="265" t="s">
        <v>9</v>
      </c>
      <c r="H5" s="266"/>
      <c r="I5" s="267"/>
      <c r="J5" s="265" t="s">
        <v>10</v>
      </c>
      <c r="K5" s="266"/>
      <c r="L5" s="267"/>
      <c r="M5" s="260"/>
      <c r="N5" s="103"/>
      <c r="O5" s="103"/>
      <c r="P5" s="103"/>
      <c r="Q5" s="103"/>
      <c r="R5" s="103"/>
      <c r="S5" s="103"/>
      <c r="T5" s="103" t="s">
        <v>11</v>
      </c>
      <c r="U5" s="103"/>
      <c r="V5" s="103"/>
      <c r="W5" s="103"/>
      <c r="X5" s="103"/>
      <c r="Y5" s="103"/>
      <c r="Z5" s="103"/>
      <c r="AA5" s="103" t="s">
        <v>12</v>
      </c>
      <c r="AB5" s="103" t="s">
        <v>13</v>
      </c>
      <c r="AC5" s="103"/>
      <c r="AD5" s="103"/>
      <c r="AE5" s="103"/>
      <c r="AF5" s="103" t="s">
        <v>14</v>
      </c>
      <c r="AG5" s="103"/>
      <c r="AH5" s="103"/>
      <c r="AI5" s="103"/>
      <c r="AJ5" s="103" t="s">
        <v>13</v>
      </c>
      <c r="AK5" s="103"/>
      <c r="AL5" s="103"/>
      <c r="AM5" s="103"/>
      <c r="AN5" s="103" t="s">
        <v>14</v>
      </c>
      <c r="AO5" s="103"/>
      <c r="AP5" s="103"/>
      <c r="AQ5" s="103"/>
      <c r="AR5" s="103" t="s">
        <v>13</v>
      </c>
      <c r="AS5" s="103"/>
      <c r="AT5" s="103"/>
      <c r="AU5" s="103"/>
      <c r="AV5" s="103" t="s">
        <v>14</v>
      </c>
      <c r="AW5" s="103"/>
      <c r="AX5" s="103"/>
      <c r="AY5" s="103"/>
      <c r="AZ5" s="103" t="s">
        <v>13</v>
      </c>
      <c r="BA5" s="103"/>
      <c r="BB5" s="103"/>
      <c r="BC5" s="103"/>
      <c r="BD5" s="103" t="s">
        <v>14</v>
      </c>
      <c r="BE5" s="103"/>
      <c r="BF5" s="103"/>
      <c r="BG5" s="103"/>
      <c r="BH5" s="103" t="s">
        <v>13</v>
      </c>
      <c r="BI5" s="103"/>
      <c r="BJ5" s="103"/>
      <c r="BK5" s="103"/>
      <c r="BL5" s="103" t="s">
        <v>14</v>
      </c>
      <c r="BM5" s="103"/>
      <c r="BN5" s="103"/>
      <c r="BO5" s="103"/>
      <c r="BP5" s="103" t="s">
        <v>13</v>
      </c>
      <c r="BQ5" s="103"/>
      <c r="BR5" s="103"/>
      <c r="BS5" s="103"/>
      <c r="BT5" s="103" t="s">
        <v>14</v>
      </c>
      <c r="BU5" s="103"/>
      <c r="BV5" s="103"/>
      <c r="BW5" s="103"/>
      <c r="BX5" s="103" t="s">
        <v>13</v>
      </c>
      <c r="BY5" s="103"/>
      <c r="BZ5" s="103"/>
      <c r="CA5" s="103"/>
      <c r="CB5" s="103" t="s">
        <v>14</v>
      </c>
      <c r="CC5" s="103"/>
      <c r="CD5" s="103"/>
      <c r="CE5" s="103"/>
      <c r="CF5" s="103" t="s">
        <v>13</v>
      </c>
      <c r="CG5" s="103"/>
      <c r="CH5" s="103"/>
      <c r="CI5" s="103"/>
      <c r="CJ5" s="103" t="s">
        <v>14</v>
      </c>
      <c r="CK5" s="103"/>
      <c r="CL5" s="103"/>
      <c r="CM5" s="103"/>
      <c r="CN5" s="103" t="s">
        <v>13</v>
      </c>
      <c r="CO5" s="103"/>
      <c r="CP5" s="103"/>
      <c r="CQ5" s="103"/>
      <c r="CR5" s="103" t="s">
        <v>14</v>
      </c>
      <c r="CS5" s="103"/>
      <c r="CT5" s="103"/>
      <c r="CU5" s="103"/>
      <c r="CX5" s="657"/>
      <c r="CY5" s="657"/>
      <c r="CZ5" s="657"/>
      <c r="DA5" s="657"/>
      <c r="DB5" s="657"/>
      <c r="DC5" s="657"/>
      <c r="DD5" s="657"/>
      <c r="DE5" s="657"/>
      <c r="DF5" s="657"/>
      <c r="DG5" s="657"/>
      <c r="DH5" s="657"/>
      <c r="DI5" s="657"/>
      <c r="DJ5" s="657"/>
      <c r="DK5" s="657"/>
      <c r="DL5" s="657"/>
      <c r="DM5" s="657"/>
      <c r="DN5" s="657"/>
      <c r="DO5" s="657"/>
      <c r="DP5" s="657"/>
      <c r="DQ5" s="657"/>
      <c r="DR5" s="657"/>
      <c r="DS5" s="657"/>
      <c r="DT5" s="657"/>
      <c r="DU5" s="657"/>
      <c r="DV5" s="657"/>
      <c r="DW5" s="657"/>
      <c r="DX5" s="657"/>
      <c r="DY5" s="657"/>
      <c r="DZ5" s="657"/>
      <c r="EA5" s="657"/>
      <c r="EB5" s="657"/>
      <c r="EC5" s="657"/>
      <c r="ED5" s="657"/>
      <c r="EE5" s="657"/>
      <c r="EF5" s="657"/>
      <c r="EG5" s="657"/>
      <c r="EH5" s="657"/>
      <c r="EI5" s="657"/>
      <c r="EJ5" s="657"/>
      <c r="EK5" s="657"/>
      <c r="EL5" s="657"/>
      <c r="EM5" s="657"/>
      <c r="EN5" s="657"/>
      <c r="EO5" s="657"/>
      <c r="EP5" s="657"/>
      <c r="EQ5" s="657"/>
      <c r="ER5" s="657"/>
      <c r="ES5" s="657"/>
      <c r="ET5" s="657"/>
      <c r="EU5" s="657"/>
      <c r="EV5" s="657"/>
      <c r="EW5" s="657"/>
      <c r="EX5" s="657"/>
      <c r="EY5" s="657"/>
      <c r="EZ5" s="657"/>
      <c r="FA5" s="657"/>
      <c r="FB5" s="657"/>
      <c r="FC5" s="657"/>
      <c r="FD5" s="657"/>
      <c r="FE5" s="657"/>
      <c r="FF5" s="657"/>
      <c r="FG5" s="657"/>
      <c r="FH5" s="657"/>
      <c r="FI5" s="657"/>
      <c r="FJ5" s="657"/>
      <c r="FK5" s="657"/>
      <c r="FL5" s="657"/>
      <c r="FM5" s="657"/>
      <c r="FN5" s="657"/>
      <c r="FO5" s="657"/>
      <c r="FP5" s="657"/>
      <c r="FQ5" s="657"/>
      <c r="FR5" s="657"/>
      <c r="FS5" s="657"/>
      <c r="FT5" s="657"/>
      <c r="FU5" s="657"/>
      <c r="FV5" s="657"/>
      <c r="FW5" s="657"/>
      <c r="FX5" s="657"/>
      <c r="FY5" s="657"/>
      <c r="FZ5" s="657"/>
      <c r="GA5" s="657"/>
      <c r="GB5" s="657"/>
      <c r="GC5" s="657"/>
      <c r="GD5" s="657"/>
      <c r="GE5" s="657"/>
      <c r="GF5" s="657"/>
      <c r="GG5" s="657"/>
      <c r="GH5" s="657"/>
      <c r="GI5" s="657"/>
      <c r="GJ5" s="657"/>
      <c r="GK5" s="657"/>
      <c r="GL5" s="657"/>
      <c r="GM5" s="657"/>
      <c r="GN5" s="657"/>
      <c r="GO5" s="657"/>
      <c r="GP5" s="657"/>
      <c r="GQ5" s="657"/>
      <c r="GR5" s="657"/>
      <c r="GS5" s="657"/>
      <c r="GT5" s="657"/>
      <c r="GU5" s="657"/>
      <c r="GV5" s="657"/>
      <c r="GW5" s="657"/>
      <c r="GX5" s="657"/>
      <c r="GY5" s="657"/>
      <c r="GZ5" s="657"/>
      <c r="HA5" s="657"/>
      <c r="HB5" s="657"/>
      <c r="HC5" s="657"/>
      <c r="HD5" s="657"/>
      <c r="HE5" s="657"/>
      <c r="HF5" s="657"/>
      <c r="HG5" s="657"/>
      <c r="HH5" s="657"/>
      <c r="HI5" s="657"/>
      <c r="HJ5" s="657"/>
      <c r="HK5" s="657"/>
      <c r="HL5" s="657"/>
      <c r="HM5" s="657"/>
      <c r="HN5" s="657"/>
      <c r="HO5" s="657"/>
      <c r="HP5" s="657"/>
      <c r="HQ5" s="657"/>
      <c r="HR5" s="657"/>
      <c r="HS5" s="657"/>
      <c r="HT5" s="657"/>
      <c r="HU5" s="657"/>
      <c r="HV5" s="657"/>
      <c r="HW5" s="657"/>
      <c r="HX5" s="657"/>
      <c r="HY5" s="657"/>
      <c r="HZ5" s="657"/>
      <c r="IA5" s="657"/>
      <c r="IB5" s="657"/>
      <c r="IC5" s="657"/>
      <c r="ID5" s="657"/>
      <c r="IE5" s="657"/>
      <c r="IF5" s="657"/>
      <c r="IG5" s="657"/>
      <c r="IH5" s="657"/>
      <c r="II5" s="657"/>
      <c r="IJ5" s="657"/>
      <c r="IK5" s="657"/>
      <c r="IL5" s="657"/>
      <c r="IM5" s="657"/>
      <c r="IN5" s="657"/>
      <c r="IO5" s="657"/>
      <c r="IP5" s="657"/>
      <c r="IQ5" s="657"/>
      <c r="IR5" s="657"/>
      <c r="IS5" s="657"/>
      <c r="IT5" s="657"/>
      <c r="IU5" s="657"/>
      <c r="IV5" s="657"/>
      <c r="IW5" s="657"/>
      <c r="IX5" s="657"/>
      <c r="IY5" s="657"/>
      <c r="IZ5" s="657"/>
      <c r="JA5" s="657"/>
      <c r="JB5" s="657"/>
      <c r="JC5" s="657"/>
      <c r="JD5" s="657"/>
      <c r="JE5" s="657"/>
      <c r="JF5" s="657"/>
      <c r="JG5" s="657"/>
      <c r="JH5" s="657"/>
      <c r="JI5" s="657"/>
      <c r="JJ5" s="657"/>
      <c r="JK5" s="657"/>
      <c r="JL5" s="657"/>
      <c r="JM5" s="657"/>
      <c r="JN5" s="657"/>
      <c r="JO5" s="657"/>
      <c r="JP5" s="657"/>
      <c r="JQ5" s="657"/>
      <c r="JR5" s="657"/>
      <c r="JS5" s="657"/>
      <c r="JT5" s="657"/>
      <c r="JU5" s="657"/>
      <c r="JV5" s="657"/>
      <c r="JW5" s="657"/>
      <c r="JX5" s="657"/>
      <c r="JY5" s="657"/>
      <c r="JZ5" s="657"/>
      <c r="KA5" s="657"/>
      <c r="KB5" s="657"/>
      <c r="KC5" s="657"/>
      <c r="KD5" s="657"/>
      <c r="KE5" s="657"/>
      <c r="KF5" s="657"/>
      <c r="KG5" s="657"/>
      <c r="KH5" s="657"/>
      <c r="KI5" s="657"/>
      <c r="KJ5" s="657"/>
      <c r="KK5" s="657"/>
      <c r="KL5" s="657"/>
      <c r="KM5" s="657"/>
      <c r="KN5" s="657"/>
      <c r="KO5" s="657"/>
      <c r="KP5" s="657"/>
      <c r="KQ5" s="657"/>
      <c r="KR5" s="657"/>
      <c r="KS5" s="657"/>
      <c r="KT5" s="657"/>
      <c r="KU5" s="657"/>
      <c r="KV5" s="657"/>
      <c r="KW5" s="657"/>
      <c r="KX5" s="657"/>
      <c r="KY5" s="657"/>
      <c r="KZ5" s="657"/>
      <c r="LA5" s="657"/>
      <c r="LB5" s="657"/>
      <c r="LC5" s="657"/>
      <c r="LD5" s="657"/>
      <c r="LE5" s="657"/>
      <c r="LF5" s="657"/>
      <c r="LG5" s="657"/>
      <c r="LH5" s="657"/>
      <c r="LI5" s="657"/>
      <c r="LJ5" s="657"/>
      <c r="LK5" s="657"/>
      <c r="LL5" s="657"/>
      <c r="LM5" s="657"/>
      <c r="LN5" s="657"/>
      <c r="LO5" s="657"/>
      <c r="LP5" s="657"/>
      <c r="LQ5" s="657"/>
      <c r="LR5" s="657"/>
      <c r="LS5" s="657"/>
      <c r="LT5" s="657"/>
      <c r="LU5" s="657"/>
      <c r="LV5" s="657"/>
      <c r="LW5" s="657"/>
      <c r="LX5" s="657"/>
      <c r="LY5" s="657"/>
      <c r="LZ5" s="657"/>
      <c r="MA5" s="657"/>
      <c r="MB5" s="657"/>
      <c r="MC5" s="657"/>
      <c r="MD5" s="657"/>
      <c r="ME5" s="657"/>
      <c r="MF5" s="657"/>
      <c r="MG5" s="657"/>
      <c r="MH5" s="657"/>
      <c r="MI5" s="657"/>
      <c r="MJ5" s="657"/>
      <c r="MK5" s="657"/>
      <c r="ML5" s="657"/>
      <c r="MM5" s="657"/>
      <c r="MN5" s="657"/>
      <c r="MO5" s="657"/>
      <c r="MP5" s="657"/>
      <c r="MQ5" s="657"/>
      <c r="MR5" s="657"/>
      <c r="MS5" s="657"/>
      <c r="MT5" s="657"/>
      <c r="MU5" s="657"/>
      <c r="MV5" s="657"/>
      <c r="MW5" s="657"/>
      <c r="MX5" s="657"/>
      <c r="MY5" s="657"/>
      <c r="MZ5" s="657"/>
      <c r="NA5" s="657"/>
      <c r="NB5" s="657"/>
      <c r="NC5" s="657"/>
      <c r="ND5" s="657"/>
      <c r="NE5" s="657"/>
      <c r="NF5" s="657"/>
      <c r="NG5" s="657"/>
      <c r="NH5" s="657"/>
      <c r="NI5" s="657"/>
      <c r="NJ5" s="657"/>
      <c r="NK5" s="657"/>
      <c r="NL5" s="657"/>
      <c r="NM5" s="657"/>
      <c r="NN5" s="657"/>
      <c r="NO5" s="657"/>
      <c r="NP5" s="657"/>
      <c r="NQ5" s="657"/>
      <c r="NR5" s="657"/>
      <c r="NS5" s="657"/>
      <c r="NT5" s="657"/>
      <c r="NU5" s="657"/>
      <c r="NV5" s="657"/>
      <c r="NW5" s="657"/>
      <c r="NX5" s="657"/>
      <c r="NY5" s="657"/>
      <c r="NZ5" s="657"/>
      <c r="OA5" s="657"/>
      <c r="OB5" s="657"/>
      <c r="OC5" s="657"/>
      <c r="OD5" s="657"/>
      <c r="OE5" s="657"/>
      <c r="OF5" s="657"/>
      <c r="OG5" s="657"/>
      <c r="OH5" s="657"/>
      <c r="OI5" s="657"/>
      <c r="OJ5" s="657"/>
      <c r="OK5" s="657"/>
      <c r="OL5" s="657"/>
      <c r="OM5" s="657"/>
      <c r="ON5" s="657"/>
      <c r="OO5" s="657"/>
      <c r="OP5" s="657"/>
      <c r="OQ5" s="657"/>
      <c r="OR5" s="657"/>
      <c r="OS5" s="657"/>
      <c r="OT5" s="657"/>
      <c r="OU5" s="657"/>
      <c r="OV5" s="657"/>
      <c r="OW5" s="657"/>
      <c r="OX5" s="657"/>
      <c r="OY5" s="657"/>
      <c r="OZ5" s="657"/>
      <c r="PA5" s="657"/>
      <c r="PB5" s="657"/>
      <c r="PC5" s="657"/>
      <c r="PD5" s="657"/>
      <c r="PE5" s="657"/>
      <c r="PF5" s="657"/>
      <c r="PG5" s="657"/>
      <c r="PH5" s="657"/>
      <c r="PI5" s="657"/>
      <c r="PJ5" s="657"/>
      <c r="PK5" s="657"/>
      <c r="PL5" s="657"/>
      <c r="PM5" s="657"/>
      <c r="PN5" s="657"/>
      <c r="PO5" s="657"/>
      <c r="PP5" s="657"/>
      <c r="PQ5" s="657"/>
      <c r="PR5" s="657"/>
      <c r="PS5" s="657"/>
      <c r="PT5" s="657"/>
      <c r="PU5" s="657"/>
      <c r="PV5" s="657"/>
      <c r="PW5" s="657"/>
      <c r="PX5" s="657"/>
      <c r="PY5" s="657"/>
      <c r="PZ5" s="657"/>
      <c r="QA5" s="657"/>
      <c r="QB5" s="657"/>
      <c r="QC5" s="657"/>
      <c r="QD5" s="657"/>
      <c r="QE5" s="657"/>
      <c r="QF5" s="657"/>
      <c r="QG5" s="657"/>
      <c r="QH5" s="657"/>
      <c r="QI5" s="657"/>
      <c r="QJ5" s="657"/>
      <c r="QK5" s="657"/>
      <c r="QL5" s="657"/>
      <c r="QM5" s="657"/>
      <c r="QN5" s="657"/>
      <c r="QO5" s="657"/>
      <c r="QP5" s="657"/>
      <c r="QQ5" s="657"/>
      <c r="QR5" s="657"/>
      <c r="QS5" s="657"/>
      <c r="QT5" s="657"/>
      <c r="QU5" s="657"/>
      <c r="QV5" s="657"/>
      <c r="QW5" s="657"/>
      <c r="QX5" s="657"/>
      <c r="QY5" s="657"/>
      <c r="QZ5" s="657"/>
      <c r="RA5" s="657"/>
      <c r="RB5" s="657"/>
      <c r="RC5" s="657"/>
      <c r="RD5" s="657"/>
      <c r="RE5" s="657"/>
      <c r="RF5" s="657"/>
      <c r="RG5" s="657"/>
      <c r="RH5" s="657"/>
      <c r="RI5" s="657"/>
      <c r="RJ5" s="657"/>
      <c r="RK5" s="657"/>
      <c r="RL5" s="657"/>
      <c r="RM5" s="657"/>
      <c r="RN5" s="657"/>
      <c r="RO5" s="657"/>
      <c r="RP5" s="657"/>
      <c r="RQ5" s="657"/>
      <c r="RR5" s="657"/>
      <c r="RS5" s="657"/>
      <c r="RT5" s="657"/>
      <c r="RU5" s="657"/>
      <c r="RV5" s="657"/>
      <c r="RW5" s="657"/>
      <c r="RX5" s="657"/>
      <c r="RY5" s="657"/>
      <c r="RZ5" s="657"/>
      <c r="SA5" s="657"/>
      <c r="SB5" s="657"/>
      <c r="SC5" s="657"/>
      <c r="SD5" s="657"/>
      <c r="SE5" s="657"/>
      <c r="SF5" s="657"/>
      <c r="SG5" s="657"/>
      <c r="SH5" s="657"/>
      <c r="SI5" s="657"/>
      <c r="SJ5" s="657"/>
      <c r="SK5" s="657"/>
      <c r="SL5" s="657"/>
      <c r="SM5" s="657"/>
      <c r="SN5" s="657"/>
      <c r="SO5" s="657"/>
      <c r="SP5" s="657"/>
      <c r="SQ5" s="657"/>
      <c r="SR5" s="657"/>
      <c r="SS5" s="657"/>
      <c r="ST5" s="657"/>
      <c r="SU5" s="657"/>
      <c r="SV5" s="657"/>
      <c r="SW5" s="657"/>
      <c r="SX5" s="657"/>
      <c r="SY5" s="657"/>
      <c r="SZ5" s="657"/>
      <c r="TA5" s="657"/>
      <c r="TB5" s="657"/>
      <c r="TC5" s="657"/>
      <c r="TD5" s="657"/>
      <c r="TE5" s="657"/>
      <c r="TF5" s="657"/>
      <c r="TG5" s="657"/>
      <c r="TH5" s="657"/>
      <c r="TI5" s="657"/>
      <c r="TJ5" s="657"/>
      <c r="TK5" s="657"/>
      <c r="TL5" s="657"/>
      <c r="TM5" s="657"/>
      <c r="TN5" s="657"/>
      <c r="TO5" s="657"/>
      <c r="TP5" s="657"/>
      <c r="TQ5" s="657"/>
      <c r="TR5" s="657"/>
      <c r="TS5" s="657"/>
      <c r="TT5" s="657"/>
      <c r="TU5" s="657"/>
      <c r="TV5" s="657"/>
      <c r="TW5" s="657"/>
      <c r="TX5" s="657"/>
      <c r="TY5" s="657"/>
      <c r="TZ5" s="657"/>
      <c r="UA5" s="657"/>
      <c r="UB5" s="657"/>
      <c r="UC5" s="657"/>
      <c r="UD5" s="657"/>
      <c r="UE5" s="657"/>
      <c r="UF5" s="657"/>
      <c r="UG5" s="657"/>
      <c r="UH5" s="657"/>
      <c r="UI5" s="657"/>
      <c r="UJ5" s="657"/>
      <c r="UK5" s="657"/>
      <c r="UL5" s="657"/>
      <c r="UM5" s="657"/>
      <c r="UN5" s="657"/>
      <c r="UO5" s="657"/>
      <c r="UP5" s="657"/>
      <c r="UQ5" s="657"/>
      <c r="UR5" s="657"/>
      <c r="US5" s="657"/>
      <c r="UT5" s="657"/>
      <c r="UU5" s="657"/>
      <c r="UV5" s="657"/>
      <c r="UW5" s="657"/>
      <c r="UX5" s="657"/>
      <c r="UY5" s="657"/>
      <c r="UZ5" s="657"/>
      <c r="VA5" s="657"/>
      <c r="VB5" s="657"/>
      <c r="VC5" s="657"/>
      <c r="VD5" s="657"/>
      <c r="VE5" s="657"/>
      <c r="VF5" s="657"/>
      <c r="VG5" s="657"/>
      <c r="VH5" s="657"/>
      <c r="VI5" s="657"/>
      <c r="VJ5" s="657"/>
      <c r="VK5" s="657"/>
      <c r="VL5" s="657"/>
      <c r="VM5" s="657"/>
      <c r="VN5" s="657"/>
      <c r="VO5" s="657"/>
      <c r="VP5" s="657"/>
      <c r="VQ5" s="657"/>
      <c r="VR5" s="657"/>
      <c r="VS5" s="657"/>
      <c r="VT5" s="657"/>
      <c r="VU5" s="657"/>
      <c r="VV5" s="657"/>
      <c r="VW5" s="657"/>
      <c r="VX5" s="657"/>
      <c r="VY5" s="657"/>
      <c r="VZ5" s="657"/>
      <c r="WA5" s="657"/>
      <c r="WB5" s="657"/>
      <c r="WC5" s="657"/>
      <c r="WD5" s="657"/>
      <c r="WE5" s="657"/>
      <c r="WF5" s="657"/>
      <c r="WG5" s="657"/>
      <c r="WH5" s="657"/>
      <c r="WI5" s="657"/>
      <c r="WJ5" s="657"/>
      <c r="WK5" s="657"/>
      <c r="WL5" s="657"/>
      <c r="WM5" s="657"/>
      <c r="WN5" s="657"/>
      <c r="WO5" s="657"/>
      <c r="WP5" s="657"/>
      <c r="WQ5" s="657"/>
      <c r="WR5" s="657"/>
      <c r="WS5" s="657"/>
      <c r="WT5" s="657"/>
      <c r="WU5" s="657"/>
      <c r="WV5" s="657"/>
      <c r="WW5" s="657"/>
      <c r="WX5" s="657"/>
      <c r="WY5" s="657"/>
      <c r="WZ5" s="657"/>
      <c r="XA5" s="657"/>
      <c r="XB5" s="657"/>
      <c r="XC5" s="657"/>
      <c r="XD5" s="657"/>
      <c r="XE5" s="657"/>
      <c r="XF5" s="657"/>
      <c r="XG5" s="657"/>
      <c r="XH5" s="657"/>
      <c r="XI5" s="657"/>
      <c r="XJ5" s="657"/>
      <c r="XK5" s="657"/>
      <c r="XL5" s="657"/>
      <c r="XM5" s="657"/>
      <c r="XN5" s="657"/>
      <c r="XO5" s="657"/>
      <c r="XP5" s="657"/>
      <c r="XQ5" s="657"/>
      <c r="XR5" s="657"/>
      <c r="XS5" s="657"/>
      <c r="XT5" s="657"/>
      <c r="XU5" s="657"/>
      <c r="XV5" s="657"/>
      <c r="XW5" s="657"/>
      <c r="XX5" s="657"/>
      <c r="XY5" s="657"/>
      <c r="XZ5" s="657"/>
      <c r="YA5" s="657"/>
      <c r="YB5" s="657"/>
      <c r="YC5" s="657"/>
      <c r="YD5" s="657"/>
      <c r="YE5" s="657"/>
      <c r="YF5" s="657"/>
      <c r="YG5" s="657"/>
      <c r="YH5" s="657"/>
      <c r="YI5" s="657"/>
      <c r="YJ5" s="657"/>
      <c r="YK5" s="657"/>
      <c r="YL5" s="657"/>
      <c r="YM5" s="657"/>
      <c r="YN5" s="657"/>
      <c r="YO5" s="657"/>
      <c r="YP5" s="657"/>
      <c r="YQ5" s="657"/>
      <c r="YR5" s="657"/>
      <c r="YS5" s="657"/>
      <c r="YT5" s="657"/>
      <c r="YU5" s="657"/>
      <c r="YV5" s="657"/>
      <c r="YW5" s="657"/>
      <c r="YX5" s="657"/>
      <c r="YY5" s="657"/>
      <c r="YZ5" s="657"/>
      <c r="ZA5" s="657"/>
      <c r="ZB5" s="657"/>
      <c r="ZC5" s="657"/>
      <c r="ZD5" s="657"/>
      <c r="ZE5" s="657"/>
      <c r="ZF5" s="657"/>
      <c r="ZG5" s="657"/>
      <c r="ZH5" s="657"/>
      <c r="ZI5" s="657"/>
      <c r="ZJ5" s="657"/>
      <c r="ZK5" s="657"/>
      <c r="ZL5" s="657"/>
      <c r="ZM5" s="657"/>
      <c r="ZN5" s="657"/>
      <c r="ZO5" s="657"/>
      <c r="ZP5" s="657"/>
      <c r="ZQ5" s="657"/>
      <c r="ZR5" s="657"/>
      <c r="ZS5" s="657"/>
      <c r="ZT5" s="657"/>
      <c r="ZU5" s="657"/>
      <c r="ZV5" s="657"/>
      <c r="ZW5" s="657"/>
      <c r="ZX5" s="657"/>
      <c r="ZY5" s="657"/>
      <c r="ZZ5" s="657"/>
      <c r="AAA5" s="657"/>
      <c r="AAB5" s="657"/>
      <c r="AAC5" s="657"/>
      <c r="AAD5" s="657"/>
      <c r="AAE5" s="657"/>
      <c r="AAF5" s="657"/>
      <c r="AAG5" s="657"/>
      <c r="AAH5" s="657"/>
      <c r="AAI5" s="657"/>
      <c r="AAJ5" s="657"/>
      <c r="AAK5" s="657"/>
      <c r="AAL5" s="657"/>
      <c r="AAM5" s="657"/>
      <c r="AAN5" s="657"/>
      <c r="AAO5" s="657"/>
      <c r="AAP5" s="657"/>
      <c r="AAQ5" s="657"/>
      <c r="AAR5" s="657"/>
      <c r="AAS5" s="657"/>
      <c r="AAT5" s="657"/>
      <c r="AAU5" s="657"/>
      <c r="AAV5" s="657"/>
      <c r="AAW5" s="657"/>
      <c r="AAX5" s="657"/>
      <c r="AAY5" s="657"/>
      <c r="AAZ5" s="657"/>
      <c r="ABA5" s="657"/>
      <c r="ABB5" s="657"/>
      <c r="ABC5" s="657"/>
      <c r="ABD5" s="657"/>
      <c r="ABE5" s="657"/>
      <c r="ABF5" s="657"/>
      <c r="ABG5" s="657"/>
      <c r="ABH5" s="657"/>
      <c r="ABI5" s="657"/>
      <c r="ABJ5" s="657"/>
      <c r="ABK5" s="657"/>
      <c r="ABL5" s="657"/>
      <c r="ABM5" s="657"/>
      <c r="ABN5" s="657"/>
      <c r="ABO5" s="657"/>
      <c r="ABP5" s="657"/>
      <c r="ABQ5" s="657"/>
      <c r="ABR5" s="657"/>
      <c r="ABS5" s="657"/>
      <c r="ABT5" s="657"/>
      <c r="ABU5" s="657"/>
      <c r="ABV5" s="657"/>
      <c r="ABW5" s="657"/>
      <c r="ABX5" s="657"/>
      <c r="ABY5" s="657"/>
      <c r="ABZ5" s="657"/>
      <c r="ACA5" s="657"/>
      <c r="ACB5" s="657"/>
      <c r="ACC5" s="657"/>
      <c r="ACD5" s="657"/>
      <c r="ACE5" s="657"/>
      <c r="ACF5" s="657"/>
      <c r="ACG5" s="657"/>
      <c r="ACH5" s="657"/>
      <c r="ACI5" s="657"/>
      <c r="ACJ5" s="657"/>
      <c r="ACK5" s="657"/>
      <c r="ACL5" s="657"/>
      <c r="ACM5" s="657"/>
      <c r="ACN5" s="657"/>
      <c r="ACO5" s="657"/>
      <c r="ACP5" s="657"/>
      <c r="ACQ5" s="657"/>
      <c r="ACR5" s="657"/>
      <c r="ACS5" s="657"/>
      <c r="ACT5" s="657"/>
      <c r="ACU5" s="657"/>
      <c r="ACV5" s="657"/>
      <c r="ACW5" s="657"/>
      <c r="ACX5" s="657"/>
      <c r="ACY5" s="657"/>
      <c r="ACZ5" s="657"/>
      <c r="ADA5" s="657"/>
      <c r="ADB5" s="657"/>
      <c r="ADC5" s="657"/>
      <c r="ADD5" s="657"/>
      <c r="ADE5" s="657"/>
      <c r="ADF5" s="657"/>
      <c r="ADG5" s="657"/>
      <c r="ADH5" s="657"/>
      <c r="ADI5" s="657"/>
      <c r="ADJ5" s="657"/>
      <c r="ADK5" s="657"/>
      <c r="ADL5" s="657"/>
      <c r="ADM5" s="657"/>
      <c r="ADN5" s="657"/>
      <c r="ADO5" s="657"/>
      <c r="ADP5" s="657"/>
      <c r="ADQ5" s="657"/>
      <c r="ADR5" s="657"/>
      <c r="ADS5" s="657"/>
      <c r="ADT5" s="657"/>
      <c r="ADU5" s="657"/>
      <c r="ADV5" s="657"/>
      <c r="ADW5" s="657"/>
      <c r="ADX5" s="657"/>
      <c r="ADY5" s="657"/>
      <c r="ADZ5" s="657"/>
      <c r="AEA5" s="657"/>
      <c r="AEB5" s="657"/>
      <c r="AEC5" s="657"/>
      <c r="AED5" s="657"/>
      <c r="AEE5" s="657"/>
      <c r="AEF5" s="657"/>
      <c r="AEG5" s="657"/>
      <c r="AEH5" s="657"/>
      <c r="AEI5" s="657"/>
      <c r="AEJ5" s="657"/>
      <c r="AEK5" s="657"/>
      <c r="AEL5" s="657"/>
      <c r="AEM5" s="657"/>
      <c r="AEN5" s="657"/>
      <c r="AEO5" s="657"/>
      <c r="AEP5" s="657"/>
      <c r="AEQ5" s="657"/>
      <c r="AER5" s="657"/>
      <c r="AES5" s="657"/>
      <c r="AET5" s="657"/>
      <c r="AEU5" s="657"/>
      <c r="AEV5" s="657"/>
      <c r="AEW5" s="657"/>
      <c r="AEX5" s="657"/>
      <c r="AEY5" s="657"/>
      <c r="AEZ5" s="657"/>
      <c r="AFA5" s="657"/>
      <c r="AFB5" s="657"/>
      <c r="AFC5" s="657"/>
      <c r="AFD5" s="657"/>
      <c r="AFE5" s="657"/>
      <c r="AFF5" s="657"/>
      <c r="AFG5" s="657"/>
      <c r="AFH5" s="657"/>
      <c r="AFI5" s="657"/>
      <c r="AFJ5" s="657"/>
      <c r="AFK5" s="657"/>
      <c r="AFL5" s="657"/>
      <c r="AFM5" s="657"/>
      <c r="AFN5" s="657"/>
      <c r="AFO5" s="657"/>
      <c r="AFP5" s="657"/>
      <c r="AFQ5" s="657"/>
      <c r="AFR5" s="657"/>
      <c r="AFS5" s="657"/>
      <c r="AFT5" s="657"/>
      <c r="AFU5" s="657"/>
      <c r="AFV5" s="657"/>
      <c r="AFW5" s="657"/>
      <c r="AFX5" s="657"/>
      <c r="AFY5" s="657"/>
      <c r="AFZ5" s="657"/>
      <c r="AGA5" s="657"/>
      <c r="AGB5" s="657"/>
      <c r="AGC5" s="657"/>
      <c r="AGD5" s="657"/>
      <c r="AGE5" s="657"/>
      <c r="AGF5" s="657"/>
      <c r="AGG5" s="657"/>
      <c r="AGH5" s="657"/>
      <c r="AGI5" s="657"/>
      <c r="AGJ5" s="657"/>
      <c r="AGK5" s="657"/>
      <c r="AGL5" s="657"/>
      <c r="AGM5" s="657"/>
      <c r="AGN5" s="657"/>
      <c r="AGO5" s="657"/>
      <c r="AGP5" s="657"/>
      <c r="AGQ5" s="657"/>
      <c r="AGR5" s="657"/>
      <c r="AGS5" s="657"/>
      <c r="AGT5" s="657"/>
      <c r="AGU5" s="657"/>
      <c r="AGV5" s="657"/>
      <c r="AGW5" s="657"/>
      <c r="AGX5" s="657"/>
      <c r="AGY5" s="657"/>
      <c r="AGZ5" s="657"/>
      <c r="AHA5" s="657"/>
      <c r="AHB5" s="657"/>
      <c r="AHC5" s="657"/>
      <c r="AHD5" s="657"/>
      <c r="AHE5" s="657"/>
      <c r="AHF5" s="657"/>
      <c r="AHG5" s="657"/>
      <c r="AHH5" s="657"/>
      <c r="AHI5" s="657"/>
      <c r="AHJ5" s="657"/>
      <c r="AHK5" s="657"/>
      <c r="AHL5" s="657"/>
      <c r="AHM5" s="657"/>
      <c r="AHN5" s="657"/>
      <c r="AHO5" s="657"/>
      <c r="AHP5" s="657"/>
      <c r="AHQ5" s="657"/>
      <c r="AHR5" s="657"/>
      <c r="AHS5" s="657"/>
      <c r="AHT5" s="657"/>
      <c r="AHU5" s="657"/>
      <c r="AHV5" s="657"/>
      <c r="AHW5" s="657"/>
      <c r="AHX5" s="657"/>
      <c r="AHY5" s="657"/>
      <c r="AHZ5" s="657"/>
      <c r="AIA5" s="657"/>
      <c r="AIB5" s="657"/>
      <c r="AIC5" s="657"/>
      <c r="AID5" s="657"/>
      <c r="AIE5" s="657"/>
      <c r="AIF5" s="657"/>
      <c r="AIG5" s="657"/>
      <c r="AIH5" s="657"/>
      <c r="AII5" s="657"/>
      <c r="AIJ5" s="657"/>
      <c r="AIK5" s="657"/>
      <c r="AIL5" s="657"/>
      <c r="AIM5" s="657"/>
      <c r="AIN5" s="657"/>
      <c r="AIO5" s="657"/>
      <c r="AIP5" s="657"/>
      <c r="AIQ5" s="657"/>
      <c r="AIR5" s="657"/>
      <c r="AIS5" s="657"/>
      <c r="AIT5" s="657"/>
      <c r="AIU5" s="657"/>
      <c r="AIV5" s="657"/>
      <c r="AIW5" s="657"/>
      <c r="AIX5" s="657"/>
      <c r="AIY5" s="657"/>
      <c r="AIZ5" s="657"/>
      <c r="AJA5" s="657"/>
      <c r="AJB5" s="657"/>
      <c r="AJC5" s="657"/>
      <c r="AJD5" s="657"/>
      <c r="AJE5" s="657"/>
      <c r="AJF5" s="657"/>
      <c r="AJG5" s="657"/>
      <c r="AJH5" s="657"/>
      <c r="AJI5" s="657"/>
      <c r="AJJ5" s="657"/>
      <c r="AJK5" s="657"/>
      <c r="AJL5" s="657"/>
      <c r="AJM5" s="657"/>
      <c r="AJN5" s="657"/>
      <c r="AJO5" s="657"/>
      <c r="AJP5" s="657"/>
      <c r="AJQ5" s="657"/>
      <c r="AJR5" s="657"/>
      <c r="AJS5" s="657"/>
      <c r="AJT5" s="657"/>
      <c r="AJU5" s="657"/>
      <c r="AJV5" s="657"/>
      <c r="AJW5" s="657"/>
      <c r="AJX5" s="657"/>
      <c r="AJY5" s="657"/>
      <c r="AJZ5" s="657"/>
      <c r="AKA5" s="657"/>
      <c r="AKB5" s="657"/>
      <c r="AKC5" s="657"/>
      <c r="AKD5" s="657"/>
      <c r="AKE5" s="657"/>
      <c r="AKF5" s="657"/>
      <c r="AKG5" s="657"/>
      <c r="AKH5" s="657"/>
      <c r="AKI5" s="657"/>
      <c r="AKJ5" s="657"/>
      <c r="AKK5" s="657"/>
      <c r="AKL5" s="657"/>
      <c r="AKM5" s="657"/>
      <c r="AKN5" s="657"/>
      <c r="AKO5" s="657"/>
      <c r="AKP5" s="657"/>
      <c r="AKQ5" s="657"/>
      <c r="AKR5" s="657"/>
      <c r="AKS5" s="657"/>
      <c r="AKT5" s="657"/>
      <c r="AKU5" s="657"/>
      <c r="AKV5" s="657"/>
      <c r="AKW5" s="657"/>
      <c r="AKX5" s="657"/>
      <c r="AKY5" s="657"/>
      <c r="AKZ5" s="657"/>
      <c r="ALA5" s="657"/>
      <c r="ALB5" s="657"/>
      <c r="ALC5" s="657"/>
      <c r="ALD5" s="657"/>
      <c r="ALE5" s="657"/>
      <c r="ALF5" s="657"/>
      <c r="ALG5" s="657"/>
      <c r="ALH5" s="657"/>
      <c r="ALI5" s="657"/>
      <c r="ALJ5" s="657"/>
      <c r="ALK5" s="657"/>
      <c r="ALL5" s="657"/>
      <c r="ALM5" s="657"/>
      <c r="ALN5" s="657"/>
      <c r="ALO5" s="657"/>
      <c r="ALP5" s="657"/>
      <c r="ALQ5" s="657"/>
      <c r="ALR5" s="657"/>
      <c r="ALS5" s="657"/>
      <c r="ALT5" s="657"/>
      <c r="ALU5" s="657"/>
      <c r="ALV5" s="657"/>
      <c r="ALW5" s="657"/>
      <c r="ALX5" s="657"/>
      <c r="ALY5" s="657"/>
      <c r="ALZ5" s="657"/>
      <c r="AMA5" s="657"/>
      <c r="AMB5" s="657"/>
      <c r="AMC5" s="657"/>
      <c r="AMD5" s="657"/>
      <c r="AME5" s="657"/>
      <c r="AMF5" s="657"/>
      <c r="AMG5" s="657"/>
      <c r="AMH5" s="657"/>
      <c r="AMI5" s="657"/>
      <c r="AMJ5" s="657"/>
      <c r="AMK5" s="657"/>
      <c r="AML5" s="657"/>
      <c r="AMM5" s="657"/>
      <c r="AMN5" s="657"/>
      <c r="AMO5" s="657"/>
      <c r="AMP5" s="657"/>
      <c r="AMQ5" s="657"/>
      <c r="AMR5" s="657"/>
      <c r="AMS5" s="657"/>
      <c r="AMT5" s="657"/>
      <c r="AMU5" s="657"/>
      <c r="AMV5" s="657"/>
      <c r="AMW5" s="657"/>
      <c r="AMX5" s="657"/>
      <c r="AMY5" s="657"/>
      <c r="AMZ5" s="657"/>
      <c r="ANA5" s="657"/>
      <c r="ANB5" s="657"/>
      <c r="ANC5" s="657"/>
      <c r="AND5" s="657"/>
      <c r="ANE5" s="657"/>
      <c r="ANF5" s="657"/>
      <c r="ANG5" s="657"/>
      <c r="ANH5" s="657"/>
      <c r="ANI5" s="657"/>
      <c r="ANJ5" s="657"/>
      <c r="ANK5" s="657"/>
      <c r="ANL5" s="657"/>
      <c r="ANM5" s="657"/>
      <c r="ANN5" s="657"/>
      <c r="ANO5" s="657"/>
      <c r="ANP5" s="657"/>
      <c r="ANQ5" s="657"/>
      <c r="ANR5" s="657"/>
      <c r="ANS5" s="657"/>
      <c r="ANT5" s="657"/>
      <c r="ANU5" s="657"/>
      <c r="ANV5" s="657"/>
      <c r="ANW5" s="657"/>
      <c r="ANX5" s="657"/>
      <c r="ANY5" s="657"/>
      <c r="ANZ5" s="657"/>
      <c r="AOA5" s="657"/>
      <c r="AOB5" s="657"/>
      <c r="AOC5" s="657"/>
      <c r="AOD5" s="657"/>
      <c r="AOE5" s="657"/>
      <c r="AOF5" s="657"/>
      <c r="AOG5" s="657"/>
      <c r="AOH5" s="657"/>
      <c r="AOI5" s="657"/>
      <c r="AOJ5" s="657"/>
      <c r="AOK5" s="657"/>
      <c r="AOL5" s="657"/>
      <c r="AOM5" s="657"/>
      <c r="AON5" s="657"/>
      <c r="AOO5" s="657"/>
      <c r="AOP5" s="657"/>
      <c r="AOQ5" s="657"/>
      <c r="AOR5" s="657"/>
      <c r="AOS5" s="657"/>
      <c r="AOT5" s="657"/>
      <c r="AOU5" s="657"/>
      <c r="AOV5" s="657"/>
      <c r="AOW5" s="657"/>
      <c r="AOX5" s="657"/>
      <c r="AOY5" s="657"/>
      <c r="AOZ5" s="657"/>
      <c r="APA5" s="657"/>
      <c r="APB5" s="657"/>
      <c r="APC5" s="657"/>
      <c r="APD5" s="657"/>
      <c r="APE5" s="657"/>
      <c r="APF5" s="657"/>
      <c r="APG5" s="657"/>
      <c r="APH5" s="657"/>
      <c r="API5" s="657"/>
      <c r="APJ5" s="657"/>
      <c r="APK5" s="657"/>
      <c r="APL5" s="657"/>
      <c r="APM5" s="657"/>
      <c r="APN5" s="657"/>
      <c r="APO5" s="657"/>
      <c r="APP5" s="657"/>
      <c r="APQ5" s="657"/>
      <c r="APR5" s="657"/>
      <c r="APS5" s="657"/>
      <c r="APT5" s="657"/>
      <c r="APU5" s="657"/>
      <c r="APV5" s="657"/>
      <c r="APW5" s="657"/>
      <c r="APX5" s="657"/>
      <c r="APY5" s="657"/>
      <c r="APZ5" s="657"/>
      <c r="AQA5" s="657"/>
      <c r="AQB5" s="657"/>
      <c r="AQC5" s="657"/>
      <c r="AQD5" s="657"/>
      <c r="AQE5" s="657"/>
      <c r="AQF5" s="657"/>
      <c r="AQG5" s="657"/>
      <c r="AQH5" s="657"/>
      <c r="AQI5" s="657"/>
      <c r="AQJ5" s="657"/>
      <c r="AQK5" s="657"/>
      <c r="AQL5" s="657"/>
      <c r="AQM5" s="657"/>
      <c r="AQN5" s="657"/>
      <c r="AQO5" s="657"/>
      <c r="AQP5" s="657"/>
      <c r="AQQ5" s="657"/>
      <c r="AQR5" s="657"/>
      <c r="AQS5" s="657"/>
      <c r="AQT5" s="657"/>
      <c r="AQU5" s="657"/>
      <c r="AQV5" s="657"/>
      <c r="AQW5" s="657"/>
      <c r="AQX5" s="657"/>
      <c r="AQY5" s="657"/>
      <c r="AQZ5" s="657"/>
      <c r="ARA5" s="657"/>
      <c r="ARB5" s="657"/>
      <c r="ARC5" s="657"/>
      <c r="ARD5" s="657"/>
      <c r="ARE5" s="657"/>
      <c r="ARF5" s="657"/>
      <c r="ARG5" s="657"/>
      <c r="ARH5" s="657"/>
      <c r="ARI5" s="657"/>
      <c r="ARJ5" s="657"/>
      <c r="ARK5" s="657"/>
      <c r="ARL5" s="657"/>
      <c r="ARM5" s="657"/>
      <c r="ARN5" s="657"/>
      <c r="ARO5" s="657"/>
      <c r="ARP5" s="657"/>
      <c r="ARQ5" s="657"/>
      <c r="ARR5" s="657"/>
      <c r="ARS5" s="657"/>
      <c r="ART5" s="657"/>
      <c r="ARU5" s="657"/>
      <c r="ARV5" s="657"/>
      <c r="ARW5" s="657"/>
      <c r="ARX5" s="657"/>
      <c r="ARY5" s="657"/>
      <c r="ARZ5" s="657"/>
      <c r="ASA5" s="657"/>
      <c r="ASB5" s="657"/>
      <c r="ASC5" s="657"/>
      <c r="ASD5" s="657"/>
      <c r="ASE5" s="657"/>
      <c r="ASF5" s="657"/>
      <c r="ASG5" s="657"/>
      <c r="ASH5" s="657"/>
      <c r="ASI5" s="657"/>
      <c r="ASJ5" s="657"/>
      <c r="ASK5" s="657"/>
      <c r="ASL5" s="657"/>
      <c r="ASM5" s="657"/>
      <c r="ASN5" s="657"/>
      <c r="ASO5" s="657"/>
      <c r="ASP5" s="657"/>
      <c r="ASQ5" s="657"/>
      <c r="ASR5" s="657"/>
      <c r="ASS5" s="657"/>
      <c r="AST5" s="657"/>
      <c r="ASU5" s="657"/>
      <c r="ASV5" s="657"/>
      <c r="ASW5" s="657"/>
      <c r="ASX5" s="657"/>
      <c r="ASY5" s="657"/>
      <c r="ASZ5" s="657"/>
      <c r="ATA5" s="657"/>
      <c r="ATB5" s="657"/>
      <c r="ATC5" s="657"/>
      <c r="ATD5" s="657"/>
      <c r="ATE5" s="657"/>
      <c r="ATF5" s="657"/>
      <c r="ATG5" s="657"/>
      <c r="ATH5" s="657"/>
      <c r="ATI5" s="657"/>
      <c r="ATJ5" s="657"/>
      <c r="ATK5" s="657"/>
      <c r="ATL5" s="657"/>
      <c r="ATM5" s="657"/>
      <c r="ATN5" s="657"/>
      <c r="ATO5" s="657"/>
      <c r="ATP5" s="657"/>
      <c r="ATQ5" s="657"/>
      <c r="ATR5" s="657"/>
      <c r="ATS5" s="657"/>
      <c r="ATT5" s="657"/>
      <c r="ATU5" s="657"/>
      <c r="ATV5" s="657"/>
      <c r="ATW5" s="657"/>
      <c r="ATX5" s="657"/>
      <c r="ATY5" s="657"/>
      <c r="ATZ5" s="657"/>
      <c r="AUA5" s="657"/>
      <c r="AUB5" s="657"/>
      <c r="AUC5" s="657"/>
      <c r="AUD5" s="657"/>
      <c r="AUE5" s="657"/>
      <c r="AUF5" s="657"/>
      <c r="AUG5" s="657"/>
      <c r="AUH5" s="657"/>
      <c r="AUI5" s="657"/>
      <c r="AUJ5" s="657"/>
      <c r="AUK5" s="657"/>
      <c r="AUL5" s="657"/>
      <c r="AUM5" s="657"/>
      <c r="AUN5" s="657"/>
      <c r="AUO5" s="657"/>
      <c r="AUP5" s="657"/>
      <c r="AUQ5" s="657"/>
      <c r="AUR5" s="657"/>
      <c r="AUS5" s="657"/>
      <c r="AUT5" s="657"/>
      <c r="AUU5" s="657"/>
      <c r="AUV5" s="657"/>
      <c r="AUW5" s="657"/>
      <c r="AUX5" s="657"/>
      <c r="AUY5" s="657"/>
      <c r="AUZ5" s="657"/>
      <c r="AVA5" s="657"/>
      <c r="AVB5" s="657"/>
      <c r="AVC5" s="657"/>
      <c r="AVD5" s="657"/>
      <c r="AVE5" s="657"/>
      <c r="AVF5" s="657"/>
      <c r="AVG5" s="657"/>
      <c r="AVH5" s="657"/>
      <c r="AVI5" s="657"/>
      <c r="AVJ5" s="657"/>
      <c r="AVK5" s="657"/>
      <c r="AVL5" s="657"/>
      <c r="AVM5" s="657"/>
      <c r="AVN5" s="657"/>
      <c r="AVO5" s="657"/>
      <c r="AVP5" s="657"/>
      <c r="AVQ5" s="657"/>
      <c r="AVR5" s="657"/>
      <c r="AVS5" s="657"/>
      <c r="AVT5" s="657"/>
      <c r="AVU5" s="657"/>
      <c r="AVV5" s="657"/>
      <c r="AVW5" s="657"/>
      <c r="AVX5" s="657"/>
      <c r="AVY5" s="657"/>
      <c r="AVZ5" s="657"/>
      <c r="AWA5" s="657"/>
      <c r="AWB5" s="657"/>
      <c r="AWC5" s="657"/>
      <c r="AWD5" s="657"/>
      <c r="AWE5" s="657"/>
      <c r="AWF5" s="657"/>
      <c r="AWG5" s="657"/>
      <c r="AWH5" s="657"/>
      <c r="AWI5" s="657"/>
      <c r="AWJ5" s="657"/>
      <c r="AWK5" s="657"/>
      <c r="AWL5" s="657"/>
      <c r="AWM5" s="657"/>
      <c r="AWN5" s="657"/>
      <c r="AWO5" s="657"/>
      <c r="AWP5" s="657"/>
      <c r="AWQ5" s="657"/>
      <c r="AWR5" s="657"/>
      <c r="AWS5" s="657"/>
      <c r="AWT5" s="657"/>
      <c r="AWU5" s="657"/>
      <c r="AWV5" s="657"/>
      <c r="AWW5" s="657"/>
      <c r="AWX5" s="657"/>
      <c r="AWY5" s="657"/>
      <c r="AWZ5" s="657"/>
      <c r="AXA5" s="657"/>
      <c r="AXB5" s="657"/>
      <c r="AXC5" s="657"/>
      <c r="AXD5" s="657"/>
      <c r="AXE5" s="657"/>
      <c r="AXF5" s="657"/>
      <c r="AXG5" s="657"/>
      <c r="AXH5" s="657"/>
      <c r="AXI5" s="657"/>
      <c r="AXJ5" s="657"/>
      <c r="AXK5" s="657"/>
      <c r="AXL5" s="657"/>
      <c r="AXM5" s="657"/>
      <c r="AXN5" s="657"/>
      <c r="AXO5" s="657"/>
      <c r="AXP5" s="657"/>
      <c r="AXQ5" s="657"/>
      <c r="AXR5" s="657"/>
      <c r="AXS5" s="657"/>
      <c r="AXT5" s="657"/>
      <c r="AXU5" s="657"/>
      <c r="AXV5" s="657"/>
      <c r="AXW5" s="657"/>
      <c r="AXX5" s="657"/>
      <c r="AXY5" s="657"/>
      <c r="AXZ5" s="657"/>
      <c r="AYA5" s="657"/>
      <c r="AYB5" s="657"/>
      <c r="AYC5" s="657"/>
      <c r="AYD5" s="657"/>
      <c r="AYE5" s="657"/>
      <c r="AYF5" s="657"/>
      <c r="AYG5" s="657"/>
      <c r="AYH5" s="657"/>
      <c r="AYI5" s="657"/>
      <c r="AYJ5" s="657"/>
      <c r="AYK5" s="657"/>
      <c r="AYL5" s="657"/>
      <c r="AYM5" s="657"/>
      <c r="AYN5" s="657"/>
      <c r="AYO5" s="657"/>
      <c r="AYP5" s="657"/>
      <c r="AYQ5" s="657"/>
      <c r="AYR5" s="657"/>
      <c r="AYS5" s="657"/>
      <c r="AYT5" s="657"/>
      <c r="AYU5" s="657"/>
      <c r="AYV5" s="657"/>
      <c r="AYW5" s="657"/>
      <c r="AYX5" s="657"/>
      <c r="AYY5" s="657"/>
      <c r="AYZ5" s="657"/>
      <c r="AZA5" s="657"/>
      <c r="AZB5" s="657"/>
      <c r="AZC5" s="657"/>
      <c r="AZD5" s="657"/>
      <c r="AZE5" s="657"/>
      <c r="AZF5" s="657"/>
      <c r="AZG5" s="657"/>
      <c r="AZH5" s="657"/>
      <c r="AZI5" s="657"/>
      <c r="AZJ5" s="657"/>
      <c r="AZK5" s="657"/>
      <c r="AZL5" s="657"/>
      <c r="AZM5" s="657"/>
      <c r="AZN5" s="657"/>
      <c r="AZO5" s="657"/>
      <c r="AZP5" s="657"/>
      <c r="AZQ5" s="657"/>
      <c r="AZR5" s="657"/>
      <c r="AZS5" s="657"/>
      <c r="AZT5" s="657"/>
      <c r="AZU5" s="657"/>
      <c r="AZV5" s="657"/>
      <c r="AZW5" s="657"/>
      <c r="AZX5" s="657"/>
      <c r="AZY5" s="657"/>
      <c r="AZZ5" s="657"/>
      <c r="BAA5" s="657"/>
      <c r="BAB5" s="657"/>
      <c r="BAC5" s="657"/>
      <c r="BAD5" s="657"/>
      <c r="BAE5" s="657"/>
      <c r="BAF5" s="657"/>
      <c r="BAG5" s="657"/>
      <c r="BAH5" s="657"/>
      <c r="BAI5" s="657"/>
      <c r="BAJ5" s="657"/>
      <c r="BAK5" s="657"/>
      <c r="BAL5" s="657"/>
      <c r="BAM5" s="657"/>
      <c r="BAN5" s="657"/>
      <c r="BAO5" s="657"/>
      <c r="BAP5" s="657"/>
      <c r="BAQ5" s="657"/>
      <c r="BAR5" s="657"/>
      <c r="BAS5" s="657"/>
      <c r="BAT5" s="657"/>
      <c r="BAU5" s="657"/>
      <c r="BAV5" s="657"/>
      <c r="BAW5" s="657"/>
      <c r="BAX5" s="657"/>
      <c r="BAY5" s="657"/>
      <c r="BAZ5" s="657"/>
      <c r="BBA5" s="657"/>
      <c r="BBB5" s="657"/>
      <c r="BBC5" s="657"/>
      <c r="BBD5" s="657"/>
      <c r="BBE5" s="657"/>
      <c r="BBF5" s="657"/>
      <c r="BBG5" s="657"/>
      <c r="BBH5" s="657"/>
      <c r="BBI5" s="657"/>
      <c r="BBJ5" s="657"/>
      <c r="BBK5" s="657"/>
      <c r="BBL5" s="657"/>
      <c r="BBM5" s="657"/>
      <c r="BBN5" s="657"/>
      <c r="BBO5" s="657"/>
      <c r="BBP5" s="657"/>
      <c r="BBQ5" s="657"/>
      <c r="BBR5" s="657"/>
      <c r="BBS5" s="657"/>
      <c r="BBT5" s="657"/>
      <c r="BBU5" s="657"/>
      <c r="BBV5" s="657"/>
      <c r="BBW5" s="657"/>
      <c r="BBX5" s="657"/>
      <c r="BBY5" s="657"/>
      <c r="BBZ5" s="657"/>
      <c r="BCA5" s="657"/>
      <c r="BCB5" s="657"/>
      <c r="BCC5" s="657"/>
      <c r="BCD5" s="657"/>
      <c r="BCE5" s="657"/>
      <c r="BCF5" s="657"/>
      <c r="BCG5" s="657"/>
      <c r="BCH5" s="657"/>
      <c r="BCI5" s="657"/>
      <c r="BCJ5" s="657"/>
      <c r="BCK5" s="657"/>
      <c r="BCL5" s="657"/>
      <c r="BCM5" s="657"/>
      <c r="BCN5" s="657"/>
      <c r="BCO5" s="657"/>
      <c r="BCP5" s="657"/>
      <c r="BCQ5" s="657"/>
      <c r="BCR5" s="657"/>
      <c r="BCS5" s="657"/>
      <c r="BCT5" s="657"/>
      <c r="BCU5" s="657"/>
      <c r="BCV5" s="657"/>
      <c r="BCW5" s="657"/>
      <c r="BCX5" s="657"/>
      <c r="BCY5" s="657"/>
      <c r="BCZ5" s="657"/>
      <c r="BDA5" s="657"/>
      <c r="BDB5" s="657"/>
      <c r="BDC5" s="657"/>
      <c r="BDD5" s="657"/>
      <c r="BDE5" s="657"/>
      <c r="BDF5" s="657"/>
      <c r="BDG5" s="657"/>
      <c r="BDH5" s="657"/>
      <c r="BDI5" s="657"/>
      <c r="BDJ5" s="657"/>
      <c r="BDK5" s="657"/>
      <c r="BDL5" s="657"/>
      <c r="BDM5" s="657"/>
      <c r="BDN5" s="657"/>
      <c r="BDO5" s="657"/>
      <c r="BDP5" s="657"/>
      <c r="BDQ5" s="657"/>
      <c r="BDR5" s="657"/>
      <c r="BDS5" s="657"/>
      <c r="BDT5" s="657"/>
      <c r="BDU5" s="657"/>
      <c r="BDV5" s="657"/>
      <c r="BDW5" s="657"/>
      <c r="BDX5" s="657"/>
      <c r="BDY5" s="657"/>
      <c r="BDZ5" s="657"/>
      <c r="BEA5" s="657"/>
      <c r="BEB5" s="657"/>
      <c r="BEC5" s="657"/>
      <c r="BED5" s="657"/>
      <c r="BEE5" s="657"/>
      <c r="BEF5" s="657"/>
      <c r="BEG5" s="657"/>
      <c r="BEH5" s="657"/>
      <c r="BEI5" s="657"/>
      <c r="BEJ5" s="657"/>
      <c r="BEK5" s="657"/>
      <c r="BEL5" s="657"/>
      <c r="BEM5" s="657"/>
      <c r="BEN5" s="657"/>
      <c r="BEO5" s="657"/>
      <c r="BEP5" s="657"/>
      <c r="BEQ5" s="657"/>
      <c r="BER5" s="657"/>
      <c r="BES5" s="657"/>
      <c r="BET5" s="657"/>
      <c r="BEU5" s="657"/>
      <c r="BEV5" s="657"/>
      <c r="BEW5" s="657"/>
      <c r="BEX5" s="657"/>
      <c r="BEY5" s="657"/>
      <c r="BEZ5" s="657"/>
      <c r="BFA5" s="657"/>
      <c r="BFB5" s="657"/>
      <c r="BFC5" s="657"/>
      <c r="BFD5" s="657"/>
      <c r="BFE5" s="657"/>
      <c r="BFF5" s="657"/>
      <c r="BFG5" s="657"/>
      <c r="BFH5" s="657"/>
      <c r="BFI5" s="657"/>
      <c r="BFJ5" s="657"/>
      <c r="BFK5" s="657"/>
      <c r="BFL5" s="657"/>
      <c r="BFM5" s="657"/>
      <c r="BFN5" s="657"/>
      <c r="BFO5" s="657"/>
      <c r="BFP5" s="657"/>
      <c r="BFQ5" s="657"/>
      <c r="BFR5" s="657"/>
      <c r="BFS5" s="657"/>
      <c r="BFT5" s="657"/>
      <c r="BFU5" s="657"/>
      <c r="BFV5" s="657"/>
      <c r="BFW5" s="657"/>
      <c r="BFX5" s="657"/>
      <c r="BFY5" s="657"/>
      <c r="BFZ5" s="657"/>
      <c r="BGA5" s="657"/>
      <c r="BGB5" s="657"/>
      <c r="BGC5" s="657"/>
      <c r="BGD5" s="657"/>
      <c r="BGE5" s="657"/>
      <c r="BGF5" s="657"/>
      <c r="BGG5" s="657"/>
      <c r="BGH5" s="657"/>
      <c r="BGI5" s="657"/>
      <c r="BGJ5" s="657"/>
      <c r="BGK5" s="657"/>
      <c r="BGL5" s="657"/>
      <c r="BGM5" s="657"/>
      <c r="BGN5" s="657"/>
      <c r="BGO5" s="657"/>
      <c r="BGP5" s="657"/>
      <c r="BGQ5" s="657"/>
      <c r="BGR5" s="657"/>
      <c r="BGS5" s="657"/>
      <c r="BGT5" s="657"/>
      <c r="BGU5" s="657"/>
      <c r="BGV5" s="657"/>
      <c r="BGW5" s="657"/>
      <c r="BGX5" s="657"/>
      <c r="BGY5" s="657"/>
      <c r="BGZ5" s="657"/>
      <c r="BHA5" s="657"/>
      <c r="BHB5" s="657"/>
      <c r="BHC5" s="657"/>
      <c r="BHD5" s="657"/>
      <c r="BHE5" s="657"/>
      <c r="BHF5" s="657"/>
      <c r="BHG5" s="657"/>
      <c r="BHH5" s="657"/>
      <c r="BHI5" s="657"/>
      <c r="BHJ5" s="657"/>
      <c r="BHK5" s="657"/>
      <c r="BHL5" s="657"/>
      <c r="BHM5" s="657"/>
      <c r="BHN5" s="657"/>
      <c r="BHO5" s="657"/>
      <c r="BHP5" s="657"/>
      <c r="BHQ5" s="657"/>
    </row>
    <row r="6" spans="1:1577" s="12" customFormat="1" ht="12" x14ac:dyDescent="0.25">
      <c r="A6" s="11" t="s">
        <v>15</v>
      </c>
      <c r="B6" s="11" t="s">
        <v>16</v>
      </c>
      <c r="C6" s="11" t="s">
        <v>17</v>
      </c>
      <c r="D6" s="11" t="s">
        <v>18</v>
      </c>
      <c r="E6" s="11" t="s">
        <v>19</v>
      </c>
      <c r="F6" s="11" t="s">
        <v>20</v>
      </c>
      <c r="G6" s="11" t="s">
        <v>21</v>
      </c>
      <c r="H6" s="11" t="s">
        <v>22</v>
      </c>
      <c r="I6" s="11" t="s">
        <v>23</v>
      </c>
      <c r="J6" s="11" t="s">
        <v>24</v>
      </c>
      <c r="K6" s="11" t="s">
        <v>25</v>
      </c>
      <c r="L6" s="11" t="s">
        <v>26</v>
      </c>
      <c r="M6" s="11" t="s">
        <v>5</v>
      </c>
      <c r="N6" s="11" t="s">
        <v>27</v>
      </c>
      <c r="O6" s="11" t="s">
        <v>28</v>
      </c>
      <c r="P6" s="11" t="s">
        <v>29</v>
      </c>
      <c r="Q6" s="11" t="s">
        <v>30</v>
      </c>
      <c r="R6" s="11" t="s">
        <v>31</v>
      </c>
      <c r="S6" s="11" t="s">
        <v>32</v>
      </c>
      <c r="T6" s="11" t="s">
        <v>11</v>
      </c>
      <c r="U6" s="11" t="s">
        <v>33</v>
      </c>
      <c r="V6" s="11" t="s">
        <v>34</v>
      </c>
      <c r="W6" s="11" t="s">
        <v>35</v>
      </c>
      <c r="X6" s="11" t="s">
        <v>36</v>
      </c>
      <c r="Y6" s="11" t="s">
        <v>37</v>
      </c>
      <c r="Z6" s="11" t="s">
        <v>38</v>
      </c>
      <c r="AA6" s="11" t="s">
        <v>39</v>
      </c>
      <c r="AB6" s="11" t="s">
        <v>40</v>
      </c>
      <c r="AC6" s="11" t="s">
        <v>41</v>
      </c>
      <c r="AD6" s="11" t="s">
        <v>42</v>
      </c>
      <c r="AE6" s="11" t="s">
        <v>43</v>
      </c>
      <c r="AF6" s="11" t="s">
        <v>40</v>
      </c>
      <c r="AG6" s="11" t="s">
        <v>41</v>
      </c>
      <c r="AH6" s="11" t="s">
        <v>42</v>
      </c>
      <c r="AI6" s="11" t="s">
        <v>43</v>
      </c>
      <c r="AJ6" s="11" t="s">
        <v>40</v>
      </c>
      <c r="AK6" s="11" t="s">
        <v>41</v>
      </c>
      <c r="AL6" s="11" t="s">
        <v>42</v>
      </c>
      <c r="AM6" s="11" t="s">
        <v>43</v>
      </c>
      <c r="AN6" s="11" t="s">
        <v>40</v>
      </c>
      <c r="AO6" s="11" t="s">
        <v>41</v>
      </c>
      <c r="AP6" s="11" t="s">
        <v>42</v>
      </c>
      <c r="AQ6" s="11" t="s">
        <v>43</v>
      </c>
      <c r="AR6" s="11" t="s">
        <v>40</v>
      </c>
      <c r="AS6" s="11" t="s">
        <v>41</v>
      </c>
      <c r="AT6" s="11" t="s">
        <v>42</v>
      </c>
      <c r="AU6" s="11" t="s">
        <v>43</v>
      </c>
      <c r="AV6" s="11" t="s">
        <v>40</v>
      </c>
      <c r="AW6" s="11" t="s">
        <v>41</v>
      </c>
      <c r="AX6" s="11" t="s">
        <v>42</v>
      </c>
      <c r="AY6" s="11" t="s">
        <v>43</v>
      </c>
      <c r="AZ6" s="11" t="s">
        <v>40</v>
      </c>
      <c r="BA6" s="11" t="s">
        <v>41</v>
      </c>
      <c r="BB6" s="11" t="s">
        <v>42</v>
      </c>
      <c r="BC6" s="11" t="s">
        <v>43</v>
      </c>
      <c r="BD6" s="11" t="s">
        <v>40</v>
      </c>
      <c r="BE6" s="11" t="s">
        <v>41</v>
      </c>
      <c r="BF6" s="11" t="s">
        <v>42</v>
      </c>
      <c r="BG6" s="11" t="s">
        <v>43</v>
      </c>
      <c r="BH6" s="11" t="s">
        <v>40</v>
      </c>
      <c r="BI6" s="11" t="s">
        <v>41</v>
      </c>
      <c r="BJ6" s="11" t="s">
        <v>42</v>
      </c>
      <c r="BK6" s="11" t="s">
        <v>43</v>
      </c>
      <c r="BL6" s="11" t="s">
        <v>40</v>
      </c>
      <c r="BM6" s="11" t="s">
        <v>41</v>
      </c>
      <c r="BN6" s="11" t="s">
        <v>42</v>
      </c>
      <c r="BO6" s="11" t="s">
        <v>43</v>
      </c>
      <c r="BP6" s="11" t="s">
        <v>40</v>
      </c>
      <c r="BQ6" s="11" t="s">
        <v>41</v>
      </c>
      <c r="BR6" s="11" t="s">
        <v>42</v>
      </c>
      <c r="BS6" s="11" t="s">
        <v>43</v>
      </c>
      <c r="BT6" s="11" t="s">
        <v>40</v>
      </c>
      <c r="BU6" s="11" t="s">
        <v>41</v>
      </c>
      <c r="BV6" s="11" t="s">
        <v>42</v>
      </c>
      <c r="BW6" s="11" t="s">
        <v>43</v>
      </c>
      <c r="BX6" s="11" t="s">
        <v>40</v>
      </c>
      <c r="BY6" s="11" t="s">
        <v>41</v>
      </c>
      <c r="BZ6" s="11" t="s">
        <v>42</v>
      </c>
      <c r="CA6" s="11" t="s">
        <v>43</v>
      </c>
      <c r="CB6" s="11" t="s">
        <v>40</v>
      </c>
      <c r="CC6" s="11" t="s">
        <v>41</v>
      </c>
      <c r="CD6" s="11" t="s">
        <v>42</v>
      </c>
      <c r="CE6" s="11" t="s">
        <v>43</v>
      </c>
      <c r="CF6" s="11" t="s">
        <v>40</v>
      </c>
      <c r="CG6" s="11" t="s">
        <v>41</v>
      </c>
      <c r="CH6" s="11" t="s">
        <v>42</v>
      </c>
      <c r="CI6" s="11" t="s">
        <v>43</v>
      </c>
      <c r="CJ6" s="11" t="s">
        <v>40</v>
      </c>
      <c r="CK6" s="11" t="s">
        <v>41</v>
      </c>
      <c r="CL6" s="11" t="s">
        <v>42</v>
      </c>
      <c r="CM6" s="11" t="s">
        <v>43</v>
      </c>
      <c r="CN6" s="11" t="s">
        <v>40</v>
      </c>
      <c r="CO6" s="11" t="s">
        <v>41</v>
      </c>
      <c r="CP6" s="11" t="s">
        <v>42</v>
      </c>
      <c r="CQ6" s="11" t="s">
        <v>43</v>
      </c>
      <c r="CR6" s="11" t="s">
        <v>40</v>
      </c>
      <c r="CS6" s="11" t="s">
        <v>41</v>
      </c>
      <c r="CT6" s="11" t="s">
        <v>42</v>
      </c>
      <c r="CU6" s="11" t="s">
        <v>43</v>
      </c>
      <c r="CV6" s="12" t="s">
        <v>1093</v>
      </c>
      <c r="CW6" s="12" t="s">
        <v>1094</v>
      </c>
      <c r="CX6" s="657"/>
      <c r="CY6" s="657"/>
      <c r="CZ6" s="657"/>
      <c r="DA6" s="657"/>
      <c r="DB6" s="657"/>
      <c r="DC6" s="657"/>
      <c r="DD6" s="657"/>
      <c r="DE6" s="657"/>
      <c r="DF6" s="657"/>
      <c r="DG6" s="657"/>
      <c r="DH6" s="657"/>
      <c r="DI6" s="657"/>
      <c r="DJ6" s="657"/>
      <c r="DK6" s="657"/>
      <c r="DL6" s="657"/>
      <c r="DM6" s="657"/>
      <c r="DN6" s="657"/>
      <c r="DO6" s="657"/>
      <c r="DP6" s="657"/>
      <c r="DQ6" s="657"/>
      <c r="DR6" s="657"/>
      <c r="DS6" s="657"/>
      <c r="DT6" s="657"/>
      <c r="DU6" s="657"/>
      <c r="DV6" s="657"/>
      <c r="DW6" s="657"/>
      <c r="DX6" s="657"/>
      <c r="DY6" s="657"/>
      <c r="DZ6" s="657"/>
      <c r="EA6" s="657"/>
      <c r="EB6" s="657"/>
      <c r="EC6" s="657"/>
      <c r="ED6" s="657"/>
      <c r="EE6" s="657"/>
      <c r="EF6" s="657"/>
      <c r="EG6" s="657"/>
      <c r="EH6" s="657"/>
      <c r="EI6" s="657"/>
      <c r="EJ6" s="657"/>
      <c r="EK6" s="657"/>
      <c r="EL6" s="657"/>
      <c r="EM6" s="657"/>
      <c r="EN6" s="657"/>
      <c r="EO6" s="657"/>
      <c r="EP6" s="657"/>
      <c r="EQ6" s="657"/>
      <c r="ER6" s="657"/>
      <c r="ES6" s="657"/>
      <c r="ET6" s="657"/>
      <c r="EU6" s="657"/>
      <c r="EV6" s="657"/>
      <c r="EW6" s="657"/>
      <c r="EX6" s="657"/>
      <c r="EY6" s="657"/>
      <c r="EZ6" s="657"/>
      <c r="FA6" s="657"/>
      <c r="FB6" s="657"/>
      <c r="FC6" s="657"/>
      <c r="FD6" s="657"/>
      <c r="FE6" s="657"/>
      <c r="FF6" s="657"/>
      <c r="FG6" s="657"/>
      <c r="FH6" s="657"/>
      <c r="FI6" s="657"/>
      <c r="FJ6" s="657"/>
      <c r="FK6" s="657"/>
      <c r="FL6" s="657"/>
      <c r="FM6" s="657"/>
      <c r="FN6" s="657"/>
      <c r="FO6" s="657"/>
      <c r="FP6" s="657"/>
      <c r="FQ6" s="657"/>
      <c r="FR6" s="657"/>
      <c r="FS6" s="657"/>
      <c r="FT6" s="657"/>
      <c r="FU6" s="657"/>
      <c r="FV6" s="657"/>
      <c r="FW6" s="657"/>
      <c r="FX6" s="657"/>
      <c r="FY6" s="657"/>
      <c r="FZ6" s="657"/>
      <c r="GA6" s="657"/>
      <c r="GB6" s="657"/>
      <c r="GC6" s="657"/>
      <c r="GD6" s="657"/>
      <c r="GE6" s="657"/>
      <c r="GF6" s="657"/>
      <c r="GG6" s="657"/>
      <c r="GH6" s="657"/>
      <c r="GI6" s="657"/>
      <c r="GJ6" s="657"/>
      <c r="GK6" s="657"/>
      <c r="GL6" s="657"/>
      <c r="GM6" s="657"/>
      <c r="GN6" s="657"/>
      <c r="GO6" s="657"/>
      <c r="GP6" s="657"/>
      <c r="GQ6" s="657"/>
      <c r="GR6" s="657"/>
      <c r="GS6" s="657"/>
      <c r="GT6" s="657"/>
      <c r="GU6" s="657"/>
      <c r="GV6" s="657"/>
      <c r="GW6" s="657"/>
      <c r="GX6" s="657"/>
      <c r="GY6" s="657"/>
      <c r="GZ6" s="657"/>
      <c r="HA6" s="657"/>
      <c r="HB6" s="657"/>
      <c r="HC6" s="657"/>
      <c r="HD6" s="657"/>
      <c r="HE6" s="657"/>
      <c r="HF6" s="657"/>
      <c r="HG6" s="657"/>
      <c r="HH6" s="657"/>
      <c r="HI6" s="657"/>
      <c r="HJ6" s="657"/>
      <c r="HK6" s="657"/>
      <c r="HL6" s="657"/>
      <c r="HM6" s="657"/>
      <c r="HN6" s="657"/>
      <c r="HO6" s="657"/>
      <c r="HP6" s="657"/>
      <c r="HQ6" s="657"/>
      <c r="HR6" s="657"/>
      <c r="HS6" s="657"/>
      <c r="HT6" s="657"/>
      <c r="HU6" s="657"/>
      <c r="HV6" s="657"/>
      <c r="HW6" s="657"/>
      <c r="HX6" s="657"/>
      <c r="HY6" s="657"/>
      <c r="HZ6" s="657"/>
      <c r="IA6" s="657"/>
      <c r="IB6" s="657"/>
      <c r="IC6" s="657"/>
      <c r="ID6" s="657"/>
      <c r="IE6" s="657"/>
      <c r="IF6" s="657"/>
      <c r="IG6" s="657"/>
      <c r="IH6" s="657"/>
      <c r="II6" s="657"/>
      <c r="IJ6" s="657"/>
      <c r="IK6" s="657"/>
      <c r="IL6" s="657"/>
      <c r="IM6" s="657"/>
      <c r="IN6" s="657"/>
      <c r="IO6" s="657"/>
      <c r="IP6" s="657"/>
      <c r="IQ6" s="657"/>
      <c r="IR6" s="657"/>
      <c r="IS6" s="657"/>
      <c r="IT6" s="657"/>
      <c r="IU6" s="657"/>
      <c r="IV6" s="657"/>
      <c r="IW6" s="657"/>
      <c r="IX6" s="657"/>
      <c r="IY6" s="657"/>
      <c r="IZ6" s="657"/>
      <c r="JA6" s="657"/>
      <c r="JB6" s="657"/>
      <c r="JC6" s="657"/>
      <c r="JD6" s="657"/>
      <c r="JE6" s="657"/>
      <c r="JF6" s="657"/>
      <c r="JG6" s="657"/>
      <c r="JH6" s="657"/>
      <c r="JI6" s="657"/>
      <c r="JJ6" s="657"/>
      <c r="JK6" s="657"/>
      <c r="JL6" s="657"/>
      <c r="JM6" s="657"/>
      <c r="JN6" s="657"/>
      <c r="JO6" s="657"/>
      <c r="JP6" s="657"/>
      <c r="JQ6" s="657"/>
      <c r="JR6" s="657"/>
      <c r="JS6" s="657"/>
      <c r="JT6" s="657"/>
      <c r="JU6" s="657"/>
      <c r="JV6" s="657"/>
      <c r="JW6" s="657"/>
      <c r="JX6" s="657"/>
      <c r="JY6" s="657"/>
      <c r="JZ6" s="657"/>
      <c r="KA6" s="657"/>
      <c r="KB6" s="657"/>
      <c r="KC6" s="657"/>
      <c r="KD6" s="657"/>
      <c r="KE6" s="657"/>
      <c r="KF6" s="657"/>
      <c r="KG6" s="657"/>
      <c r="KH6" s="657"/>
      <c r="KI6" s="657"/>
      <c r="KJ6" s="657"/>
      <c r="KK6" s="657"/>
      <c r="KL6" s="657"/>
      <c r="KM6" s="657"/>
      <c r="KN6" s="657"/>
      <c r="KO6" s="657"/>
      <c r="KP6" s="657"/>
      <c r="KQ6" s="657"/>
      <c r="KR6" s="657"/>
      <c r="KS6" s="657"/>
      <c r="KT6" s="657"/>
      <c r="KU6" s="657"/>
      <c r="KV6" s="657"/>
      <c r="KW6" s="657"/>
      <c r="KX6" s="657"/>
      <c r="KY6" s="657"/>
      <c r="KZ6" s="657"/>
      <c r="LA6" s="657"/>
      <c r="LB6" s="657"/>
      <c r="LC6" s="657"/>
      <c r="LD6" s="657"/>
      <c r="LE6" s="657"/>
      <c r="LF6" s="657"/>
      <c r="LG6" s="657"/>
      <c r="LH6" s="657"/>
      <c r="LI6" s="657"/>
      <c r="LJ6" s="657"/>
      <c r="LK6" s="657"/>
      <c r="LL6" s="657"/>
      <c r="LM6" s="657"/>
      <c r="LN6" s="657"/>
      <c r="LO6" s="657"/>
      <c r="LP6" s="657"/>
      <c r="LQ6" s="657"/>
      <c r="LR6" s="657"/>
      <c r="LS6" s="657"/>
      <c r="LT6" s="657"/>
      <c r="LU6" s="657"/>
      <c r="LV6" s="657"/>
      <c r="LW6" s="657"/>
      <c r="LX6" s="657"/>
      <c r="LY6" s="657"/>
      <c r="LZ6" s="657"/>
      <c r="MA6" s="657"/>
      <c r="MB6" s="657"/>
      <c r="MC6" s="657"/>
      <c r="MD6" s="657"/>
      <c r="ME6" s="657"/>
      <c r="MF6" s="657"/>
      <c r="MG6" s="657"/>
      <c r="MH6" s="657"/>
      <c r="MI6" s="657"/>
      <c r="MJ6" s="657"/>
      <c r="MK6" s="657"/>
      <c r="ML6" s="657"/>
      <c r="MM6" s="657"/>
      <c r="MN6" s="657"/>
      <c r="MO6" s="657"/>
      <c r="MP6" s="657"/>
      <c r="MQ6" s="657"/>
      <c r="MR6" s="657"/>
      <c r="MS6" s="657"/>
      <c r="MT6" s="657"/>
      <c r="MU6" s="657"/>
      <c r="MV6" s="657"/>
      <c r="MW6" s="657"/>
      <c r="MX6" s="657"/>
      <c r="MY6" s="657"/>
      <c r="MZ6" s="657"/>
      <c r="NA6" s="657"/>
      <c r="NB6" s="657"/>
      <c r="NC6" s="657"/>
      <c r="ND6" s="657"/>
      <c r="NE6" s="657"/>
      <c r="NF6" s="657"/>
      <c r="NG6" s="657"/>
      <c r="NH6" s="657"/>
      <c r="NI6" s="657"/>
      <c r="NJ6" s="657"/>
      <c r="NK6" s="657"/>
      <c r="NL6" s="657"/>
      <c r="NM6" s="657"/>
      <c r="NN6" s="657"/>
      <c r="NO6" s="657"/>
      <c r="NP6" s="657"/>
      <c r="NQ6" s="657"/>
      <c r="NR6" s="657"/>
      <c r="NS6" s="657"/>
      <c r="NT6" s="657"/>
      <c r="NU6" s="657"/>
      <c r="NV6" s="657"/>
      <c r="NW6" s="657"/>
      <c r="NX6" s="657"/>
      <c r="NY6" s="657"/>
      <c r="NZ6" s="657"/>
      <c r="OA6" s="657"/>
      <c r="OB6" s="657"/>
      <c r="OC6" s="657"/>
      <c r="OD6" s="657"/>
      <c r="OE6" s="657"/>
      <c r="OF6" s="657"/>
      <c r="OG6" s="657"/>
      <c r="OH6" s="657"/>
      <c r="OI6" s="657"/>
      <c r="OJ6" s="657"/>
      <c r="OK6" s="657"/>
      <c r="OL6" s="657"/>
      <c r="OM6" s="657"/>
      <c r="ON6" s="657"/>
      <c r="OO6" s="657"/>
      <c r="OP6" s="657"/>
      <c r="OQ6" s="657"/>
      <c r="OR6" s="657"/>
      <c r="OS6" s="657"/>
      <c r="OT6" s="657"/>
      <c r="OU6" s="657"/>
      <c r="OV6" s="657"/>
      <c r="OW6" s="657"/>
      <c r="OX6" s="657"/>
      <c r="OY6" s="657"/>
      <c r="OZ6" s="657"/>
      <c r="PA6" s="657"/>
      <c r="PB6" s="657"/>
      <c r="PC6" s="657"/>
      <c r="PD6" s="657"/>
      <c r="PE6" s="657"/>
      <c r="PF6" s="657"/>
      <c r="PG6" s="657"/>
      <c r="PH6" s="657"/>
      <c r="PI6" s="657"/>
      <c r="PJ6" s="657"/>
      <c r="PK6" s="657"/>
      <c r="PL6" s="657"/>
      <c r="PM6" s="657"/>
      <c r="PN6" s="657"/>
      <c r="PO6" s="657"/>
      <c r="PP6" s="657"/>
      <c r="PQ6" s="657"/>
      <c r="PR6" s="657"/>
      <c r="PS6" s="657"/>
      <c r="PT6" s="657"/>
      <c r="PU6" s="657"/>
      <c r="PV6" s="657"/>
      <c r="PW6" s="657"/>
      <c r="PX6" s="657"/>
      <c r="PY6" s="657"/>
      <c r="PZ6" s="657"/>
      <c r="QA6" s="657"/>
      <c r="QB6" s="657"/>
      <c r="QC6" s="657"/>
      <c r="QD6" s="657"/>
      <c r="QE6" s="657"/>
      <c r="QF6" s="657"/>
      <c r="QG6" s="657"/>
      <c r="QH6" s="657"/>
      <c r="QI6" s="657"/>
      <c r="QJ6" s="657"/>
      <c r="QK6" s="657"/>
      <c r="QL6" s="657"/>
      <c r="QM6" s="657"/>
      <c r="QN6" s="657"/>
      <c r="QO6" s="657"/>
      <c r="QP6" s="657"/>
      <c r="QQ6" s="657"/>
      <c r="QR6" s="657"/>
      <c r="QS6" s="657"/>
      <c r="QT6" s="657"/>
      <c r="QU6" s="657"/>
      <c r="QV6" s="657"/>
      <c r="QW6" s="657"/>
      <c r="QX6" s="657"/>
      <c r="QY6" s="657"/>
      <c r="QZ6" s="657"/>
      <c r="RA6" s="657"/>
      <c r="RB6" s="657"/>
      <c r="RC6" s="657"/>
      <c r="RD6" s="657"/>
      <c r="RE6" s="657"/>
      <c r="RF6" s="657"/>
      <c r="RG6" s="657"/>
      <c r="RH6" s="657"/>
      <c r="RI6" s="657"/>
      <c r="RJ6" s="657"/>
      <c r="RK6" s="657"/>
      <c r="RL6" s="657"/>
      <c r="RM6" s="657"/>
      <c r="RN6" s="657"/>
      <c r="RO6" s="657"/>
      <c r="RP6" s="657"/>
      <c r="RQ6" s="657"/>
      <c r="RR6" s="657"/>
      <c r="RS6" s="657"/>
      <c r="RT6" s="657"/>
      <c r="RU6" s="657"/>
      <c r="RV6" s="657"/>
      <c r="RW6" s="657"/>
      <c r="RX6" s="657"/>
      <c r="RY6" s="657"/>
      <c r="RZ6" s="657"/>
      <c r="SA6" s="657"/>
      <c r="SB6" s="657"/>
      <c r="SC6" s="657"/>
      <c r="SD6" s="657"/>
      <c r="SE6" s="657"/>
      <c r="SF6" s="657"/>
      <c r="SG6" s="657"/>
      <c r="SH6" s="657"/>
      <c r="SI6" s="657"/>
      <c r="SJ6" s="657"/>
      <c r="SK6" s="657"/>
      <c r="SL6" s="657"/>
      <c r="SM6" s="657"/>
      <c r="SN6" s="657"/>
      <c r="SO6" s="657"/>
      <c r="SP6" s="657"/>
      <c r="SQ6" s="657"/>
      <c r="SR6" s="657"/>
      <c r="SS6" s="657"/>
      <c r="ST6" s="657"/>
      <c r="SU6" s="657"/>
      <c r="SV6" s="657"/>
      <c r="SW6" s="657"/>
      <c r="SX6" s="657"/>
      <c r="SY6" s="657"/>
      <c r="SZ6" s="657"/>
      <c r="TA6" s="657"/>
      <c r="TB6" s="657"/>
      <c r="TC6" s="657"/>
      <c r="TD6" s="657"/>
      <c r="TE6" s="657"/>
      <c r="TF6" s="657"/>
      <c r="TG6" s="657"/>
      <c r="TH6" s="657"/>
      <c r="TI6" s="657"/>
      <c r="TJ6" s="657"/>
      <c r="TK6" s="657"/>
      <c r="TL6" s="657"/>
      <c r="TM6" s="657"/>
      <c r="TN6" s="657"/>
      <c r="TO6" s="657"/>
      <c r="TP6" s="657"/>
      <c r="TQ6" s="657"/>
      <c r="TR6" s="657"/>
      <c r="TS6" s="657"/>
      <c r="TT6" s="657"/>
      <c r="TU6" s="657"/>
      <c r="TV6" s="657"/>
      <c r="TW6" s="657"/>
      <c r="TX6" s="657"/>
      <c r="TY6" s="657"/>
      <c r="TZ6" s="657"/>
      <c r="UA6" s="657"/>
      <c r="UB6" s="657"/>
      <c r="UC6" s="657"/>
      <c r="UD6" s="657"/>
      <c r="UE6" s="657"/>
      <c r="UF6" s="657"/>
      <c r="UG6" s="657"/>
      <c r="UH6" s="657"/>
      <c r="UI6" s="657"/>
      <c r="UJ6" s="657"/>
      <c r="UK6" s="657"/>
      <c r="UL6" s="657"/>
      <c r="UM6" s="657"/>
      <c r="UN6" s="657"/>
      <c r="UO6" s="657"/>
      <c r="UP6" s="657"/>
      <c r="UQ6" s="657"/>
      <c r="UR6" s="657"/>
      <c r="US6" s="657"/>
      <c r="UT6" s="657"/>
      <c r="UU6" s="657"/>
      <c r="UV6" s="657"/>
      <c r="UW6" s="657"/>
      <c r="UX6" s="657"/>
      <c r="UY6" s="657"/>
      <c r="UZ6" s="657"/>
      <c r="VA6" s="657"/>
      <c r="VB6" s="657"/>
      <c r="VC6" s="657"/>
      <c r="VD6" s="657"/>
      <c r="VE6" s="657"/>
      <c r="VF6" s="657"/>
      <c r="VG6" s="657"/>
      <c r="VH6" s="657"/>
      <c r="VI6" s="657"/>
      <c r="VJ6" s="657"/>
      <c r="VK6" s="657"/>
      <c r="VL6" s="657"/>
      <c r="VM6" s="657"/>
      <c r="VN6" s="657"/>
      <c r="VO6" s="657"/>
      <c r="VP6" s="657"/>
      <c r="VQ6" s="657"/>
      <c r="VR6" s="657"/>
      <c r="VS6" s="657"/>
      <c r="VT6" s="657"/>
      <c r="VU6" s="657"/>
      <c r="VV6" s="657"/>
      <c r="VW6" s="657"/>
      <c r="VX6" s="657"/>
      <c r="VY6" s="657"/>
      <c r="VZ6" s="657"/>
      <c r="WA6" s="657"/>
      <c r="WB6" s="657"/>
      <c r="WC6" s="657"/>
      <c r="WD6" s="657"/>
      <c r="WE6" s="657"/>
      <c r="WF6" s="657"/>
      <c r="WG6" s="657"/>
      <c r="WH6" s="657"/>
      <c r="WI6" s="657"/>
      <c r="WJ6" s="657"/>
      <c r="WK6" s="657"/>
      <c r="WL6" s="657"/>
      <c r="WM6" s="657"/>
      <c r="WN6" s="657"/>
      <c r="WO6" s="657"/>
      <c r="WP6" s="657"/>
      <c r="WQ6" s="657"/>
      <c r="WR6" s="657"/>
      <c r="WS6" s="657"/>
      <c r="WT6" s="657"/>
      <c r="WU6" s="657"/>
      <c r="WV6" s="657"/>
      <c r="WW6" s="657"/>
      <c r="WX6" s="657"/>
      <c r="WY6" s="657"/>
      <c r="WZ6" s="657"/>
      <c r="XA6" s="657"/>
      <c r="XB6" s="657"/>
      <c r="XC6" s="657"/>
      <c r="XD6" s="657"/>
      <c r="XE6" s="657"/>
      <c r="XF6" s="657"/>
      <c r="XG6" s="657"/>
      <c r="XH6" s="657"/>
      <c r="XI6" s="657"/>
      <c r="XJ6" s="657"/>
      <c r="XK6" s="657"/>
      <c r="XL6" s="657"/>
      <c r="XM6" s="657"/>
      <c r="XN6" s="657"/>
      <c r="XO6" s="657"/>
      <c r="XP6" s="657"/>
      <c r="XQ6" s="657"/>
      <c r="XR6" s="657"/>
      <c r="XS6" s="657"/>
      <c r="XT6" s="657"/>
      <c r="XU6" s="657"/>
      <c r="XV6" s="657"/>
      <c r="XW6" s="657"/>
      <c r="XX6" s="657"/>
      <c r="XY6" s="657"/>
      <c r="XZ6" s="657"/>
      <c r="YA6" s="657"/>
      <c r="YB6" s="657"/>
      <c r="YC6" s="657"/>
      <c r="YD6" s="657"/>
      <c r="YE6" s="657"/>
      <c r="YF6" s="657"/>
      <c r="YG6" s="657"/>
      <c r="YH6" s="657"/>
      <c r="YI6" s="657"/>
      <c r="YJ6" s="657"/>
      <c r="YK6" s="657"/>
      <c r="YL6" s="657"/>
      <c r="YM6" s="657"/>
      <c r="YN6" s="657"/>
      <c r="YO6" s="657"/>
      <c r="YP6" s="657"/>
      <c r="YQ6" s="657"/>
      <c r="YR6" s="657"/>
      <c r="YS6" s="657"/>
      <c r="YT6" s="657"/>
      <c r="YU6" s="657"/>
      <c r="YV6" s="657"/>
      <c r="YW6" s="657"/>
      <c r="YX6" s="657"/>
      <c r="YY6" s="657"/>
      <c r="YZ6" s="657"/>
      <c r="ZA6" s="657"/>
      <c r="ZB6" s="657"/>
      <c r="ZC6" s="657"/>
      <c r="ZD6" s="657"/>
      <c r="ZE6" s="657"/>
      <c r="ZF6" s="657"/>
      <c r="ZG6" s="657"/>
      <c r="ZH6" s="657"/>
      <c r="ZI6" s="657"/>
      <c r="ZJ6" s="657"/>
      <c r="ZK6" s="657"/>
      <c r="ZL6" s="657"/>
      <c r="ZM6" s="657"/>
      <c r="ZN6" s="657"/>
      <c r="ZO6" s="657"/>
      <c r="ZP6" s="657"/>
      <c r="ZQ6" s="657"/>
      <c r="ZR6" s="657"/>
      <c r="ZS6" s="657"/>
      <c r="ZT6" s="657"/>
      <c r="ZU6" s="657"/>
      <c r="ZV6" s="657"/>
      <c r="ZW6" s="657"/>
      <c r="ZX6" s="657"/>
      <c r="ZY6" s="657"/>
      <c r="ZZ6" s="657"/>
      <c r="AAA6" s="657"/>
      <c r="AAB6" s="657"/>
      <c r="AAC6" s="657"/>
      <c r="AAD6" s="657"/>
      <c r="AAE6" s="657"/>
      <c r="AAF6" s="657"/>
      <c r="AAG6" s="657"/>
      <c r="AAH6" s="657"/>
      <c r="AAI6" s="657"/>
      <c r="AAJ6" s="657"/>
      <c r="AAK6" s="657"/>
      <c r="AAL6" s="657"/>
      <c r="AAM6" s="657"/>
      <c r="AAN6" s="657"/>
      <c r="AAO6" s="657"/>
      <c r="AAP6" s="657"/>
      <c r="AAQ6" s="657"/>
      <c r="AAR6" s="657"/>
      <c r="AAS6" s="657"/>
      <c r="AAT6" s="657"/>
      <c r="AAU6" s="657"/>
      <c r="AAV6" s="657"/>
      <c r="AAW6" s="657"/>
      <c r="AAX6" s="657"/>
      <c r="AAY6" s="657"/>
      <c r="AAZ6" s="657"/>
      <c r="ABA6" s="657"/>
      <c r="ABB6" s="657"/>
      <c r="ABC6" s="657"/>
      <c r="ABD6" s="657"/>
      <c r="ABE6" s="657"/>
      <c r="ABF6" s="657"/>
      <c r="ABG6" s="657"/>
      <c r="ABH6" s="657"/>
      <c r="ABI6" s="657"/>
      <c r="ABJ6" s="657"/>
      <c r="ABK6" s="657"/>
      <c r="ABL6" s="657"/>
      <c r="ABM6" s="657"/>
      <c r="ABN6" s="657"/>
      <c r="ABO6" s="657"/>
      <c r="ABP6" s="657"/>
      <c r="ABQ6" s="657"/>
      <c r="ABR6" s="657"/>
      <c r="ABS6" s="657"/>
      <c r="ABT6" s="657"/>
      <c r="ABU6" s="657"/>
      <c r="ABV6" s="657"/>
      <c r="ABW6" s="657"/>
      <c r="ABX6" s="657"/>
      <c r="ABY6" s="657"/>
      <c r="ABZ6" s="657"/>
      <c r="ACA6" s="657"/>
      <c r="ACB6" s="657"/>
      <c r="ACC6" s="657"/>
      <c r="ACD6" s="657"/>
      <c r="ACE6" s="657"/>
      <c r="ACF6" s="657"/>
      <c r="ACG6" s="657"/>
      <c r="ACH6" s="657"/>
      <c r="ACI6" s="657"/>
      <c r="ACJ6" s="657"/>
      <c r="ACK6" s="657"/>
      <c r="ACL6" s="657"/>
      <c r="ACM6" s="657"/>
      <c r="ACN6" s="657"/>
      <c r="ACO6" s="657"/>
      <c r="ACP6" s="657"/>
      <c r="ACQ6" s="657"/>
      <c r="ACR6" s="657"/>
      <c r="ACS6" s="657"/>
      <c r="ACT6" s="657"/>
      <c r="ACU6" s="657"/>
      <c r="ACV6" s="657"/>
      <c r="ACW6" s="657"/>
      <c r="ACX6" s="657"/>
      <c r="ACY6" s="657"/>
      <c r="ACZ6" s="657"/>
      <c r="ADA6" s="657"/>
      <c r="ADB6" s="657"/>
      <c r="ADC6" s="657"/>
      <c r="ADD6" s="657"/>
      <c r="ADE6" s="657"/>
      <c r="ADF6" s="657"/>
      <c r="ADG6" s="657"/>
      <c r="ADH6" s="657"/>
      <c r="ADI6" s="657"/>
      <c r="ADJ6" s="657"/>
      <c r="ADK6" s="657"/>
      <c r="ADL6" s="657"/>
      <c r="ADM6" s="657"/>
      <c r="ADN6" s="657"/>
      <c r="ADO6" s="657"/>
      <c r="ADP6" s="657"/>
      <c r="ADQ6" s="657"/>
      <c r="ADR6" s="657"/>
      <c r="ADS6" s="657"/>
      <c r="ADT6" s="657"/>
      <c r="ADU6" s="657"/>
      <c r="ADV6" s="657"/>
      <c r="ADW6" s="657"/>
      <c r="ADX6" s="657"/>
      <c r="ADY6" s="657"/>
      <c r="ADZ6" s="657"/>
      <c r="AEA6" s="657"/>
      <c r="AEB6" s="657"/>
      <c r="AEC6" s="657"/>
      <c r="AED6" s="657"/>
      <c r="AEE6" s="657"/>
      <c r="AEF6" s="657"/>
      <c r="AEG6" s="657"/>
      <c r="AEH6" s="657"/>
      <c r="AEI6" s="657"/>
      <c r="AEJ6" s="657"/>
      <c r="AEK6" s="657"/>
      <c r="AEL6" s="657"/>
      <c r="AEM6" s="657"/>
      <c r="AEN6" s="657"/>
      <c r="AEO6" s="657"/>
      <c r="AEP6" s="657"/>
      <c r="AEQ6" s="657"/>
      <c r="AER6" s="657"/>
      <c r="AES6" s="657"/>
      <c r="AET6" s="657"/>
      <c r="AEU6" s="657"/>
      <c r="AEV6" s="657"/>
      <c r="AEW6" s="657"/>
      <c r="AEX6" s="657"/>
      <c r="AEY6" s="657"/>
      <c r="AEZ6" s="657"/>
      <c r="AFA6" s="657"/>
      <c r="AFB6" s="657"/>
      <c r="AFC6" s="657"/>
      <c r="AFD6" s="657"/>
      <c r="AFE6" s="657"/>
      <c r="AFF6" s="657"/>
      <c r="AFG6" s="657"/>
      <c r="AFH6" s="657"/>
      <c r="AFI6" s="657"/>
      <c r="AFJ6" s="657"/>
      <c r="AFK6" s="657"/>
      <c r="AFL6" s="657"/>
      <c r="AFM6" s="657"/>
      <c r="AFN6" s="657"/>
      <c r="AFO6" s="657"/>
      <c r="AFP6" s="657"/>
      <c r="AFQ6" s="657"/>
      <c r="AFR6" s="657"/>
      <c r="AFS6" s="657"/>
      <c r="AFT6" s="657"/>
      <c r="AFU6" s="657"/>
      <c r="AFV6" s="657"/>
      <c r="AFW6" s="657"/>
      <c r="AFX6" s="657"/>
      <c r="AFY6" s="657"/>
      <c r="AFZ6" s="657"/>
      <c r="AGA6" s="657"/>
      <c r="AGB6" s="657"/>
      <c r="AGC6" s="657"/>
      <c r="AGD6" s="657"/>
      <c r="AGE6" s="657"/>
      <c r="AGF6" s="657"/>
      <c r="AGG6" s="657"/>
      <c r="AGH6" s="657"/>
      <c r="AGI6" s="657"/>
      <c r="AGJ6" s="657"/>
      <c r="AGK6" s="657"/>
      <c r="AGL6" s="657"/>
      <c r="AGM6" s="657"/>
      <c r="AGN6" s="657"/>
      <c r="AGO6" s="657"/>
      <c r="AGP6" s="657"/>
      <c r="AGQ6" s="657"/>
      <c r="AGR6" s="657"/>
      <c r="AGS6" s="657"/>
      <c r="AGT6" s="657"/>
      <c r="AGU6" s="657"/>
      <c r="AGV6" s="657"/>
      <c r="AGW6" s="657"/>
      <c r="AGX6" s="657"/>
      <c r="AGY6" s="657"/>
      <c r="AGZ6" s="657"/>
      <c r="AHA6" s="657"/>
      <c r="AHB6" s="657"/>
      <c r="AHC6" s="657"/>
      <c r="AHD6" s="657"/>
      <c r="AHE6" s="657"/>
      <c r="AHF6" s="657"/>
      <c r="AHG6" s="657"/>
      <c r="AHH6" s="657"/>
      <c r="AHI6" s="657"/>
      <c r="AHJ6" s="657"/>
      <c r="AHK6" s="657"/>
      <c r="AHL6" s="657"/>
      <c r="AHM6" s="657"/>
      <c r="AHN6" s="657"/>
      <c r="AHO6" s="657"/>
      <c r="AHP6" s="657"/>
      <c r="AHQ6" s="657"/>
      <c r="AHR6" s="657"/>
      <c r="AHS6" s="657"/>
      <c r="AHT6" s="657"/>
      <c r="AHU6" s="657"/>
      <c r="AHV6" s="657"/>
      <c r="AHW6" s="657"/>
      <c r="AHX6" s="657"/>
      <c r="AHY6" s="657"/>
      <c r="AHZ6" s="657"/>
      <c r="AIA6" s="657"/>
      <c r="AIB6" s="657"/>
      <c r="AIC6" s="657"/>
      <c r="AID6" s="657"/>
      <c r="AIE6" s="657"/>
      <c r="AIF6" s="657"/>
      <c r="AIG6" s="657"/>
      <c r="AIH6" s="657"/>
      <c r="AII6" s="657"/>
      <c r="AIJ6" s="657"/>
      <c r="AIK6" s="657"/>
      <c r="AIL6" s="657"/>
      <c r="AIM6" s="657"/>
      <c r="AIN6" s="657"/>
      <c r="AIO6" s="657"/>
      <c r="AIP6" s="657"/>
      <c r="AIQ6" s="657"/>
      <c r="AIR6" s="657"/>
      <c r="AIS6" s="657"/>
      <c r="AIT6" s="657"/>
      <c r="AIU6" s="657"/>
      <c r="AIV6" s="657"/>
      <c r="AIW6" s="657"/>
      <c r="AIX6" s="657"/>
      <c r="AIY6" s="657"/>
      <c r="AIZ6" s="657"/>
      <c r="AJA6" s="657"/>
      <c r="AJB6" s="657"/>
      <c r="AJC6" s="657"/>
      <c r="AJD6" s="657"/>
      <c r="AJE6" s="657"/>
      <c r="AJF6" s="657"/>
      <c r="AJG6" s="657"/>
      <c r="AJH6" s="657"/>
      <c r="AJI6" s="657"/>
      <c r="AJJ6" s="657"/>
      <c r="AJK6" s="657"/>
      <c r="AJL6" s="657"/>
      <c r="AJM6" s="657"/>
      <c r="AJN6" s="657"/>
      <c r="AJO6" s="657"/>
      <c r="AJP6" s="657"/>
      <c r="AJQ6" s="657"/>
      <c r="AJR6" s="657"/>
      <c r="AJS6" s="657"/>
      <c r="AJT6" s="657"/>
      <c r="AJU6" s="657"/>
      <c r="AJV6" s="657"/>
      <c r="AJW6" s="657"/>
      <c r="AJX6" s="657"/>
      <c r="AJY6" s="657"/>
      <c r="AJZ6" s="657"/>
      <c r="AKA6" s="657"/>
      <c r="AKB6" s="657"/>
      <c r="AKC6" s="657"/>
      <c r="AKD6" s="657"/>
      <c r="AKE6" s="657"/>
      <c r="AKF6" s="657"/>
      <c r="AKG6" s="657"/>
      <c r="AKH6" s="657"/>
      <c r="AKI6" s="657"/>
      <c r="AKJ6" s="657"/>
      <c r="AKK6" s="657"/>
      <c r="AKL6" s="657"/>
      <c r="AKM6" s="657"/>
      <c r="AKN6" s="657"/>
      <c r="AKO6" s="657"/>
      <c r="AKP6" s="657"/>
      <c r="AKQ6" s="657"/>
      <c r="AKR6" s="657"/>
      <c r="AKS6" s="657"/>
      <c r="AKT6" s="657"/>
      <c r="AKU6" s="657"/>
      <c r="AKV6" s="657"/>
      <c r="AKW6" s="657"/>
      <c r="AKX6" s="657"/>
      <c r="AKY6" s="657"/>
      <c r="AKZ6" s="657"/>
      <c r="ALA6" s="657"/>
      <c r="ALB6" s="657"/>
      <c r="ALC6" s="657"/>
      <c r="ALD6" s="657"/>
      <c r="ALE6" s="657"/>
      <c r="ALF6" s="657"/>
      <c r="ALG6" s="657"/>
      <c r="ALH6" s="657"/>
      <c r="ALI6" s="657"/>
      <c r="ALJ6" s="657"/>
      <c r="ALK6" s="657"/>
      <c r="ALL6" s="657"/>
      <c r="ALM6" s="657"/>
      <c r="ALN6" s="657"/>
      <c r="ALO6" s="657"/>
      <c r="ALP6" s="657"/>
      <c r="ALQ6" s="657"/>
      <c r="ALR6" s="657"/>
      <c r="ALS6" s="657"/>
      <c r="ALT6" s="657"/>
      <c r="ALU6" s="657"/>
      <c r="ALV6" s="657"/>
      <c r="ALW6" s="657"/>
      <c r="ALX6" s="657"/>
      <c r="ALY6" s="657"/>
      <c r="ALZ6" s="657"/>
      <c r="AMA6" s="657"/>
      <c r="AMB6" s="657"/>
      <c r="AMC6" s="657"/>
      <c r="AMD6" s="657"/>
      <c r="AME6" s="657"/>
      <c r="AMF6" s="657"/>
      <c r="AMG6" s="657"/>
      <c r="AMH6" s="657"/>
      <c r="AMI6" s="657"/>
      <c r="AMJ6" s="657"/>
      <c r="AMK6" s="657"/>
      <c r="AML6" s="657"/>
      <c r="AMM6" s="657"/>
      <c r="AMN6" s="657"/>
      <c r="AMO6" s="657"/>
      <c r="AMP6" s="657"/>
      <c r="AMQ6" s="657"/>
      <c r="AMR6" s="657"/>
      <c r="AMS6" s="657"/>
      <c r="AMT6" s="657"/>
      <c r="AMU6" s="657"/>
      <c r="AMV6" s="657"/>
      <c r="AMW6" s="657"/>
      <c r="AMX6" s="657"/>
      <c r="AMY6" s="657"/>
      <c r="AMZ6" s="657"/>
      <c r="ANA6" s="657"/>
      <c r="ANB6" s="657"/>
      <c r="ANC6" s="657"/>
      <c r="AND6" s="657"/>
      <c r="ANE6" s="657"/>
      <c r="ANF6" s="657"/>
      <c r="ANG6" s="657"/>
      <c r="ANH6" s="657"/>
      <c r="ANI6" s="657"/>
      <c r="ANJ6" s="657"/>
      <c r="ANK6" s="657"/>
      <c r="ANL6" s="657"/>
      <c r="ANM6" s="657"/>
      <c r="ANN6" s="657"/>
      <c r="ANO6" s="657"/>
      <c r="ANP6" s="657"/>
      <c r="ANQ6" s="657"/>
      <c r="ANR6" s="657"/>
      <c r="ANS6" s="657"/>
      <c r="ANT6" s="657"/>
      <c r="ANU6" s="657"/>
      <c r="ANV6" s="657"/>
      <c r="ANW6" s="657"/>
      <c r="ANX6" s="657"/>
      <c r="ANY6" s="657"/>
      <c r="ANZ6" s="657"/>
      <c r="AOA6" s="657"/>
      <c r="AOB6" s="657"/>
      <c r="AOC6" s="657"/>
      <c r="AOD6" s="657"/>
      <c r="AOE6" s="657"/>
      <c r="AOF6" s="657"/>
      <c r="AOG6" s="657"/>
      <c r="AOH6" s="657"/>
      <c r="AOI6" s="657"/>
      <c r="AOJ6" s="657"/>
      <c r="AOK6" s="657"/>
      <c r="AOL6" s="657"/>
      <c r="AOM6" s="657"/>
      <c r="AON6" s="657"/>
      <c r="AOO6" s="657"/>
      <c r="AOP6" s="657"/>
      <c r="AOQ6" s="657"/>
      <c r="AOR6" s="657"/>
      <c r="AOS6" s="657"/>
      <c r="AOT6" s="657"/>
      <c r="AOU6" s="657"/>
      <c r="AOV6" s="657"/>
      <c r="AOW6" s="657"/>
      <c r="AOX6" s="657"/>
      <c r="AOY6" s="657"/>
      <c r="AOZ6" s="657"/>
      <c r="APA6" s="657"/>
      <c r="APB6" s="657"/>
      <c r="APC6" s="657"/>
      <c r="APD6" s="657"/>
      <c r="APE6" s="657"/>
      <c r="APF6" s="657"/>
      <c r="APG6" s="657"/>
      <c r="APH6" s="657"/>
      <c r="API6" s="657"/>
      <c r="APJ6" s="657"/>
      <c r="APK6" s="657"/>
      <c r="APL6" s="657"/>
      <c r="APM6" s="657"/>
      <c r="APN6" s="657"/>
      <c r="APO6" s="657"/>
      <c r="APP6" s="657"/>
      <c r="APQ6" s="657"/>
      <c r="APR6" s="657"/>
      <c r="APS6" s="657"/>
      <c r="APT6" s="657"/>
      <c r="APU6" s="657"/>
      <c r="APV6" s="657"/>
      <c r="APW6" s="657"/>
      <c r="APX6" s="657"/>
      <c r="APY6" s="657"/>
      <c r="APZ6" s="657"/>
      <c r="AQA6" s="657"/>
      <c r="AQB6" s="657"/>
      <c r="AQC6" s="657"/>
      <c r="AQD6" s="657"/>
      <c r="AQE6" s="657"/>
      <c r="AQF6" s="657"/>
      <c r="AQG6" s="657"/>
      <c r="AQH6" s="657"/>
      <c r="AQI6" s="657"/>
      <c r="AQJ6" s="657"/>
      <c r="AQK6" s="657"/>
      <c r="AQL6" s="657"/>
      <c r="AQM6" s="657"/>
      <c r="AQN6" s="657"/>
      <c r="AQO6" s="657"/>
      <c r="AQP6" s="657"/>
      <c r="AQQ6" s="657"/>
      <c r="AQR6" s="657"/>
      <c r="AQS6" s="657"/>
      <c r="AQT6" s="657"/>
      <c r="AQU6" s="657"/>
      <c r="AQV6" s="657"/>
      <c r="AQW6" s="657"/>
      <c r="AQX6" s="657"/>
      <c r="AQY6" s="657"/>
      <c r="AQZ6" s="657"/>
      <c r="ARA6" s="657"/>
      <c r="ARB6" s="657"/>
      <c r="ARC6" s="657"/>
      <c r="ARD6" s="657"/>
      <c r="ARE6" s="657"/>
      <c r="ARF6" s="657"/>
      <c r="ARG6" s="657"/>
      <c r="ARH6" s="657"/>
      <c r="ARI6" s="657"/>
      <c r="ARJ6" s="657"/>
      <c r="ARK6" s="657"/>
      <c r="ARL6" s="657"/>
      <c r="ARM6" s="657"/>
      <c r="ARN6" s="657"/>
      <c r="ARO6" s="657"/>
      <c r="ARP6" s="657"/>
      <c r="ARQ6" s="657"/>
      <c r="ARR6" s="657"/>
      <c r="ARS6" s="657"/>
      <c r="ART6" s="657"/>
      <c r="ARU6" s="657"/>
      <c r="ARV6" s="657"/>
      <c r="ARW6" s="657"/>
      <c r="ARX6" s="657"/>
      <c r="ARY6" s="657"/>
      <c r="ARZ6" s="657"/>
      <c r="ASA6" s="657"/>
      <c r="ASB6" s="657"/>
      <c r="ASC6" s="657"/>
      <c r="ASD6" s="657"/>
      <c r="ASE6" s="657"/>
      <c r="ASF6" s="657"/>
      <c r="ASG6" s="657"/>
      <c r="ASH6" s="657"/>
      <c r="ASI6" s="657"/>
      <c r="ASJ6" s="657"/>
      <c r="ASK6" s="657"/>
      <c r="ASL6" s="657"/>
      <c r="ASM6" s="657"/>
      <c r="ASN6" s="657"/>
      <c r="ASO6" s="657"/>
      <c r="ASP6" s="657"/>
      <c r="ASQ6" s="657"/>
      <c r="ASR6" s="657"/>
      <c r="ASS6" s="657"/>
      <c r="AST6" s="657"/>
      <c r="ASU6" s="657"/>
      <c r="ASV6" s="657"/>
      <c r="ASW6" s="657"/>
      <c r="ASX6" s="657"/>
      <c r="ASY6" s="657"/>
      <c r="ASZ6" s="657"/>
      <c r="ATA6" s="657"/>
      <c r="ATB6" s="657"/>
      <c r="ATC6" s="657"/>
      <c r="ATD6" s="657"/>
      <c r="ATE6" s="657"/>
      <c r="ATF6" s="657"/>
      <c r="ATG6" s="657"/>
      <c r="ATH6" s="657"/>
      <c r="ATI6" s="657"/>
      <c r="ATJ6" s="657"/>
      <c r="ATK6" s="657"/>
      <c r="ATL6" s="657"/>
      <c r="ATM6" s="657"/>
      <c r="ATN6" s="657"/>
      <c r="ATO6" s="657"/>
      <c r="ATP6" s="657"/>
      <c r="ATQ6" s="657"/>
      <c r="ATR6" s="657"/>
      <c r="ATS6" s="657"/>
      <c r="ATT6" s="657"/>
      <c r="ATU6" s="657"/>
      <c r="ATV6" s="657"/>
      <c r="ATW6" s="657"/>
      <c r="ATX6" s="657"/>
      <c r="ATY6" s="657"/>
      <c r="ATZ6" s="657"/>
      <c r="AUA6" s="657"/>
      <c r="AUB6" s="657"/>
      <c r="AUC6" s="657"/>
      <c r="AUD6" s="657"/>
      <c r="AUE6" s="657"/>
      <c r="AUF6" s="657"/>
      <c r="AUG6" s="657"/>
      <c r="AUH6" s="657"/>
      <c r="AUI6" s="657"/>
      <c r="AUJ6" s="657"/>
      <c r="AUK6" s="657"/>
      <c r="AUL6" s="657"/>
      <c r="AUM6" s="657"/>
      <c r="AUN6" s="657"/>
      <c r="AUO6" s="657"/>
      <c r="AUP6" s="657"/>
      <c r="AUQ6" s="657"/>
      <c r="AUR6" s="657"/>
      <c r="AUS6" s="657"/>
      <c r="AUT6" s="657"/>
      <c r="AUU6" s="657"/>
      <c r="AUV6" s="657"/>
      <c r="AUW6" s="657"/>
      <c r="AUX6" s="657"/>
      <c r="AUY6" s="657"/>
      <c r="AUZ6" s="657"/>
      <c r="AVA6" s="657"/>
      <c r="AVB6" s="657"/>
      <c r="AVC6" s="657"/>
      <c r="AVD6" s="657"/>
      <c r="AVE6" s="657"/>
      <c r="AVF6" s="657"/>
      <c r="AVG6" s="657"/>
      <c r="AVH6" s="657"/>
      <c r="AVI6" s="657"/>
      <c r="AVJ6" s="657"/>
      <c r="AVK6" s="657"/>
      <c r="AVL6" s="657"/>
      <c r="AVM6" s="657"/>
      <c r="AVN6" s="657"/>
      <c r="AVO6" s="657"/>
      <c r="AVP6" s="657"/>
      <c r="AVQ6" s="657"/>
      <c r="AVR6" s="657"/>
      <c r="AVS6" s="657"/>
      <c r="AVT6" s="657"/>
      <c r="AVU6" s="657"/>
      <c r="AVV6" s="657"/>
      <c r="AVW6" s="657"/>
      <c r="AVX6" s="657"/>
      <c r="AVY6" s="657"/>
      <c r="AVZ6" s="657"/>
      <c r="AWA6" s="657"/>
      <c r="AWB6" s="657"/>
      <c r="AWC6" s="657"/>
      <c r="AWD6" s="657"/>
      <c r="AWE6" s="657"/>
      <c r="AWF6" s="657"/>
      <c r="AWG6" s="657"/>
      <c r="AWH6" s="657"/>
      <c r="AWI6" s="657"/>
      <c r="AWJ6" s="657"/>
      <c r="AWK6" s="657"/>
      <c r="AWL6" s="657"/>
      <c r="AWM6" s="657"/>
      <c r="AWN6" s="657"/>
      <c r="AWO6" s="657"/>
      <c r="AWP6" s="657"/>
      <c r="AWQ6" s="657"/>
      <c r="AWR6" s="657"/>
      <c r="AWS6" s="657"/>
      <c r="AWT6" s="657"/>
      <c r="AWU6" s="657"/>
      <c r="AWV6" s="657"/>
      <c r="AWW6" s="657"/>
      <c r="AWX6" s="657"/>
      <c r="AWY6" s="657"/>
      <c r="AWZ6" s="657"/>
      <c r="AXA6" s="657"/>
      <c r="AXB6" s="657"/>
      <c r="AXC6" s="657"/>
      <c r="AXD6" s="657"/>
      <c r="AXE6" s="657"/>
      <c r="AXF6" s="657"/>
      <c r="AXG6" s="657"/>
      <c r="AXH6" s="657"/>
      <c r="AXI6" s="657"/>
      <c r="AXJ6" s="657"/>
      <c r="AXK6" s="657"/>
      <c r="AXL6" s="657"/>
      <c r="AXM6" s="657"/>
      <c r="AXN6" s="657"/>
      <c r="AXO6" s="657"/>
      <c r="AXP6" s="657"/>
      <c r="AXQ6" s="657"/>
      <c r="AXR6" s="657"/>
      <c r="AXS6" s="657"/>
      <c r="AXT6" s="657"/>
      <c r="AXU6" s="657"/>
      <c r="AXV6" s="657"/>
      <c r="AXW6" s="657"/>
      <c r="AXX6" s="657"/>
      <c r="AXY6" s="657"/>
      <c r="AXZ6" s="657"/>
      <c r="AYA6" s="657"/>
      <c r="AYB6" s="657"/>
      <c r="AYC6" s="657"/>
      <c r="AYD6" s="657"/>
      <c r="AYE6" s="657"/>
      <c r="AYF6" s="657"/>
      <c r="AYG6" s="657"/>
      <c r="AYH6" s="657"/>
      <c r="AYI6" s="657"/>
      <c r="AYJ6" s="657"/>
      <c r="AYK6" s="657"/>
      <c r="AYL6" s="657"/>
      <c r="AYM6" s="657"/>
      <c r="AYN6" s="657"/>
      <c r="AYO6" s="657"/>
      <c r="AYP6" s="657"/>
      <c r="AYQ6" s="657"/>
      <c r="AYR6" s="657"/>
      <c r="AYS6" s="657"/>
      <c r="AYT6" s="657"/>
      <c r="AYU6" s="657"/>
      <c r="AYV6" s="657"/>
      <c r="AYW6" s="657"/>
      <c r="AYX6" s="657"/>
      <c r="AYY6" s="657"/>
      <c r="AYZ6" s="657"/>
      <c r="AZA6" s="657"/>
      <c r="AZB6" s="657"/>
      <c r="AZC6" s="657"/>
      <c r="AZD6" s="657"/>
      <c r="AZE6" s="657"/>
      <c r="AZF6" s="657"/>
      <c r="AZG6" s="657"/>
      <c r="AZH6" s="657"/>
      <c r="AZI6" s="657"/>
      <c r="AZJ6" s="657"/>
      <c r="AZK6" s="657"/>
      <c r="AZL6" s="657"/>
      <c r="AZM6" s="657"/>
      <c r="AZN6" s="657"/>
      <c r="AZO6" s="657"/>
      <c r="AZP6" s="657"/>
      <c r="AZQ6" s="657"/>
      <c r="AZR6" s="657"/>
      <c r="AZS6" s="657"/>
      <c r="AZT6" s="657"/>
      <c r="AZU6" s="657"/>
      <c r="AZV6" s="657"/>
      <c r="AZW6" s="657"/>
      <c r="AZX6" s="657"/>
      <c r="AZY6" s="657"/>
      <c r="AZZ6" s="657"/>
      <c r="BAA6" s="657"/>
      <c r="BAB6" s="657"/>
      <c r="BAC6" s="657"/>
      <c r="BAD6" s="657"/>
      <c r="BAE6" s="657"/>
      <c r="BAF6" s="657"/>
      <c r="BAG6" s="657"/>
      <c r="BAH6" s="657"/>
      <c r="BAI6" s="657"/>
      <c r="BAJ6" s="657"/>
      <c r="BAK6" s="657"/>
      <c r="BAL6" s="657"/>
      <c r="BAM6" s="657"/>
      <c r="BAN6" s="657"/>
      <c r="BAO6" s="657"/>
      <c r="BAP6" s="657"/>
      <c r="BAQ6" s="657"/>
      <c r="BAR6" s="657"/>
      <c r="BAS6" s="657"/>
      <c r="BAT6" s="657"/>
      <c r="BAU6" s="657"/>
      <c r="BAV6" s="657"/>
      <c r="BAW6" s="657"/>
      <c r="BAX6" s="657"/>
      <c r="BAY6" s="657"/>
      <c r="BAZ6" s="657"/>
      <c r="BBA6" s="657"/>
      <c r="BBB6" s="657"/>
      <c r="BBC6" s="657"/>
      <c r="BBD6" s="657"/>
      <c r="BBE6" s="657"/>
      <c r="BBF6" s="657"/>
      <c r="BBG6" s="657"/>
      <c r="BBH6" s="657"/>
      <c r="BBI6" s="657"/>
      <c r="BBJ6" s="657"/>
      <c r="BBK6" s="657"/>
      <c r="BBL6" s="657"/>
      <c r="BBM6" s="657"/>
      <c r="BBN6" s="657"/>
      <c r="BBO6" s="657"/>
      <c r="BBP6" s="657"/>
      <c r="BBQ6" s="657"/>
      <c r="BBR6" s="657"/>
      <c r="BBS6" s="657"/>
      <c r="BBT6" s="657"/>
      <c r="BBU6" s="657"/>
      <c r="BBV6" s="657"/>
      <c r="BBW6" s="657"/>
      <c r="BBX6" s="657"/>
      <c r="BBY6" s="657"/>
      <c r="BBZ6" s="657"/>
      <c r="BCA6" s="657"/>
      <c r="BCB6" s="657"/>
      <c r="BCC6" s="657"/>
      <c r="BCD6" s="657"/>
      <c r="BCE6" s="657"/>
      <c r="BCF6" s="657"/>
      <c r="BCG6" s="657"/>
      <c r="BCH6" s="657"/>
      <c r="BCI6" s="657"/>
      <c r="BCJ6" s="657"/>
      <c r="BCK6" s="657"/>
      <c r="BCL6" s="657"/>
      <c r="BCM6" s="657"/>
      <c r="BCN6" s="657"/>
      <c r="BCO6" s="657"/>
      <c r="BCP6" s="657"/>
      <c r="BCQ6" s="657"/>
      <c r="BCR6" s="657"/>
      <c r="BCS6" s="657"/>
      <c r="BCT6" s="657"/>
      <c r="BCU6" s="657"/>
      <c r="BCV6" s="657"/>
      <c r="BCW6" s="657"/>
      <c r="BCX6" s="657"/>
      <c r="BCY6" s="657"/>
      <c r="BCZ6" s="657"/>
      <c r="BDA6" s="657"/>
      <c r="BDB6" s="657"/>
      <c r="BDC6" s="657"/>
      <c r="BDD6" s="657"/>
      <c r="BDE6" s="657"/>
      <c r="BDF6" s="657"/>
      <c r="BDG6" s="657"/>
      <c r="BDH6" s="657"/>
      <c r="BDI6" s="657"/>
      <c r="BDJ6" s="657"/>
      <c r="BDK6" s="657"/>
      <c r="BDL6" s="657"/>
      <c r="BDM6" s="657"/>
      <c r="BDN6" s="657"/>
      <c r="BDO6" s="657"/>
      <c r="BDP6" s="657"/>
      <c r="BDQ6" s="657"/>
      <c r="BDR6" s="657"/>
      <c r="BDS6" s="657"/>
      <c r="BDT6" s="657"/>
      <c r="BDU6" s="657"/>
      <c r="BDV6" s="657"/>
      <c r="BDW6" s="657"/>
      <c r="BDX6" s="657"/>
      <c r="BDY6" s="657"/>
      <c r="BDZ6" s="657"/>
      <c r="BEA6" s="657"/>
      <c r="BEB6" s="657"/>
      <c r="BEC6" s="657"/>
      <c r="BED6" s="657"/>
      <c r="BEE6" s="657"/>
      <c r="BEF6" s="657"/>
      <c r="BEG6" s="657"/>
      <c r="BEH6" s="657"/>
      <c r="BEI6" s="657"/>
      <c r="BEJ6" s="657"/>
      <c r="BEK6" s="657"/>
      <c r="BEL6" s="657"/>
      <c r="BEM6" s="657"/>
      <c r="BEN6" s="657"/>
      <c r="BEO6" s="657"/>
      <c r="BEP6" s="657"/>
      <c r="BEQ6" s="657"/>
      <c r="BER6" s="657"/>
      <c r="BES6" s="657"/>
      <c r="BET6" s="657"/>
      <c r="BEU6" s="657"/>
      <c r="BEV6" s="657"/>
      <c r="BEW6" s="657"/>
      <c r="BEX6" s="657"/>
      <c r="BEY6" s="657"/>
      <c r="BEZ6" s="657"/>
      <c r="BFA6" s="657"/>
      <c r="BFB6" s="657"/>
      <c r="BFC6" s="657"/>
      <c r="BFD6" s="657"/>
      <c r="BFE6" s="657"/>
      <c r="BFF6" s="657"/>
      <c r="BFG6" s="657"/>
      <c r="BFH6" s="657"/>
      <c r="BFI6" s="657"/>
      <c r="BFJ6" s="657"/>
      <c r="BFK6" s="657"/>
      <c r="BFL6" s="657"/>
      <c r="BFM6" s="657"/>
      <c r="BFN6" s="657"/>
      <c r="BFO6" s="657"/>
      <c r="BFP6" s="657"/>
      <c r="BFQ6" s="657"/>
      <c r="BFR6" s="657"/>
      <c r="BFS6" s="657"/>
      <c r="BFT6" s="657"/>
      <c r="BFU6" s="657"/>
      <c r="BFV6" s="657"/>
      <c r="BFW6" s="657"/>
      <c r="BFX6" s="657"/>
      <c r="BFY6" s="657"/>
      <c r="BFZ6" s="657"/>
      <c r="BGA6" s="657"/>
      <c r="BGB6" s="657"/>
      <c r="BGC6" s="657"/>
      <c r="BGD6" s="657"/>
      <c r="BGE6" s="657"/>
      <c r="BGF6" s="657"/>
      <c r="BGG6" s="657"/>
      <c r="BGH6" s="657"/>
      <c r="BGI6" s="657"/>
      <c r="BGJ6" s="657"/>
      <c r="BGK6" s="657"/>
      <c r="BGL6" s="657"/>
      <c r="BGM6" s="657"/>
      <c r="BGN6" s="657"/>
      <c r="BGO6" s="657"/>
      <c r="BGP6" s="657"/>
      <c r="BGQ6" s="657"/>
      <c r="BGR6" s="657"/>
      <c r="BGS6" s="657"/>
      <c r="BGT6" s="657"/>
      <c r="BGU6" s="657"/>
      <c r="BGV6" s="657"/>
      <c r="BGW6" s="657"/>
      <c r="BGX6" s="657"/>
      <c r="BGY6" s="657"/>
      <c r="BGZ6" s="657"/>
      <c r="BHA6" s="657"/>
      <c r="BHB6" s="657"/>
      <c r="BHC6" s="657"/>
      <c r="BHD6" s="657"/>
      <c r="BHE6" s="657"/>
      <c r="BHF6" s="657"/>
      <c r="BHG6" s="657"/>
      <c r="BHH6" s="657"/>
      <c r="BHI6" s="657"/>
      <c r="BHJ6" s="657"/>
      <c r="BHK6" s="657"/>
      <c r="BHL6" s="657"/>
      <c r="BHM6" s="657"/>
      <c r="BHN6" s="657"/>
      <c r="BHO6" s="657"/>
      <c r="BHP6" s="657"/>
      <c r="BHQ6" s="657"/>
    </row>
    <row r="7" spans="1:1577" s="4" customFormat="1" ht="120" x14ac:dyDescent="0.25">
      <c r="A7" s="149" t="s">
        <v>98</v>
      </c>
      <c r="B7" s="149" t="s">
        <v>100</v>
      </c>
      <c r="C7" s="149" t="s">
        <v>99</v>
      </c>
      <c r="D7" s="186" t="s">
        <v>1095</v>
      </c>
      <c r="E7" s="186" t="s">
        <v>54</v>
      </c>
      <c r="F7" s="149" t="s">
        <v>107</v>
      </c>
      <c r="G7" s="186" t="s">
        <v>115</v>
      </c>
      <c r="H7" s="149" t="s">
        <v>114</v>
      </c>
      <c r="I7" s="149" t="s">
        <v>116</v>
      </c>
      <c r="J7" s="298" t="s">
        <v>430</v>
      </c>
      <c r="K7" s="1024" t="s">
        <v>1096</v>
      </c>
      <c r="L7" s="149" t="s">
        <v>1097</v>
      </c>
      <c r="M7" s="149" t="s">
        <v>1098</v>
      </c>
      <c r="N7" s="186" t="s">
        <v>1095</v>
      </c>
      <c r="O7" s="149" t="s">
        <v>1099</v>
      </c>
      <c r="P7" s="149" t="s">
        <v>1100</v>
      </c>
      <c r="Q7" s="186" t="s">
        <v>50</v>
      </c>
      <c r="R7" s="186">
        <v>0</v>
      </c>
      <c r="S7" s="186">
        <v>660</v>
      </c>
      <c r="T7" s="297" t="s">
        <v>1101</v>
      </c>
      <c r="U7" s="10" t="s">
        <v>1102</v>
      </c>
      <c r="V7" s="7" t="s">
        <v>50</v>
      </c>
      <c r="W7" s="7">
        <v>0</v>
      </c>
      <c r="X7" s="7">
        <f>+S7*25%</f>
        <v>165</v>
      </c>
      <c r="Y7" s="1025">
        <v>3519789500</v>
      </c>
      <c r="Z7" s="1025">
        <v>6534853333</v>
      </c>
      <c r="AA7" s="149" t="s">
        <v>1103</v>
      </c>
      <c r="AB7" s="186">
        <f>+AF7+AF8+AF9</f>
        <v>46</v>
      </c>
      <c r="AC7" s="149">
        <v>660</v>
      </c>
      <c r="AD7" s="457">
        <f>+AB7/AC7</f>
        <v>6.9696969696969702E-2</v>
      </c>
      <c r="AE7" s="797" t="s">
        <v>1104</v>
      </c>
      <c r="AF7" s="475">
        <v>14</v>
      </c>
      <c r="AG7" s="6">
        <v>165</v>
      </c>
      <c r="AH7" s="311">
        <f>+AF7/AG7</f>
        <v>8.4848484848484854E-2</v>
      </c>
      <c r="AI7" s="1026" t="s">
        <v>1105</v>
      </c>
      <c r="AJ7" s="186">
        <f>+AB7+(AN7+AN8+AN9)</f>
        <v>157</v>
      </c>
      <c r="AK7" s="186">
        <v>660</v>
      </c>
      <c r="AL7" s="457">
        <f>+AJ7/AK7</f>
        <v>0.23787878787878788</v>
      </c>
      <c r="AM7" s="797" t="s">
        <v>1106</v>
      </c>
      <c r="AN7" s="475">
        <v>29</v>
      </c>
      <c r="AO7" s="6">
        <v>165</v>
      </c>
      <c r="AP7" s="311">
        <f>+AN7/AO7</f>
        <v>0.17575757575757575</v>
      </c>
      <c r="AQ7" s="1026" t="s">
        <v>1107</v>
      </c>
      <c r="AR7" s="186">
        <f>+AJ7+(AV7+AV8+AV9)</f>
        <v>223</v>
      </c>
      <c r="AS7" s="186">
        <v>660</v>
      </c>
      <c r="AT7" s="457">
        <f>+AR7/AS7</f>
        <v>0.33787878787878789</v>
      </c>
      <c r="AU7" s="797" t="s">
        <v>1108</v>
      </c>
      <c r="AV7" s="475">
        <v>26</v>
      </c>
      <c r="AW7" s="6">
        <v>165</v>
      </c>
      <c r="AX7" s="311">
        <f>+AV7/AW7</f>
        <v>0.15757575757575756</v>
      </c>
      <c r="AY7" s="1026" t="s">
        <v>1109</v>
      </c>
      <c r="AZ7" s="186">
        <f>+AR7+(BD7+BD8+BD9)</f>
        <v>355</v>
      </c>
      <c r="BA7" s="186">
        <v>660</v>
      </c>
      <c r="BB7" s="457">
        <f>+AZ7/BA7</f>
        <v>0.53787878787878785</v>
      </c>
      <c r="BC7" s="797" t="s">
        <v>1110</v>
      </c>
      <c r="BD7" s="475">
        <v>22</v>
      </c>
      <c r="BE7" s="6">
        <v>165</v>
      </c>
      <c r="BF7" s="311">
        <f>+BD7/BE7</f>
        <v>0.13333333333333333</v>
      </c>
      <c r="BG7" s="1026" t="s">
        <v>1111</v>
      </c>
      <c r="BH7" s="186">
        <f>+AZ7+(BL7+BL8+BL9)</f>
        <v>505</v>
      </c>
      <c r="BI7" s="186">
        <v>660</v>
      </c>
      <c r="BJ7" s="457">
        <f>+BH7/BI7</f>
        <v>0.76515151515151514</v>
      </c>
      <c r="BK7" s="797" t="s">
        <v>1112</v>
      </c>
      <c r="BL7" s="475">
        <v>25</v>
      </c>
      <c r="BM7" s="6">
        <v>165</v>
      </c>
      <c r="BN7" s="311">
        <f>+BL7/BM7</f>
        <v>0.15151515151515152</v>
      </c>
      <c r="BO7" s="1026" t="s">
        <v>1113</v>
      </c>
      <c r="BP7" s="186">
        <f>+BH7+(BT7+BT8+BT9)</f>
        <v>577</v>
      </c>
      <c r="BQ7" s="186">
        <v>660</v>
      </c>
      <c r="BR7" s="457">
        <f>+BP7/BQ7</f>
        <v>0.87424242424242427</v>
      </c>
      <c r="BS7" s="797" t="s">
        <v>1114</v>
      </c>
      <c r="BT7" s="475">
        <v>13</v>
      </c>
      <c r="BU7" s="6">
        <v>165</v>
      </c>
      <c r="BV7" s="311">
        <f>+BT7/BU7</f>
        <v>7.8787878787878782E-2</v>
      </c>
      <c r="BW7" s="1026" t="s">
        <v>1115</v>
      </c>
      <c r="BX7" s="186">
        <f>+BP7+(CB7+CB8+CB9)</f>
        <v>813</v>
      </c>
      <c r="BY7" s="186">
        <v>1692</v>
      </c>
      <c r="BZ7" s="457">
        <f>+BX7/BY7</f>
        <v>0.48049645390070922</v>
      </c>
      <c r="CA7" s="797" t="s">
        <v>1116</v>
      </c>
      <c r="CB7" s="475">
        <v>23</v>
      </c>
      <c r="CC7" s="6">
        <v>165</v>
      </c>
      <c r="CD7" s="311">
        <f>+CB7/CC7</f>
        <v>0.1393939393939394</v>
      </c>
      <c r="CE7" s="1026" t="s">
        <v>1117</v>
      </c>
      <c r="CF7" s="186">
        <f>+BX7+(CJ7+CJ8+CJ9)</f>
        <v>1079</v>
      </c>
      <c r="CG7" s="186">
        <v>1692</v>
      </c>
      <c r="CH7" s="457">
        <f>+CF7/CG7</f>
        <v>0.63770685579196218</v>
      </c>
      <c r="CI7" s="797" t="s">
        <v>1118</v>
      </c>
      <c r="CJ7" s="475">
        <v>22</v>
      </c>
      <c r="CK7" s="6">
        <v>165</v>
      </c>
      <c r="CL7" s="311">
        <f>+CJ7/CK7</f>
        <v>0.13333333333333333</v>
      </c>
      <c r="CM7" s="1026" t="s">
        <v>1119</v>
      </c>
      <c r="CN7" s="186">
        <f>+CF7+(CR7+CR8+CR9)</f>
        <v>1671</v>
      </c>
      <c r="CO7" s="186">
        <v>1692</v>
      </c>
      <c r="CP7" s="457">
        <f>+CN7/CO7</f>
        <v>0.98758865248226946</v>
      </c>
      <c r="CQ7" s="797" t="s">
        <v>1120</v>
      </c>
      <c r="CR7" s="475">
        <v>28</v>
      </c>
      <c r="CS7" s="6">
        <v>165</v>
      </c>
      <c r="CT7" s="311">
        <f>+CR7/CS7</f>
        <v>0.16969696969696971</v>
      </c>
      <c r="CU7" s="1026" t="s">
        <v>1121</v>
      </c>
      <c r="CV7" s="4">
        <f>+BD7+AV7+AN7+AF7+BL7+BT7+CB7+CJ7+CR7</f>
        <v>202</v>
      </c>
      <c r="CW7" s="1027">
        <f>+CV7/CC7</f>
        <v>1.2242424242424241</v>
      </c>
      <c r="CX7" s="16"/>
      <c r="CY7" s="16"/>
      <c r="CZ7" s="16"/>
      <c r="DA7" s="16"/>
      <c r="DB7" s="16"/>
      <c r="DC7" s="16"/>
      <c r="DD7" s="16"/>
      <c r="DE7" s="16"/>
      <c r="DF7" s="16"/>
      <c r="DG7" s="16"/>
      <c r="DH7" s="16"/>
      <c r="DI7" s="16"/>
      <c r="DJ7" s="16"/>
      <c r="DK7" s="16"/>
      <c r="DL7" s="16"/>
      <c r="DM7" s="16"/>
      <c r="DN7" s="16"/>
      <c r="DO7" s="16"/>
      <c r="DP7" s="16"/>
      <c r="DQ7" s="16"/>
      <c r="DR7" s="16"/>
      <c r="DS7" s="16"/>
      <c r="DT7" s="16"/>
      <c r="DU7" s="16"/>
      <c r="DV7" s="16"/>
      <c r="DW7" s="16"/>
      <c r="DX7" s="16"/>
      <c r="DY7" s="16"/>
      <c r="DZ7" s="16"/>
      <c r="EA7" s="16"/>
      <c r="EB7" s="16"/>
      <c r="EC7" s="16"/>
      <c r="ED7" s="16"/>
      <c r="EE7" s="16"/>
      <c r="EF7" s="16"/>
      <c r="EG7" s="16"/>
      <c r="EH7" s="16"/>
      <c r="EI7" s="16"/>
      <c r="EJ7" s="16"/>
      <c r="EK7" s="16"/>
      <c r="EL7" s="16"/>
      <c r="EM7" s="16"/>
      <c r="EN7" s="16"/>
      <c r="EO7" s="16"/>
      <c r="EP7" s="16"/>
      <c r="EQ7" s="16"/>
      <c r="ER7" s="16"/>
      <c r="ES7" s="16"/>
      <c r="ET7" s="16"/>
      <c r="EU7" s="16"/>
      <c r="EV7" s="16"/>
      <c r="EW7" s="16"/>
      <c r="EX7" s="16"/>
      <c r="EY7" s="16"/>
      <c r="EZ7" s="16"/>
      <c r="FA7" s="16"/>
      <c r="FB7" s="16"/>
      <c r="FC7" s="16"/>
      <c r="FD7" s="16"/>
      <c r="FE7" s="16"/>
      <c r="FF7" s="16"/>
      <c r="FG7" s="16"/>
      <c r="FH7" s="16"/>
      <c r="FI7" s="16"/>
      <c r="FJ7" s="16"/>
      <c r="FK7" s="16"/>
      <c r="FL7" s="16"/>
      <c r="FM7" s="16"/>
      <c r="FN7" s="16"/>
      <c r="FO7" s="16"/>
      <c r="FP7" s="16"/>
      <c r="FQ7" s="16"/>
      <c r="FR7" s="16"/>
      <c r="FS7" s="16"/>
      <c r="FT7" s="16"/>
      <c r="FU7" s="16"/>
      <c r="FV7" s="16"/>
      <c r="FW7" s="16"/>
      <c r="FX7" s="16"/>
      <c r="FY7" s="16"/>
      <c r="FZ7" s="16"/>
      <c r="GA7" s="16"/>
      <c r="GB7" s="16"/>
      <c r="GC7" s="16"/>
      <c r="GD7" s="16"/>
      <c r="GE7" s="16"/>
      <c r="GF7" s="16"/>
      <c r="GG7" s="16"/>
      <c r="GH7" s="16"/>
      <c r="GI7" s="16"/>
      <c r="GJ7" s="16"/>
      <c r="GK7" s="16"/>
      <c r="GL7" s="16"/>
      <c r="GM7" s="16"/>
      <c r="GN7" s="16"/>
      <c r="GO7" s="16"/>
      <c r="GP7" s="16"/>
      <c r="GQ7" s="16"/>
      <c r="GR7" s="16"/>
      <c r="GS7" s="16"/>
      <c r="GT7" s="16"/>
      <c r="GU7" s="16"/>
      <c r="GV7" s="16"/>
      <c r="GW7" s="16"/>
      <c r="GX7" s="16"/>
      <c r="GY7" s="16"/>
      <c r="GZ7" s="16"/>
      <c r="HA7" s="16"/>
      <c r="HB7" s="16"/>
      <c r="HC7" s="16"/>
      <c r="HD7" s="16"/>
      <c r="HE7" s="16"/>
      <c r="HF7" s="16"/>
      <c r="HG7" s="16"/>
      <c r="HH7" s="16"/>
      <c r="HI7" s="16"/>
      <c r="HJ7" s="16"/>
      <c r="HK7" s="16"/>
      <c r="HL7" s="16"/>
      <c r="HM7" s="16"/>
      <c r="HN7" s="16"/>
      <c r="HO7" s="16"/>
      <c r="HP7" s="16"/>
      <c r="HQ7" s="16"/>
      <c r="HR7" s="16"/>
      <c r="HS7" s="16"/>
      <c r="HT7" s="16"/>
      <c r="HU7" s="16"/>
      <c r="HV7" s="16"/>
      <c r="HW7" s="16"/>
      <c r="HX7" s="16"/>
      <c r="HY7" s="16"/>
      <c r="HZ7" s="16"/>
      <c r="IA7" s="16"/>
      <c r="IB7" s="16"/>
      <c r="IC7" s="16"/>
      <c r="ID7" s="16"/>
      <c r="IE7" s="16"/>
      <c r="IF7" s="16"/>
      <c r="IG7" s="16"/>
      <c r="IH7" s="16"/>
      <c r="II7" s="16"/>
      <c r="IJ7" s="16"/>
      <c r="IK7" s="16"/>
      <c r="IL7" s="16"/>
      <c r="IM7" s="16"/>
      <c r="IN7" s="16"/>
      <c r="IO7" s="16"/>
      <c r="IP7" s="16"/>
      <c r="IQ7" s="16"/>
      <c r="IR7" s="16"/>
      <c r="IS7" s="16"/>
      <c r="IT7" s="16"/>
      <c r="IU7" s="16"/>
      <c r="IV7" s="16"/>
      <c r="IW7" s="16"/>
      <c r="IX7" s="16"/>
      <c r="IY7" s="16"/>
      <c r="IZ7" s="16"/>
      <c r="JA7" s="16"/>
      <c r="JB7" s="16"/>
      <c r="JC7" s="16"/>
      <c r="JD7" s="16"/>
      <c r="JE7" s="16"/>
      <c r="JF7" s="16"/>
      <c r="JG7" s="16"/>
      <c r="JH7" s="16"/>
      <c r="JI7" s="16"/>
      <c r="JJ7" s="16"/>
      <c r="JK7" s="16"/>
      <c r="JL7" s="16"/>
      <c r="JM7" s="16"/>
      <c r="JN7" s="16"/>
      <c r="JO7" s="16"/>
      <c r="JP7" s="16"/>
      <c r="JQ7" s="16"/>
      <c r="JR7" s="16"/>
      <c r="JS7" s="16"/>
      <c r="JT7" s="16"/>
      <c r="JU7" s="16"/>
      <c r="JV7" s="16"/>
      <c r="JW7" s="16"/>
      <c r="JX7" s="16"/>
      <c r="JY7" s="16"/>
      <c r="JZ7" s="16"/>
      <c r="KA7" s="16"/>
      <c r="KB7" s="16"/>
      <c r="KC7" s="16"/>
      <c r="KD7" s="16"/>
      <c r="KE7" s="16"/>
      <c r="KF7" s="16"/>
      <c r="KG7" s="16"/>
      <c r="KH7" s="16"/>
      <c r="KI7" s="16"/>
      <c r="KJ7" s="16"/>
      <c r="KK7" s="16"/>
      <c r="KL7" s="16"/>
      <c r="KM7" s="16"/>
      <c r="KN7" s="16"/>
      <c r="KO7" s="16"/>
      <c r="KP7" s="16"/>
      <c r="KQ7" s="16"/>
      <c r="KR7" s="16"/>
      <c r="KS7" s="16"/>
      <c r="KT7" s="16"/>
      <c r="KU7" s="16"/>
      <c r="KV7" s="16"/>
      <c r="KW7" s="16"/>
      <c r="KX7" s="16"/>
      <c r="KY7" s="16"/>
      <c r="KZ7" s="16"/>
      <c r="LA7" s="16"/>
      <c r="LB7" s="16"/>
      <c r="LC7" s="16"/>
      <c r="LD7" s="16"/>
      <c r="LE7" s="16"/>
      <c r="LF7" s="16"/>
      <c r="LG7" s="16"/>
      <c r="LH7" s="16"/>
      <c r="LI7" s="16"/>
      <c r="LJ7" s="16"/>
      <c r="LK7" s="16"/>
      <c r="LL7" s="16"/>
      <c r="LM7" s="16"/>
      <c r="LN7" s="16"/>
      <c r="LO7" s="16"/>
      <c r="LP7" s="16"/>
      <c r="LQ7" s="16"/>
      <c r="LR7" s="16"/>
      <c r="LS7" s="16"/>
      <c r="LT7" s="16"/>
      <c r="LU7" s="16"/>
      <c r="LV7" s="16"/>
      <c r="LW7" s="16"/>
      <c r="LX7" s="16"/>
      <c r="LY7" s="16"/>
      <c r="LZ7" s="16"/>
      <c r="MA7" s="16"/>
      <c r="MB7" s="16"/>
      <c r="MC7" s="16"/>
      <c r="MD7" s="16"/>
      <c r="ME7" s="16"/>
      <c r="MF7" s="16"/>
      <c r="MG7" s="16"/>
      <c r="MH7" s="16"/>
      <c r="MI7" s="16"/>
      <c r="MJ7" s="16"/>
      <c r="MK7" s="16"/>
      <c r="ML7" s="16"/>
      <c r="MM7" s="16"/>
      <c r="MN7" s="16"/>
      <c r="MO7" s="16"/>
      <c r="MP7" s="16"/>
      <c r="MQ7" s="16"/>
      <c r="MR7" s="16"/>
      <c r="MS7" s="16"/>
      <c r="MT7" s="16"/>
      <c r="MU7" s="16"/>
      <c r="MV7" s="16"/>
      <c r="MW7" s="16"/>
      <c r="MX7" s="16"/>
      <c r="MY7" s="16"/>
      <c r="MZ7" s="16"/>
      <c r="NA7" s="16"/>
      <c r="NB7" s="16"/>
      <c r="NC7" s="16"/>
      <c r="ND7" s="16"/>
      <c r="NE7" s="16"/>
      <c r="NF7" s="16"/>
      <c r="NG7" s="16"/>
      <c r="NH7" s="16"/>
      <c r="NI7" s="16"/>
      <c r="NJ7" s="16"/>
      <c r="NK7" s="16"/>
      <c r="NL7" s="16"/>
      <c r="NM7" s="16"/>
      <c r="NN7" s="16"/>
      <c r="NO7" s="16"/>
      <c r="NP7" s="16"/>
      <c r="NQ7" s="16"/>
      <c r="NR7" s="16"/>
      <c r="NS7" s="16"/>
      <c r="NT7" s="16"/>
      <c r="NU7" s="16"/>
      <c r="NV7" s="16"/>
      <c r="NW7" s="16"/>
      <c r="NX7" s="16"/>
      <c r="NY7" s="16"/>
      <c r="NZ7" s="16"/>
      <c r="OA7" s="16"/>
      <c r="OB7" s="16"/>
      <c r="OC7" s="16"/>
      <c r="OD7" s="16"/>
      <c r="OE7" s="16"/>
      <c r="OF7" s="16"/>
      <c r="OG7" s="16"/>
      <c r="OH7" s="16"/>
      <c r="OI7" s="16"/>
      <c r="OJ7" s="16"/>
      <c r="OK7" s="16"/>
      <c r="OL7" s="16"/>
      <c r="OM7" s="16"/>
      <c r="ON7" s="16"/>
      <c r="OO7" s="16"/>
      <c r="OP7" s="16"/>
      <c r="OQ7" s="16"/>
      <c r="OR7" s="16"/>
      <c r="OS7" s="16"/>
      <c r="OT7" s="16"/>
      <c r="OU7" s="16"/>
      <c r="OV7" s="16"/>
      <c r="OW7" s="16"/>
      <c r="OX7" s="16"/>
      <c r="OY7" s="16"/>
      <c r="OZ7" s="16"/>
      <c r="PA7" s="16"/>
      <c r="PB7" s="16"/>
      <c r="PC7" s="16"/>
      <c r="PD7" s="16"/>
      <c r="PE7" s="16"/>
      <c r="PF7" s="16"/>
      <c r="PG7" s="16"/>
      <c r="PH7" s="16"/>
      <c r="PI7" s="16"/>
      <c r="PJ7" s="16"/>
      <c r="PK7" s="16"/>
      <c r="PL7" s="16"/>
      <c r="PM7" s="16"/>
      <c r="PN7" s="16"/>
      <c r="PO7" s="16"/>
      <c r="PP7" s="16"/>
      <c r="PQ7" s="16"/>
      <c r="PR7" s="16"/>
      <c r="PS7" s="16"/>
      <c r="PT7" s="16"/>
      <c r="PU7" s="16"/>
      <c r="PV7" s="16"/>
      <c r="PW7" s="16"/>
      <c r="PX7" s="16"/>
      <c r="PY7" s="16"/>
      <c r="PZ7" s="16"/>
      <c r="QA7" s="16"/>
      <c r="QB7" s="16"/>
      <c r="QC7" s="16"/>
      <c r="QD7" s="16"/>
      <c r="QE7" s="16"/>
      <c r="QF7" s="16"/>
      <c r="QG7" s="16"/>
      <c r="QH7" s="16"/>
      <c r="QI7" s="16"/>
      <c r="QJ7" s="16"/>
      <c r="QK7" s="16"/>
      <c r="QL7" s="16"/>
      <c r="QM7" s="16"/>
      <c r="QN7" s="16"/>
      <c r="QO7" s="16"/>
      <c r="QP7" s="16"/>
      <c r="QQ7" s="16"/>
      <c r="QR7" s="16"/>
      <c r="QS7" s="16"/>
      <c r="QT7" s="16"/>
      <c r="QU7" s="16"/>
      <c r="QV7" s="16"/>
      <c r="QW7" s="16"/>
      <c r="QX7" s="16"/>
      <c r="QY7" s="16"/>
      <c r="QZ7" s="16"/>
      <c r="RA7" s="16"/>
      <c r="RB7" s="16"/>
      <c r="RC7" s="16"/>
      <c r="RD7" s="16"/>
      <c r="RE7" s="16"/>
      <c r="RF7" s="16"/>
      <c r="RG7" s="16"/>
      <c r="RH7" s="16"/>
      <c r="RI7" s="16"/>
      <c r="RJ7" s="16"/>
      <c r="RK7" s="16"/>
      <c r="RL7" s="16"/>
      <c r="RM7" s="16"/>
      <c r="RN7" s="16"/>
      <c r="RO7" s="16"/>
      <c r="RP7" s="16"/>
      <c r="RQ7" s="16"/>
      <c r="RR7" s="16"/>
      <c r="RS7" s="16"/>
      <c r="RT7" s="16"/>
      <c r="RU7" s="16"/>
      <c r="RV7" s="16"/>
      <c r="RW7" s="16"/>
      <c r="RX7" s="16"/>
      <c r="RY7" s="16"/>
      <c r="RZ7" s="16"/>
      <c r="SA7" s="16"/>
      <c r="SB7" s="16"/>
      <c r="SC7" s="16"/>
      <c r="SD7" s="16"/>
      <c r="SE7" s="16"/>
      <c r="SF7" s="16"/>
      <c r="SG7" s="16"/>
      <c r="SH7" s="16"/>
      <c r="SI7" s="16"/>
      <c r="SJ7" s="16"/>
      <c r="SK7" s="16"/>
      <c r="SL7" s="16"/>
      <c r="SM7" s="16"/>
      <c r="SN7" s="16"/>
      <c r="SO7" s="16"/>
      <c r="SP7" s="16"/>
      <c r="SQ7" s="16"/>
      <c r="SR7" s="16"/>
      <c r="SS7" s="16"/>
      <c r="ST7" s="16"/>
      <c r="SU7" s="16"/>
      <c r="SV7" s="16"/>
      <c r="SW7" s="16"/>
      <c r="SX7" s="16"/>
      <c r="SY7" s="16"/>
      <c r="SZ7" s="16"/>
      <c r="TA7" s="16"/>
      <c r="TB7" s="16"/>
      <c r="TC7" s="16"/>
      <c r="TD7" s="16"/>
      <c r="TE7" s="16"/>
      <c r="TF7" s="16"/>
      <c r="TG7" s="16"/>
      <c r="TH7" s="16"/>
      <c r="TI7" s="16"/>
      <c r="TJ7" s="16"/>
      <c r="TK7" s="16"/>
      <c r="TL7" s="16"/>
      <c r="TM7" s="16"/>
      <c r="TN7" s="16"/>
      <c r="TO7" s="16"/>
      <c r="TP7" s="16"/>
      <c r="TQ7" s="16"/>
      <c r="TR7" s="16"/>
      <c r="TS7" s="16"/>
      <c r="TT7" s="16"/>
      <c r="TU7" s="16"/>
      <c r="TV7" s="16"/>
      <c r="TW7" s="16"/>
      <c r="TX7" s="16"/>
      <c r="TY7" s="16"/>
      <c r="TZ7" s="16"/>
      <c r="UA7" s="16"/>
      <c r="UB7" s="16"/>
      <c r="UC7" s="16"/>
      <c r="UD7" s="16"/>
      <c r="UE7" s="16"/>
      <c r="UF7" s="16"/>
      <c r="UG7" s="16"/>
      <c r="UH7" s="16"/>
      <c r="UI7" s="16"/>
      <c r="UJ7" s="16"/>
      <c r="UK7" s="16"/>
      <c r="UL7" s="16"/>
      <c r="UM7" s="16"/>
      <c r="UN7" s="16"/>
      <c r="UO7" s="16"/>
      <c r="UP7" s="16"/>
      <c r="UQ7" s="16"/>
      <c r="UR7" s="16"/>
      <c r="US7" s="16"/>
      <c r="UT7" s="16"/>
      <c r="UU7" s="16"/>
      <c r="UV7" s="16"/>
      <c r="UW7" s="16"/>
      <c r="UX7" s="16"/>
      <c r="UY7" s="16"/>
      <c r="UZ7" s="16"/>
      <c r="VA7" s="16"/>
      <c r="VB7" s="16"/>
      <c r="VC7" s="16"/>
      <c r="VD7" s="16"/>
      <c r="VE7" s="16"/>
      <c r="VF7" s="16"/>
      <c r="VG7" s="16"/>
      <c r="VH7" s="16"/>
      <c r="VI7" s="16"/>
      <c r="VJ7" s="16"/>
      <c r="VK7" s="16"/>
      <c r="VL7" s="16"/>
      <c r="VM7" s="16"/>
      <c r="VN7" s="16"/>
      <c r="VO7" s="16"/>
      <c r="VP7" s="16"/>
      <c r="VQ7" s="16"/>
      <c r="VR7" s="16"/>
      <c r="VS7" s="16"/>
      <c r="VT7" s="16"/>
      <c r="VU7" s="16"/>
      <c r="VV7" s="16"/>
      <c r="VW7" s="16"/>
      <c r="VX7" s="16"/>
      <c r="VY7" s="16"/>
      <c r="VZ7" s="16"/>
      <c r="WA7" s="16"/>
      <c r="WB7" s="16"/>
      <c r="WC7" s="16"/>
      <c r="WD7" s="16"/>
      <c r="WE7" s="16"/>
      <c r="WF7" s="16"/>
      <c r="WG7" s="16"/>
      <c r="WH7" s="16"/>
      <c r="WI7" s="16"/>
      <c r="WJ7" s="16"/>
      <c r="WK7" s="16"/>
      <c r="WL7" s="16"/>
      <c r="WM7" s="16"/>
      <c r="WN7" s="16"/>
      <c r="WO7" s="16"/>
      <c r="WP7" s="16"/>
      <c r="WQ7" s="16"/>
      <c r="WR7" s="16"/>
      <c r="WS7" s="16"/>
      <c r="WT7" s="16"/>
      <c r="WU7" s="16"/>
      <c r="WV7" s="16"/>
      <c r="WW7" s="16"/>
      <c r="WX7" s="16"/>
      <c r="WY7" s="16"/>
      <c r="WZ7" s="16"/>
      <c r="XA7" s="16"/>
      <c r="XB7" s="16"/>
      <c r="XC7" s="16"/>
      <c r="XD7" s="16"/>
      <c r="XE7" s="16"/>
      <c r="XF7" s="16"/>
      <c r="XG7" s="16"/>
      <c r="XH7" s="16"/>
      <c r="XI7" s="16"/>
      <c r="XJ7" s="16"/>
      <c r="XK7" s="16"/>
      <c r="XL7" s="16"/>
      <c r="XM7" s="16"/>
      <c r="XN7" s="16"/>
      <c r="XO7" s="16"/>
      <c r="XP7" s="16"/>
      <c r="XQ7" s="16"/>
      <c r="XR7" s="16"/>
      <c r="XS7" s="16"/>
      <c r="XT7" s="16"/>
      <c r="XU7" s="16"/>
      <c r="XV7" s="16"/>
      <c r="XW7" s="16"/>
      <c r="XX7" s="16"/>
      <c r="XY7" s="16"/>
      <c r="XZ7" s="16"/>
      <c r="YA7" s="16"/>
      <c r="YB7" s="16"/>
      <c r="YC7" s="16"/>
      <c r="YD7" s="16"/>
      <c r="YE7" s="16"/>
      <c r="YF7" s="16"/>
      <c r="YG7" s="16"/>
      <c r="YH7" s="16"/>
      <c r="YI7" s="16"/>
      <c r="YJ7" s="16"/>
      <c r="YK7" s="16"/>
      <c r="YL7" s="16"/>
      <c r="YM7" s="16"/>
      <c r="YN7" s="16"/>
      <c r="YO7" s="16"/>
      <c r="YP7" s="16"/>
      <c r="YQ7" s="16"/>
      <c r="YR7" s="16"/>
      <c r="YS7" s="16"/>
      <c r="YT7" s="16"/>
      <c r="YU7" s="16"/>
      <c r="YV7" s="16"/>
      <c r="YW7" s="16"/>
      <c r="YX7" s="16"/>
      <c r="YY7" s="16"/>
      <c r="YZ7" s="16"/>
      <c r="ZA7" s="16"/>
      <c r="ZB7" s="16"/>
      <c r="ZC7" s="16"/>
      <c r="ZD7" s="16"/>
      <c r="ZE7" s="16"/>
      <c r="ZF7" s="16"/>
      <c r="ZG7" s="16"/>
      <c r="ZH7" s="16"/>
      <c r="ZI7" s="16"/>
      <c r="ZJ7" s="16"/>
      <c r="ZK7" s="16"/>
      <c r="ZL7" s="16"/>
      <c r="ZM7" s="16"/>
      <c r="ZN7" s="16"/>
      <c r="ZO7" s="16"/>
      <c r="ZP7" s="16"/>
      <c r="ZQ7" s="16"/>
      <c r="ZR7" s="16"/>
      <c r="ZS7" s="16"/>
      <c r="ZT7" s="16"/>
      <c r="ZU7" s="16"/>
      <c r="ZV7" s="16"/>
      <c r="ZW7" s="16"/>
      <c r="ZX7" s="16"/>
      <c r="ZY7" s="16"/>
      <c r="ZZ7" s="16"/>
      <c r="AAA7" s="16"/>
      <c r="AAB7" s="16"/>
      <c r="AAC7" s="16"/>
      <c r="AAD7" s="16"/>
      <c r="AAE7" s="16"/>
      <c r="AAF7" s="16"/>
      <c r="AAG7" s="16"/>
      <c r="AAH7" s="16"/>
      <c r="AAI7" s="16"/>
      <c r="AAJ7" s="16"/>
      <c r="AAK7" s="16"/>
      <c r="AAL7" s="16"/>
      <c r="AAM7" s="16"/>
      <c r="AAN7" s="16"/>
      <c r="AAO7" s="16"/>
      <c r="AAP7" s="16"/>
      <c r="AAQ7" s="16"/>
      <c r="AAR7" s="16"/>
      <c r="AAS7" s="16"/>
      <c r="AAT7" s="16"/>
      <c r="AAU7" s="16"/>
      <c r="AAV7" s="16"/>
      <c r="AAW7" s="16"/>
      <c r="AAX7" s="16"/>
      <c r="AAY7" s="16"/>
      <c r="AAZ7" s="16"/>
      <c r="ABA7" s="16"/>
      <c r="ABB7" s="16"/>
      <c r="ABC7" s="16"/>
      <c r="ABD7" s="16"/>
      <c r="ABE7" s="16"/>
      <c r="ABF7" s="16"/>
      <c r="ABG7" s="16"/>
      <c r="ABH7" s="16"/>
      <c r="ABI7" s="16"/>
      <c r="ABJ7" s="16"/>
      <c r="ABK7" s="16"/>
      <c r="ABL7" s="16"/>
      <c r="ABM7" s="16"/>
      <c r="ABN7" s="16"/>
      <c r="ABO7" s="16"/>
      <c r="ABP7" s="16"/>
      <c r="ABQ7" s="16"/>
      <c r="ABR7" s="16"/>
      <c r="ABS7" s="16"/>
      <c r="ABT7" s="16"/>
      <c r="ABU7" s="16"/>
      <c r="ABV7" s="16"/>
      <c r="ABW7" s="16"/>
      <c r="ABX7" s="16"/>
      <c r="ABY7" s="16"/>
      <c r="ABZ7" s="16"/>
      <c r="ACA7" s="16"/>
      <c r="ACB7" s="16"/>
      <c r="ACC7" s="16"/>
      <c r="ACD7" s="16"/>
      <c r="ACE7" s="16"/>
      <c r="ACF7" s="16"/>
      <c r="ACG7" s="16"/>
      <c r="ACH7" s="16"/>
      <c r="ACI7" s="16"/>
      <c r="ACJ7" s="16"/>
      <c r="ACK7" s="16"/>
      <c r="ACL7" s="16"/>
      <c r="ACM7" s="16"/>
      <c r="ACN7" s="16"/>
      <c r="ACO7" s="16"/>
      <c r="ACP7" s="16"/>
      <c r="ACQ7" s="16"/>
      <c r="ACR7" s="16"/>
      <c r="ACS7" s="16"/>
      <c r="ACT7" s="16"/>
      <c r="ACU7" s="16"/>
      <c r="ACV7" s="16"/>
      <c r="ACW7" s="16"/>
      <c r="ACX7" s="16"/>
      <c r="ACY7" s="16"/>
      <c r="ACZ7" s="16"/>
      <c r="ADA7" s="16"/>
      <c r="ADB7" s="16"/>
      <c r="ADC7" s="16"/>
      <c r="ADD7" s="16"/>
      <c r="ADE7" s="16"/>
      <c r="ADF7" s="16"/>
      <c r="ADG7" s="16"/>
      <c r="ADH7" s="16"/>
      <c r="ADI7" s="16"/>
      <c r="ADJ7" s="16"/>
      <c r="ADK7" s="16"/>
      <c r="ADL7" s="16"/>
      <c r="ADM7" s="16"/>
      <c r="ADN7" s="16"/>
      <c r="ADO7" s="16"/>
      <c r="ADP7" s="16"/>
      <c r="ADQ7" s="16"/>
      <c r="ADR7" s="16"/>
      <c r="ADS7" s="16"/>
      <c r="ADT7" s="16"/>
      <c r="ADU7" s="16"/>
      <c r="ADV7" s="16"/>
      <c r="ADW7" s="16"/>
      <c r="ADX7" s="16"/>
      <c r="ADY7" s="16"/>
      <c r="ADZ7" s="16"/>
      <c r="AEA7" s="16"/>
      <c r="AEB7" s="16"/>
      <c r="AEC7" s="16"/>
      <c r="AED7" s="16"/>
      <c r="AEE7" s="16"/>
      <c r="AEF7" s="16"/>
      <c r="AEG7" s="16"/>
      <c r="AEH7" s="16"/>
      <c r="AEI7" s="16"/>
      <c r="AEJ7" s="16"/>
      <c r="AEK7" s="16"/>
      <c r="AEL7" s="16"/>
      <c r="AEM7" s="16"/>
      <c r="AEN7" s="16"/>
      <c r="AEO7" s="16"/>
      <c r="AEP7" s="16"/>
      <c r="AEQ7" s="16"/>
      <c r="AER7" s="16"/>
      <c r="AES7" s="16"/>
      <c r="AET7" s="16"/>
      <c r="AEU7" s="16"/>
      <c r="AEV7" s="16"/>
      <c r="AEW7" s="16"/>
      <c r="AEX7" s="16"/>
      <c r="AEY7" s="16"/>
      <c r="AEZ7" s="16"/>
      <c r="AFA7" s="16"/>
      <c r="AFB7" s="16"/>
      <c r="AFC7" s="16"/>
      <c r="AFD7" s="16"/>
      <c r="AFE7" s="16"/>
      <c r="AFF7" s="16"/>
      <c r="AFG7" s="16"/>
      <c r="AFH7" s="16"/>
      <c r="AFI7" s="16"/>
      <c r="AFJ7" s="16"/>
      <c r="AFK7" s="16"/>
      <c r="AFL7" s="16"/>
      <c r="AFM7" s="16"/>
      <c r="AFN7" s="16"/>
      <c r="AFO7" s="16"/>
      <c r="AFP7" s="16"/>
      <c r="AFQ7" s="16"/>
      <c r="AFR7" s="16"/>
      <c r="AFS7" s="16"/>
      <c r="AFT7" s="16"/>
      <c r="AFU7" s="16"/>
      <c r="AFV7" s="16"/>
      <c r="AFW7" s="16"/>
      <c r="AFX7" s="16"/>
      <c r="AFY7" s="16"/>
      <c r="AFZ7" s="16"/>
      <c r="AGA7" s="16"/>
      <c r="AGB7" s="16"/>
      <c r="AGC7" s="16"/>
      <c r="AGD7" s="16"/>
      <c r="AGE7" s="16"/>
      <c r="AGF7" s="16"/>
      <c r="AGG7" s="16"/>
      <c r="AGH7" s="16"/>
      <c r="AGI7" s="16"/>
      <c r="AGJ7" s="16"/>
      <c r="AGK7" s="16"/>
      <c r="AGL7" s="16"/>
      <c r="AGM7" s="16"/>
      <c r="AGN7" s="16"/>
      <c r="AGO7" s="16"/>
      <c r="AGP7" s="16"/>
      <c r="AGQ7" s="16"/>
      <c r="AGR7" s="16"/>
      <c r="AGS7" s="16"/>
      <c r="AGT7" s="16"/>
      <c r="AGU7" s="16"/>
      <c r="AGV7" s="16"/>
      <c r="AGW7" s="16"/>
      <c r="AGX7" s="16"/>
      <c r="AGY7" s="16"/>
      <c r="AGZ7" s="16"/>
      <c r="AHA7" s="16"/>
      <c r="AHB7" s="16"/>
      <c r="AHC7" s="16"/>
      <c r="AHD7" s="16"/>
      <c r="AHE7" s="16"/>
      <c r="AHF7" s="16"/>
      <c r="AHG7" s="16"/>
      <c r="AHH7" s="16"/>
      <c r="AHI7" s="16"/>
      <c r="AHJ7" s="16"/>
      <c r="AHK7" s="16"/>
      <c r="AHL7" s="16"/>
      <c r="AHM7" s="16"/>
      <c r="AHN7" s="16"/>
      <c r="AHO7" s="16"/>
      <c r="AHP7" s="16"/>
      <c r="AHQ7" s="16"/>
      <c r="AHR7" s="16"/>
      <c r="AHS7" s="16"/>
      <c r="AHT7" s="16"/>
      <c r="AHU7" s="16"/>
      <c r="AHV7" s="16"/>
      <c r="AHW7" s="16"/>
      <c r="AHX7" s="16"/>
      <c r="AHY7" s="16"/>
      <c r="AHZ7" s="16"/>
      <c r="AIA7" s="16"/>
      <c r="AIB7" s="16"/>
      <c r="AIC7" s="16"/>
      <c r="AID7" s="16"/>
      <c r="AIE7" s="16"/>
      <c r="AIF7" s="16"/>
      <c r="AIG7" s="16"/>
      <c r="AIH7" s="16"/>
      <c r="AII7" s="16"/>
      <c r="AIJ7" s="16"/>
      <c r="AIK7" s="16"/>
      <c r="AIL7" s="16"/>
      <c r="AIM7" s="16"/>
      <c r="AIN7" s="16"/>
      <c r="AIO7" s="16"/>
      <c r="AIP7" s="16"/>
      <c r="AIQ7" s="16"/>
      <c r="AIR7" s="16"/>
      <c r="AIS7" s="16"/>
      <c r="AIT7" s="16"/>
      <c r="AIU7" s="16"/>
      <c r="AIV7" s="16"/>
      <c r="AIW7" s="16"/>
      <c r="AIX7" s="16"/>
      <c r="AIY7" s="16"/>
      <c r="AIZ7" s="16"/>
      <c r="AJA7" s="16"/>
      <c r="AJB7" s="16"/>
      <c r="AJC7" s="16"/>
      <c r="AJD7" s="16"/>
      <c r="AJE7" s="16"/>
      <c r="AJF7" s="16"/>
      <c r="AJG7" s="16"/>
      <c r="AJH7" s="16"/>
      <c r="AJI7" s="16"/>
      <c r="AJJ7" s="16"/>
      <c r="AJK7" s="16"/>
      <c r="AJL7" s="16"/>
      <c r="AJM7" s="16"/>
      <c r="AJN7" s="16"/>
      <c r="AJO7" s="16"/>
      <c r="AJP7" s="16"/>
      <c r="AJQ7" s="16"/>
      <c r="AJR7" s="16"/>
      <c r="AJS7" s="16"/>
      <c r="AJT7" s="16"/>
      <c r="AJU7" s="16"/>
      <c r="AJV7" s="16"/>
      <c r="AJW7" s="16"/>
      <c r="AJX7" s="16"/>
      <c r="AJY7" s="16"/>
      <c r="AJZ7" s="16"/>
      <c r="AKA7" s="16"/>
      <c r="AKB7" s="16"/>
      <c r="AKC7" s="16"/>
      <c r="AKD7" s="16"/>
      <c r="AKE7" s="16"/>
      <c r="AKF7" s="16"/>
      <c r="AKG7" s="16"/>
      <c r="AKH7" s="16"/>
      <c r="AKI7" s="16"/>
      <c r="AKJ7" s="16"/>
      <c r="AKK7" s="16"/>
      <c r="AKL7" s="16"/>
      <c r="AKM7" s="16"/>
      <c r="AKN7" s="16"/>
      <c r="AKO7" s="16"/>
      <c r="AKP7" s="16"/>
      <c r="AKQ7" s="16"/>
      <c r="AKR7" s="16"/>
      <c r="AKS7" s="16"/>
      <c r="AKT7" s="16"/>
      <c r="AKU7" s="16"/>
      <c r="AKV7" s="16"/>
      <c r="AKW7" s="16"/>
      <c r="AKX7" s="16"/>
      <c r="AKY7" s="16"/>
      <c r="AKZ7" s="16"/>
      <c r="ALA7" s="16"/>
      <c r="ALB7" s="16"/>
      <c r="ALC7" s="16"/>
      <c r="ALD7" s="16"/>
      <c r="ALE7" s="16"/>
      <c r="ALF7" s="16"/>
      <c r="ALG7" s="16"/>
      <c r="ALH7" s="16"/>
      <c r="ALI7" s="16"/>
      <c r="ALJ7" s="16"/>
      <c r="ALK7" s="16"/>
      <c r="ALL7" s="16"/>
      <c r="ALM7" s="16"/>
      <c r="ALN7" s="16"/>
      <c r="ALO7" s="16"/>
      <c r="ALP7" s="16"/>
      <c r="ALQ7" s="16"/>
      <c r="ALR7" s="16"/>
      <c r="ALS7" s="16"/>
      <c r="ALT7" s="16"/>
      <c r="ALU7" s="16"/>
      <c r="ALV7" s="16"/>
      <c r="ALW7" s="16"/>
      <c r="ALX7" s="16"/>
      <c r="ALY7" s="16"/>
      <c r="ALZ7" s="16"/>
      <c r="AMA7" s="16"/>
      <c r="AMB7" s="16"/>
      <c r="AMC7" s="16"/>
      <c r="AMD7" s="16"/>
      <c r="AME7" s="16"/>
      <c r="AMF7" s="16"/>
      <c r="AMG7" s="16"/>
      <c r="AMH7" s="16"/>
      <c r="AMI7" s="16"/>
      <c r="AMJ7" s="16"/>
      <c r="AMK7" s="16"/>
      <c r="AML7" s="16"/>
      <c r="AMM7" s="16"/>
      <c r="AMN7" s="16"/>
      <c r="AMO7" s="16"/>
      <c r="AMP7" s="16"/>
      <c r="AMQ7" s="16"/>
      <c r="AMR7" s="16"/>
      <c r="AMS7" s="16"/>
      <c r="AMT7" s="16"/>
      <c r="AMU7" s="16"/>
      <c r="AMV7" s="16"/>
      <c r="AMW7" s="16"/>
      <c r="AMX7" s="16"/>
      <c r="AMY7" s="16"/>
      <c r="AMZ7" s="16"/>
      <c r="ANA7" s="16"/>
      <c r="ANB7" s="16"/>
      <c r="ANC7" s="16"/>
      <c r="AND7" s="16"/>
      <c r="ANE7" s="16"/>
      <c r="ANF7" s="16"/>
      <c r="ANG7" s="16"/>
      <c r="ANH7" s="16"/>
      <c r="ANI7" s="16"/>
      <c r="ANJ7" s="16"/>
      <c r="ANK7" s="16"/>
      <c r="ANL7" s="16"/>
      <c r="ANM7" s="16"/>
      <c r="ANN7" s="16"/>
      <c r="ANO7" s="16"/>
      <c r="ANP7" s="16"/>
      <c r="ANQ7" s="16"/>
      <c r="ANR7" s="16"/>
      <c r="ANS7" s="16"/>
      <c r="ANT7" s="16"/>
      <c r="ANU7" s="16"/>
      <c r="ANV7" s="16"/>
      <c r="ANW7" s="16"/>
      <c r="ANX7" s="16"/>
      <c r="ANY7" s="16"/>
      <c r="ANZ7" s="16"/>
      <c r="AOA7" s="16"/>
      <c r="AOB7" s="16"/>
      <c r="AOC7" s="16"/>
      <c r="AOD7" s="16"/>
      <c r="AOE7" s="16"/>
      <c r="AOF7" s="16"/>
      <c r="AOG7" s="16"/>
      <c r="AOH7" s="16"/>
      <c r="AOI7" s="16"/>
      <c r="AOJ7" s="16"/>
      <c r="AOK7" s="16"/>
      <c r="AOL7" s="16"/>
      <c r="AOM7" s="16"/>
      <c r="AON7" s="16"/>
      <c r="AOO7" s="16"/>
      <c r="AOP7" s="16"/>
      <c r="AOQ7" s="16"/>
      <c r="AOR7" s="16"/>
      <c r="AOS7" s="16"/>
      <c r="AOT7" s="16"/>
      <c r="AOU7" s="16"/>
      <c r="AOV7" s="16"/>
      <c r="AOW7" s="16"/>
      <c r="AOX7" s="16"/>
      <c r="AOY7" s="16"/>
      <c r="AOZ7" s="16"/>
      <c r="APA7" s="16"/>
      <c r="APB7" s="16"/>
      <c r="APC7" s="16"/>
      <c r="APD7" s="16"/>
      <c r="APE7" s="16"/>
      <c r="APF7" s="16"/>
      <c r="APG7" s="16"/>
      <c r="APH7" s="16"/>
      <c r="API7" s="16"/>
      <c r="APJ7" s="16"/>
      <c r="APK7" s="16"/>
      <c r="APL7" s="16"/>
      <c r="APM7" s="16"/>
      <c r="APN7" s="16"/>
      <c r="APO7" s="16"/>
      <c r="APP7" s="16"/>
      <c r="APQ7" s="16"/>
      <c r="APR7" s="16"/>
      <c r="APS7" s="16"/>
      <c r="APT7" s="16"/>
      <c r="APU7" s="16"/>
      <c r="APV7" s="16"/>
      <c r="APW7" s="16"/>
      <c r="APX7" s="16"/>
      <c r="APY7" s="16"/>
      <c r="APZ7" s="16"/>
      <c r="AQA7" s="16"/>
      <c r="AQB7" s="16"/>
      <c r="AQC7" s="16"/>
      <c r="AQD7" s="16"/>
      <c r="AQE7" s="16"/>
      <c r="AQF7" s="16"/>
      <c r="AQG7" s="16"/>
      <c r="AQH7" s="16"/>
      <c r="AQI7" s="16"/>
      <c r="AQJ7" s="16"/>
      <c r="AQK7" s="16"/>
      <c r="AQL7" s="16"/>
      <c r="AQM7" s="16"/>
      <c r="AQN7" s="16"/>
      <c r="AQO7" s="16"/>
      <c r="AQP7" s="16"/>
      <c r="AQQ7" s="16"/>
      <c r="AQR7" s="16"/>
      <c r="AQS7" s="16"/>
      <c r="AQT7" s="16"/>
      <c r="AQU7" s="16"/>
      <c r="AQV7" s="16"/>
      <c r="AQW7" s="16"/>
      <c r="AQX7" s="16"/>
      <c r="AQY7" s="16"/>
      <c r="AQZ7" s="16"/>
      <c r="ARA7" s="16"/>
      <c r="ARB7" s="16"/>
      <c r="ARC7" s="16"/>
      <c r="ARD7" s="16"/>
      <c r="ARE7" s="16"/>
      <c r="ARF7" s="16"/>
      <c r="ARG7" s="16"/>
      <c r="ARH7" s="16"/>
      <c r="ARI7" s="16"/>
      <c r="ARJ7" s="16"/>
      <c r="ARK7" s="16"/>
      <c r="ARL7" s="16"/>
      <c r="ARM7" s="16"/>
      <c r="ARN7" s="16"/>
      <c r="ARO7" s="16"/>
      <c r="ARP7" s="16"/>
      <c r="ARQ7" s="16"/>
      <c r="ARR7" s="16"/>
      <c r="ARS7" s="16"/>
      <c r="ART7" s="16"/>
      <c r="ARU7" s="16"/>
      <c r="ARV7" s="16"/>
      <c r="ARW7" s="16"/>
      <c r="ARX7" s="16"/>
      <c r="ARY7" s="16"/>
      <c r="ARZ7" s="16"/>
      <c r="ASA7" s="16"/>
      <c r="ASB7" s="16"/>
      <c r="ASC7" s="16"/>
      <c r="ASD7" s="16"/>
      <c r="ASE7" s="16"/>
      <c r="ASF7" s="16"/>
      <c r="ASG7" s="16"/>
      <c r="ASH7" s="16"/>
      <c r="ASI7" s="16"/>
      <c r="ASJ7" s="16"/>
      <c r="ASK7" s="16"/>
      <c r="ASL7" s="16"/>
      <c r="ASM7" s="16"/>
      <c r="ASN7" s="16"/>
      <c r="ASO7" s="16"/>
      <c r="ASP7" s="16"/>
      <c r="ASQ7" s="16"/>
      <c r="ASR7" s="16"/>
      <c r="ASS7" s="16"/>
      <c r="AST7" s="16"/>
      <c r="ASU7" s="16"/>
      <c r="ASV7" s="16"/>
      <c r="ASW7" s="16"/>
      <c r="ASX7" s="16"/>
      <c r="ASY7" s="16"/>
      <c r="ASZ7" s="16"/>
      <c r="ATA7" s="16"/>
      <c r="ATB7" s="16"/>
      <c r="ATC7" s="16"/>
      <c r="ATD7" s="16"/>
      <c r="ATE7" s="16"/>
      <c r="ATF7" s="16"/>
      <c r="ATG7" s="16"/>
      <c r="ATH7" s="16"/>
      <c r="ATI7" s="16"/>
      <c r="ATJ7" s="16"/>
      <c r="ATK7" s="16"/>
      <c r="ATL7" s="16"/>
      <c r="ATM7" s="16"/>
      <c r="ATN7" s="16"/>
      <c r="ATO7" s="16"/>
      <c r="ATP7" s="16"/>
      <c r="ATQ7" s="16"/>
      <c r="ATR7" s="16"/>
      <c r="ATS7" s="16"/>
      <c r="ATT7" s="16"/>
      <c r="ATU7" s="16"/>
      <c r="ATV7" s="16"/>
      <c r="ATW7" s="16"/>
      <c r="ATX7" s="16"/>
      <c r="ATY7" s="16"/>
      <c r="ATZ7" s="16"/>
      <c r="AUA7" s="16"/>
      <c r="AUB7" s="16"/>
      <c r="AUC7" s="16"/>
      <c r="AUD7" s="16"/>
      <c r="AUE7" s="16"/>
      <c r="AUF7" s="16"/>
      <c r="AUG7" s="16"/>
      <c r="AUH7" s="16"/>
      <c r="AUI7" s="16"/>
      <c r="AUJ7" s="16"/>
      <c r="AUK7" s="16"/>
      <c r="AUL7" s="16"/>
      <c r="AUM7" s="16"/>
      <c r="AUN7" s="16"/>
      <c r="AUO7" s="16"/>
      <c r="AUP7" s="16"/>
      <c r="AUQ7" s="16"/>
      <c r="AUR7" s="16"/>
      <c r="AUS7" s="16"/>
      <c r="AUT7" s="16"/>
      <c r="AUU7" s="16"/>
      <c r="AUV7" s="16"/>
      <c r="AUW7" s="16"/>
      <c r="AUX7" s="16"/>
      <c r="AUY7" s="16"/>
      <c r="AUZ7" s="16"/>
      <c r="AVA7" s="16"/>
      <c r="AVB7" s="16"/>
      <c r="AVC7" s="16"/>
      <c r="AVD7" s="16"/>
      <c r="AVE7" s="16"/>
      <c r="AVF7" s="16"/>
      <c r="AVG7" s="16"/>
      <c r="AVH7" s="16"/>
      <c r="AVI7" s="16"/>
      <c r="AVJ7" s="16"/>
      <c r="AVK7" s="16"/>
      <c r="AVL7" s="16"/>
      <c r="AVM7" s="16"/>
      <c r="AVN7" s="16"/>
      <c r="AVO7" s="16"/>
      <c r="AVP7" s="16"/>
      <c r="AVQ7" s="16"/>
      <c r="AVR7" s="16"/>
      <c r="AVS7" s="16"/>
      <c r="AVT7" s="16"/>
      <c r="AVU7" s="16"/>
      <c r="AVV7" s="16"/>
      <c r="AVW7" s="16"/>
      <c r="AVX7" s="16"/>
      <c r="AVY7" s="16"/>
      <c r="AVZ7" s="16"/>
      <c r="AWA7" s="16"/>
      <c r="AWB7" s="16"/>
      <c r="AWC7" s="16"/>
      <c r="AWD7" s="16"/>
      <c r="AWE7" s="16"/>
      <c r="AWF7" s="16"/>
      <c r="AWG7" s="16"/>
      <c r="AWH7" s="16"/>
      <c r="AWI7" s="16"/>
      <c r="AWJ7" s="16"/>
      <c r="AWK7" s="16"/>
      <c r="AWL7" s="16"/>
      <c r="AWM7" s="16"/>
      <c r="AWN7" s="16"/>
      <c r="AWO7" s="16"/>
      <c r="AWP7" s="16"/>
      <c r="AWQ7" s="16"/>
      <c r="AWR7" s="16"/>
      <c r="AWS7" s="16"/>
      <c r="AWT7" s="16"/>
      <c r="AWU7" s="16"/>
      <c r="AWV7" s="16"/>
      <c r="AWW7" s="16"/>
      <c r="AWX7" s="16"/>
      <c r="AWY7" s="16"/>
      <c r="AWZ7" s="16"/>
      <c r="AXA7" s="16"/>
      <c r="AXB7" s="16"/>
      <c r="AXC7" s="16"/>
      <c r="AXD7" s="16"/>
      <c r="AXE7" s="16"/>
      <c r="AXF7" s="16"/>
      <c r="AXG7" s="16"/>
      <c r="AXH7" s="16"/>
      <c r="AXI7" s="16"/>
      <c r="AXJ7" s="16"/>
      <c r="AXK7" s="16"/>
      <c r="AXL7" s="16"/>
      <c r="AXM7" s="16"/>
      <c r="AXN7" s="16"/>
      <c r="AXO7" s="16"/>
      <c r="AXP7" s="16"/>
      <c r="AXQ7" s="16"/>
      <c r="AXR7" s="16"/>
      <c r="AXS7" s="16"/>
      <c r="AXT7" s="16"/>
      <c r="AXU7" s="16"/>
      <c r="AXV7" s="16"/>
      <c r="AXW7" s="16"/>
      <c r="AXX7" s="16"/>
      <c r="AXY7" s="16"/>
      <c r="AXZ7" s="16"/>
      <c r="AYA7" s="16"/>
      <c r="AYB7" s="16"/>
      <c r="AYC7" s="16"/>
      <c r="AYD7" s="16"/>
      <c r="AYE7" s="16"/>
      <c r="AYF7" s="16"/>
      <c r="AYG7" s="16"/>
      <c r="AYH7" s="16"/>
      <c r="AYI7" s="16"/>
      <c r="AYJ7" s="16"/>
      <c r="AYK7" s="16"/>
      <c r="AYL7" s="16"/>
      <c r="AYM7" s="16"/>
      <c r="AYN7" s="16"/>
      <c r="AYO7" s="16"/>
      <c r="AYP7" s="16"/>
      <c r="AYQ7" s="16"/>
      <c r="AYR7" s="16"/>
      <c r="AYS7" s="16"/>
      <c r="AYT7" s="16"/>
      <c r="AYU7" s="16"/>
      <c r="AYV7" s="16"/>
      <c r="AYW7" s="16"/>
      <c r="AYX7" s="16"/>
      <c r="AYY7" s="16"/>
      <c r="AYZ7" s="16"/>
      <c r="AZA7" s="16"/>
      <c r="AZB7" s="16"/>
      <c r="AZC7" s="16"/>
      <c r="AZD7" s="16"/>
      <c r="AZE7" s="16"/>
      <c r="AZF7" s="16"/>
      <c r="AZG7" s="16"/>
      <c r="AZH7" s="16"/>
      <c r="AZI7" s="16"/>
      <c r="AZJ7" s="16"/>
      <c r="AZK7" s="16"/>
      <c r="AZL7" s="16"/>
      <c r="AZM7" s="16"/>
      <c r="AZN7" s="16"/>
      <c r="AZO7" s="16"/>
      <c r="AZP7" s="16"/>
      <c r="AZQ7" s="16"/>
      <c r="AZR7" s="16"/>
      <c r="AZS7" s="16"/>
      <c r="AZT7" s="16"/>
      <c r="AZU7" s="16"/>
      <c r="AZV7" s="16"/>
      <c r="AZW7" s="16"/>
      <c r="AZX7" s="16"/>
      <c r="AZY7" s="16"/>
      <c r="AZZ7" s="16"/>
      <c r="BAA7" s="16"/>
      <c r="BAB7" s="16"/>
      <c r="BAC7" s="16"/>
      <c r="BAD7" s="16"/>
      <c r="BAE7" s="16"/>
      <c r="BAF7" s="16"/>
      <c r="BAG7" s="16"/>
      <c r="BAH7" s="16"/>
      <c r="BAI7" s="16"/>
      <c r="BAJ7" s="16"/>
      <c r="BAK7" s="16"/>
      <c r="BAL7" s="16"/>
      <c r="BAM7" s="16"/>
      <c r="BAN7" s="16"/>
      <c r="BAO7" s="16"/>
      <c r="BAP7" s="16"/>
      <c r="BAQ7" s="16"/>
      <c r="BAR7" s="16"/>
      <c r="BAS7" s="16"/>
      <c r="BAT7" s="16"/>
      <c r="BAU7" s="16"/>
      <c r="BAV7" s="16"/>
      <c r="BAW7" s="16"/>
      <c r="BAX7" s="16"/>
      <c r="BAY7" s="16"/>
      <c r="BAZ7" s="16"/>
      <c r="BBA7" s="16"/>
      <c r="BBB7" s="16"/>
      <c r="BBC7" s="16"/>
      <c r="BBD7" s="16"/>
      <c r="BBE7" s="16"/>
      <c r="BBF7" s="16"/>
      <c r="BBG7" s="16"/>
      <c r="BBH7" s="16"/>
      <c r="BBI7" s="16"/>
      <c r="BBJ7" s="16"/>
      <c r="BBK7" s="16"/>
      <c r="BBL7" s="16"/>
      <c r="BBM7" s="16"/>
      <c r="BBN7" s="16"/>
      <c r="BBO7" s="16"/>
      <c r="BBP7" s="16"/>
      <c r="BBQ7" s="16"/>
      <c r="BBR7" s="16"/>
      <c r="BBS7" s="16"/>
      <c r="BBT7" s="16"/>
      <c r="BBU7" s="16"/>
      <c r="BBV7" s="16"/>
      <c r="BBW7" s="16"/>
      <c r="BBX7" s="16"/>
      <c r="BBY7" s="16"/>
      <c r="BBZ7" s="16"/>
      <c r="BCA7" s="16"/>
      <c r="BCB7" s="16"/>
      <c r="BCC7" s="16"/>
      <c r="BCD7" s="16"/>
      <c r="BCE7" s="16"/>
      <c r="BCF7" s="16"/>
      <c r="BCG7" s="16"/>
      <c r="BCH7" s="16"/>
      <c r="BCI7" s="16"/>
      <c r="BCJ7" s="16"/>
      <c r="BCK7" s="16"/>
      <c r="BCL7" s="16"/>
      <c r="BCM7" s="16"/>
      <c r="BCN7" s="16"/>
      <c r="BCO7" s="16"/>
      <c r="BCP7" s="16"/>
      <c r="BCQ7" s="16"/>
      <c r="BCR7" s="16"/>
      <c r="BCS7" s="16"/>
      <c r="BCT7" s="16"/>
      <c r="BCU7" s="16"/>
      <c r="BCV7" s="16"/>
      <c r="BCW7" s="16"/>
      <c r="BCX7" s="16"/>
      <c r="BCY7" s="16"/>
      <c r="BCZ7" s="16"/>
      <c r="BDA7" s="16"/>
      <c r="BDB7" s="16"/>
      <c r="BDC7" s="16"/>
      <c r="BDD7" s="16"/>
      <c r="BDE7" s="16"/>
      <c r="BDF7" s="16"/>
      <c r="BDG7" s="16"/>
      <c r="BDH7" s="16"/>
      <c r="BDI7" s="16"/>
      <c r="BDJ7" s="16"/>
      <c r="BDK7" s="16"/>
      <c r="BDL7" s="16"/>
      <c r="BDM7" s="16"/>
      <c r="BDN7" s="16"/>
      <c r="BDO7" s="16"/>
      <c r="BDP7" s="16"/>
      <c r="BDQ7" s="16"/>
      <c r="BDR7" s="16"/>
      <c r="BDS7" s="16"/>
      <c r="BDT7" s="16"/>
      <c r="BDU7" s="16"/>
      <c r="BDV7" s="16"/>
      <c r="BDW7" s="16"/>
      <c r="BDX7" s="16"/>
      <c r="BDY7" s="16"/>
      <c r="BDZ7" s="16"/>
      <c r="BEA7" s="16"/>
      <c r="BEB7" s="16"/>
      <c r="BEC7" s="16"/>
      <c r="BED7" s="16"/>
      <c r="BEE7" s="16"/>
      <c r="BEF7" s="16"/>
      <c r="BEG7" s="16"/>
      <c r="BEH7" s="16"/>
      <c r="BEI7" s="16"/>
      <c r="BEJ7" s="16"/>
      <c r="BEK7" s="16"/>
      <c r="BEL7" s="16"/>
      <c r="BEM7" s="16"/>
      <c r="BEN7" s="16"/>
      <c r="BEO7" s="16"/>
      <c r="BEP7" s="16"/>
      <c r="BEQ7" s="16"/>
      <c r="BER7" s="16"/>
      <c r="BES7" s="16"/>
      <c r="BET7" s="16"/>
      <c r="BEU7" s="16"/>
      <c r="BEV7" s="16"/>
      <c r="BEW7" s="16"/>
      <c r="BEX7" s="16"/>
      <c r="BEY7" s="16"/>
      <c r="BEZ7" s="16"/>
      <c r="BFA7" s="16"/>
      <c r="BFB7" s="16"/>
      <c r="BFC7" s="16"/>
      <c r="BFD7" s="16"/>
      <c r="BFE7" s="16"/>
      <c r="BFF7" s="16"/>
      <c r="BFG7" s="16"/>
      <c r="BFH7" s="16"/>
      <c r="BFI7" s="16"/>
      <c r="BFJ7" s="16"/>
      <c r="BFK7" s="16"/>
      <c r="BFL7" s="16"/>
      <c r="BFM7" s="16"/>
      <c r="BFN7" s="16"/>
      <c r="BFO7" s="16"/>
      <c r="BFP7" s="16"/>
      <c r="BFQ7" s="16"/>
      <c r="BFR7" s="16"/>
      <c r="BFS7" s="16"/>
      <c r="BFT7" s="16"/>
      <c r="BFU7" s="16"/>
      <c r="BFV7" s="16"/>
      <c r="BFW7" s="16"/>
      <c r="BFX7" s="16"/>
      <c r="BFY7" s="16"/>
      <c r="BFZ7" s="16"/>
      <c r="BGA7" s="16"/>
      <c r="BGB7" s="16"/>
      <c r="BGC7" s="16"/>
      <c r="BGD7" s="16"/>
      <c r="BGE7" s="16"/>
      <c r="BGF7" s="16"/>
      <c r="BGG7" s="16"/>
      <c r="BGH7" s="16"/>
      <c r="BGI7" s="16"/>
      <c r="BGJ7" s="16"/>
      <c r="BGK7" s="16"/>
      <c r="BGL7" s="16"/>
      <c r="BGM7" s="16"/>
      <c r="BGN7" s="16"/>
      <c r="BGO7" s="16"/>
      <c r="BGP7" s="16"/>
      <c r="BGQ7" s="16"/>
      <c r="BGR7" s="16"/>
      <c r="BGS7" s="16"/>
      <c r="BGT7" s="16"/>
      <c r="BGU7" s="16"/>
      <c r="BGV7" s="16"/>
      <c r="BGW7" s="16"/>
      <c r="BGX7" s="16"/>
      <c r="BGY7" s="16"/>
      <c r="BGZ7" s="16"/>
      <c r="BHA7" s="16"/>
      <c r="BHB7" s="16"/>
      <c r="BHC7" s="16"/>
      <c r="BHD7" s="16"/>
      <c r="BHE7" s="16"/>
      <c r="BHF7" s="16"/>
      <c r="BHG7" s="16"/>
      <c r="BHH7" s="16"/>
      <c r="BHI7" s="16"/>
      <c r="BHJ7" s="16"/>
      <c r="BHK7" s="16"/>
      <c r="BHL7" s="16"/>
      <c r="BHM7" s="16"/>
      <c r="BHN7" s="16"/>
      <c r="BHO7" s="16"/>
      <c r="BHP7" s="16"/>
      <c r="BHQ7" s="16"/>
    </row>
    <row r="8" spans="1:1577" s="3" customFormat="1" ht="156" x14ac:dyDescent="0.25">
      <c r="A8" s="185"/>
      <c r="B8" s="185"/>
      <c r="C8" s="185"/>
      <c r="D8" s="187"/>
      <c r="E8" s="187"/>
      <c r="F8" s="185"/>
      <c r="G8" s="187"/>
      <c r="H8" s="185"/>
      <c r="I8" s="185"/>
      <c r="J8" s="306"/>
      <c r="K8" s="1028"/>
      <c r="L8" s="185"/>
      <c r="M8" s="185"/>
      <c r="N8" s="187"/>
      <c r="O8" s="185"/>
      <c r="P8" s="185"/>
      <c r="Q8" s="187"/>
      <c r="R8" s="187"/>
      <c r="S8" s="187"/>
      <c r="T8" s="8" t="s">
        <v>1122</v>
      </c>
      <c r="U8" s="330" t="s">
        <v>1123</v>
      </c>
      <c r="V8" s="6" t="s">
        <v>50</v>
      </c>
      <c r="W8" s="6">
        <v>0</v>
      </c>
      <c r="X8" s="6">
        <v>284</v>
      </c>
      <c r="Y8" s="1029"/>
      <c r="Z8" s="1029"/>
      <c r="AA8" s="185"/>
      <c r="AB8" s="187"/>
      <c r="AC8" s="185"/>
      <c r="AD8" s="909"/>
      <c r="AE8" s="1030"/>
      <c r="AF8" s="475">
        <v>23</v>
      </c>
      <c r="AG8" s="6">
        <v>284</v>
      </c>
      <c r="AH8" s="311">
        <f>+AF8/AG8</f>
        <v>8.098591549295775E-2</v>
      </c>
      <c r="AI8" s="1026" t="s">
        <v>1124</v>
      </c>
      <c r="AJ8" s="187"/>
      <c r="AK8" s="187"/>
      <c r="AL8" s="909"/>
      <c r="AM8" s="1030"/>
      <c r="AN8" s="475">
        <v>29</v>
      </c>
      <c r="AO8" s="6">
        <v>284</v>
      </c>
      <c r="AP8" s="311">
        <f>+AN8/AO8</f>
        <v>0.10211267605633803</v>
      </c>
      <c r="AQ8" s="1026" t="s">
        <v>1125</v>
      </c>
      <c r="AR8" s="187"/>
      <c r="AS8" s="187"/>
      <c r="AT8" s="909"/>
      <c r="AU8" s="1030"/>
      <c r="AV8" s="475">
        <v>23</v>
      </c>
      <c r="AW8" s="6">
        <v>284</v>
      </c>
      <c r="AX8" s="311">
        <f>+AV8/AW8</f>
        <v>8.098591549295775E-2</v>
      </c>
      <c r="AY8" s="1026" t="s">
        <v>1126</v>
      </c>
      <c r="AZ8" s="187"/>
      <c r="BA8" s="187"/>
      <c r="BB8" s="909"/>
      <c r="BC8" s="1030"/>
      <c r="BD8" s="475">
        <v>24</v>
      </c>
      <c r="BE8" s="6">
        <v>284</v>
      </c>
      <c r="BF8" s="311">
        <f>+BD8/BE8</f>
        <v>8.4507042253521125E-2</v>
      </c>
      <c r="BG8" s="1026" t="s">
        <v>1127</v>
      </c>
      <c r="BH8" s="187"/>
      <c r="BI8" s="187"/>
      <c r="BJ8" s="909"/>
      <c r="BK8" s="1030"/>
      <c r="BL8" s="475">
        <v>26</v>
      </c>
      <c r="BM8" s="6">
        <v>284</v>
      </c>
      <c r="BN8" s="311">
        <f>+BL8/BM8</f>
        <v>9.154929577464789E-2</v>
      </c>
      <c r="BO8" s="1026" t="s">
        <v>1128</v>
      </c>
      <c r="BP8" s="187"/>
      <c r="BQ8" s="187"/>
      <c r="BR8" s="909"/>
      <c r="BS8" s="1030"/>
      <c r="BT8" s="475">
        <v>22</v>
      </c>
      <c r="BU8" s="6">
        <v>284</v>
      </c>
      <c r="BV8" s="311">
        <f>+BT8/BU8</f>
        <v>7.746478873239436E-2</v>
      </c>
      <c r="BW8" s="1026" t="s">
        <v>1129</v>
      </c>
      <c r="BX8" s="187"/>
      <c r="BY8" s="187"/>
      <c r="BZ8" s="909"/>
      <c r="CA8" s="1030"/>
      <c r="CB8" s="475">
        <v>30</v>
      </c>
      <c r="CC8" s="6">
        <v>284</v>
      </c>
      <c r="CD8" s="311">
        <f>+CB8/CC8</f>
        <v>0.10563380281690141</v>
      </c>
      <c r="CE8" s="1026" t="s">
        <v>1130</v>
      </c>
      <c r="CF8" s="187"/>
      <c r="CG8" s="187"/>
      <c r="CH8" s="909"/>
      <c r="CI8" s="1030"/>
      <c r="CJ8" s="475">
        <v>27</v>
      </c>
      <c r="CK8" s="6">
        <v>284</v>
      </c>
      <c r="CL8" s="311">
        <f>+CJ8/CK8</f>
        <v>9.5070422535211266E-2</v>
      </c>
      <c r="CM8" s="1026" t="s">
        <v>1131</v>
      </c>
      <c r="CN8" s="187"/>
      <c r="CO8" s="187"/>
      <c r="CP8" s="909"/>
      <c r="CQ8" s="1030"/>
      <c r="CR8" s="475">
        <v>16</v>
      </c>
      <c r="CS8" s="6">
        <v>284</v>
      </c>
      <c r="CT8" s="311">
        <f>+CR8/CS8</f>
        <v>5.6338028169014086E-2</v>
      </c>
      <c r="CU8" s="1026" t="s">
        <v>1132</v>
      </c>
      <c r="CV8" s="4">
        <f>+BD8+AV8+AN8+AF8+BL8+BT8+CB8+CJ8+CR8</f>
        <v>220</v>
      </c>
      <c r="CW8" s="1027">
        <f t="shared" ref="CW8" si="0">+CV8/CC8</f>
        <v>0.77464788732394363</v>
      </c>
      <c r="CX8" s="273"/>
      <c r="CY8" s="273"/>
      <c r="CZ8" s="273"/>
      <c r="DA8" s="273"/>
      <c r="DB8" s="273"/>
      <c r="DC8" s="273"/>
      <c r="DD8" s="273"/>
      <c r="DE8" s="273"/>
      <c r="DF8" s="273"/>
      <c r="DG8" s="273"/>
      <c r="DH8" s="273"/>
      <c r="DI8" s="273"/>
      <c r="DJ8" s="273"/>
      <c r="DK8" s="273"/>
      <c r="DL8" s="273"/>
      <c r="DM8" s="273"/>
      <c r="DN8" s="273"/>
      <c r="DO8" s="273"/>
      <c r="DP8" s="273"/>
      <c r="DQ8" s="273"/>
      <c r="DR8" s="273"/>
      <c r="DS8" s="273"/>
      <c r="DT8" s="273"/>
      <c r="DU8" s="273"/>
      <c r="DV8" s="273"/>
      <c r="DW8" s="273"/>
      <c r="DX8" s="273"/>
      <c r="DY8" s="273"/>
      <c r="DZ8" s="273"/>
      <c r="EA8" s="273"/>
      <c r="EB8" s="273"/>
      <c r="EC8" s="273"/>
      <c r="ED8" s="273"/>
      <c r="EE8" s="273"/>
      <c r="EF8" s="273"/>
      <c r="EG8" s="273"/>
      <c r="EH8" s="273"/>
      <c r="EI8" s="273"/>
      <c r="EJ8" s="273"/>
      <c r="EK8" s="273"/>
      <c r="EL8" s="16"/>
      <c r="EM8" s="16"/>
      <c r="EN8" s="16"/>
      <c r="EO8" s="16"/>
      <c r="EP8" s="16"/>
      <c r="EQ8" s="16"/>
      <c r="ER8" s="16"/>
      <c r="ES8" s="16"/>
      <c r="ET8" s="16"/>
      <c r="EU8" s="16"/>
      <c r="EV8" s="16"/>
      <c r="EW8" s="16"/>
      <c r="EX8" s="16"/>
      <c r="EY8" s="16"/>
      <c r="EZ8" s="16"/>
      <c r="FA8" s="16"/>
      <c r="FB8" s="16"/>
      <c r="FC8" s="16"/>
      <c r="FD8" s="16"/>
      <c r="FE8" s="16"/>
      <c r="FF8" s="16"/>
      <c r="FG8" s="16"/>
      <c r="FH8" s="16"/>
      <c r="FI8" s="16"/>
      <c r="FJ8" s="16"/>
      <c r="FK8" s="16"/>
      <c r="FL8" s="16"/>
      <c r="FM8" s="16"/>
      <c r="FN8" s="16"/>
      <c r="FO8" s="16"/>
      <c r="FP8" s="16"/>
      <c r="FQ8" s="16"/>
      <c r="FR8" s="16"/>
      <c r="FS8" s="16"/>
      <c r="FT8" s="16"/>
      <c r="FU8" s="16"/>
      <c r="FV8" s="16"/>
      <c r="FW8" s="16"/>
      <c r="FX8" s="16"/>
      <c r="FY8" s="16"/>
      <c r="FZ8" s="16"/>
      <c r="GA8" s="16"/>
      <c r="GB8" s="16"/>
      <c r="GC8" s="16"/>
      <c r="GD8" s="16"/>
      <c r="GE8" s="16"/>
      <c r="GF8" s="16"/>
      <c r="GG8" s="16"/>
      <c r="GH8" s="16"/>
      <c r="GI8" s="16"/>
      <c r="GJ8" s="16"/>
      <c r="GK8" s="16"/>
      <c r="GL8" s="16"/>
      <c r="GM8" s="16"/>
      <c r="GN8" s="16"/>
      <c r="GO8" s="16"/>
      <c r="GP8" s="16"/>
      <c r="GQ8" s="16"/>
      <c r="GR8" s="16"/>
      <c r="GS8" s="16"/>
      <c r="GT8" s="16"/>
      <c r="GU8" s="16"/>
      <c r="GV8" s="16"/>
      <c r="GW8" s="16"/>
      <c r="GX8" s="16"/>
      <c r="GY8" s="16"/>
      <c r="GZ8" s="16"/>
      <c r="HA8" s="16"/>
      <c r="HB8" s="16"/>
      <c r="HC8" s="16"/>
      <c r="HD8" s="16"/>
      <c r="HE8" s="16"/>
      <c r="HF8" s="16"/>
      <c r="HG8" s="16"/>
      <c r="HH8" s="16"/>
      <c r="HI8" s="16"/>
      <c r="HJ8" s="16"/>
      <c r="HK8" s="16"/>
      <c r="HL8" s="16"/>
      <c r="HM8" s="16"/>
      <c r="HN8" s="16"/>
      <c r="HO8" s="16"/>
      <c r="HP8" s="16"/>
      <c r="HQ8" s="16"/>
      <c r="HR8" s="16"/>
      <c r="HS8" s="16"/>
      <c r="HT8" s="16"/>
      <c r="HU8" s="16"/>
      <c r="HV8" s="16"/>
      <c r="HW8" s="16"/>
      <c r="HX8" s="16"/>
      <c r="HY8" s="16"/>
      <c r="HZ8" s="16"/>
      <c r="IA8" s="16"/>
      <c r="IB8" s="16"/>
      <c r="IC8" s="16"/>
      <c r="ID8" s="16"/>
      <c r="IE8" s="16"/>
      <c r="IF8" s="16"/>
      <c r="IG8" s="16"/>
      <c r="IH8" s="16"/>
      <c r="II8" s="16"/>
      <c r="IJ8" s="16"/>
      <c r="IK8" s="16"/>
      <c r="IL8" s="16"/>
      <c r="IM8" s="16"/>
      <c r="IN8" s="16"/>
      <c r="IO8" s="16"/>
      <c r="IP8" s="16"/>
      <c r="IQ8" s="16"/>
      <c r="IR8" s="16"/>
      <c r="IS8" s="16"/>
      <c r="IT8" s="16"/>
      <c r="IU8" s="16"/>
      <c r="IV8" s="16"/>
      <c r="IW8" s="16"/>
      <c r="IX8" s="16"/>
      <c r="IY8" s="16"/>
      <c r="IZ8" s="16"/>
      <c r="JA8" s="16"/>
      <c r="JB8" s="16"/>
      <c r="JC8" s="16"/>
      <c r="JD8" s="16"/>
      <c r="JE8" s="16"/>
      <c r="JF8" s="16"/>
      <c r="JG8" s="16"/>
      <c r="JH8" s="16"/>
      <c r="JI8" s="16"/>
      <c r="JJ8" s="16"/>
      <c r="JK8" s="16"/>
      <c r="JL8" s="16"/>
      <c r="JM8" s="16"/>
      <c r="JN8" s="16"/>
      <c r="JO8" s="16"/>
      <c r="JP8" s="16"/>
      <c r="JQ8" s="16"/>
      <c r="JR8" s="16"/>
      <c r="JS8" s="16"/>
      <c r="JT8" s="16"/>
      <c r="JU8" s="16"/>
      <c r="JV8" s="16"/>
      <c r="JW8" s="16"/>
      <c r="JX8" s="16"/>
      <c r="JY8" s="16"/>
      <c r="JZ8" s="16"/>
      <c r="KA8" s="16"/>
      <c r="KB8" s="16"/>
      <c r="KC8" s="16"/>
      <c r="KD8" s="16"/>
      <c r="KE8" s="16"/>
      <c r="KF8" s="16"/>
      <c r="KG8" s="16"/>
      <c r="KH8" s="16"/>
      <c r="KI8" s="16"/>
      <c r="KJ8" s="16"/>
      <c r="KK8" s="16"/>
      <c r="KL8" s="16"/>
      <c r="KM8" s="16"/>
      <c r="KN8" s="16"/>
      <c r="KO8" s="16"/>
      <c r="KP8" s="16"/>
      <c r="KQ8" s="16"/>
      <c r="KR8" s="16"/>
      <c r="KS8" s="16"/>
      <c r="KT8" s="16"/>
      <c r="KU8" s="16"/>
      <c r="KV8" s="16"/>
      <c r="KW8" s="16"/>
      <c r="KX8" s="16"/>
      <c r="KY8" s="16"/>
      <c r="KZ8" s="16"/>
      <c r="LA8" s="16"/>
      <c r="LB8" s="16"/>
      <c r="LC8" s="16"/>
      <c r="LD8" s="16"/>
      <c r="LE8" s="16"/>
      <c r="LF8" s="16"/>
      <c r="LG8" s="16"/>
      <c r="LH8" s="16"/>
      <c r="LI8" s="16"/>
      <c r="LJ8" s="16"/>
      <c r="LK8" s="16"/>
      <c r="LL8" s="16"/>
      <c r="LM8" s="16"/>
      <c r="LN8" s="16"/>
      <c r="LO8" s="16"/>
      <c r="LP8" s="16"/>
      <c r="LQ8" s="16"/>
      <c r="LR8" s="16"/>
      <c r="LS8" s="16"/>
      <c r="LT8" s="16"/>
      <c r="LU8" s="16"/>
      <c r="LV8" s="16"/>
      <c r="LW8" s="16"/>
      <c r="LX8" s="16"/>
      <c r="LY8" s="16"/>
      <c r="LZ8" s="16"/>
      <c r="MA8" s="16"/>
      <c r="MB8" s="16"/>
      <c r="MC8" s="16"/>
      <c r="MD8" s="16"/>
      <c r="ME8" s="16"/>
      <c r="MF8" s="16"/>
      <c r="MG8" s="16"/>
      <c r="MH8" s="16"/>
      <c r="MI8" s="16"/>
      <c r="MJ8" s="16"/>
      <c r="MK8" s="16"/>
      <c r="ML8" s="16"/>
      <c r="MM8" s="16"/>
      <c r="MN8" s="16"/>
      <c r="MO8" s="16"/>
      <c r="MP8" s="16"/>
      <c r="MQ8" s="16"/>
      <c r="MR8" s="16"/>
      <c r="MS8" s="16"/>
      <c r="MT8" s="16"/>
      <c r="MU8" s="16"/>
      <c r="MV8" s="16"/>
      <c r="MW8" s="16"/>
      <c r="MX8" s="16"/>
      <c r="MY8" s="16"/>
      <c r="MZ8" s="16"/>
      <c r="NA8" s="16"/>
      <c r="NB8" s="16"/>
      <c r="NC8" s="16"/>
      <c r="ND8" s="16"/>
      <c r="NE8" s="16"/>
      <c r="NF8" s="16"/>
      <c r="NG8" s="16"/>
      <c r="NH8" s="16"/>
      <c r="NI8" s="16"/>
      <c r="NJ8" s="16"/>
      <c r="NK8" s="16"/>
      <c r="NL8" s="16"/>
      <c r="NM8" s="16"/>
      <c r="NN8" s="16"/>
      <c r="NO8" s="16"/>
      <c r="NP8" s="16"/>
      <c r="NQ8" s="16"/>
      <c r="NR8" s="16"/>
      <c r="NS8" s="16"/>
      <c r="NT8" s="16"/>
      <c r="NU8" s="16"/>
      <c r="NV8" s="16"/>
      <c r="NW8" s="16"/>
      <c r="NX8" s="16"/>
      <c r="NY8" s="16"/>
      <c r="NZ8" s="16"/>
      <c r="OA8" s="16"/>
      <c r="OB8" s="16"/>
      <c r="OC8" s="16"/>
      <c r="OD8" s="16"/>
      <c r="OE8" s="16"/>
      <c r="OF8" s="16"/>
      <c r="OG8" s="16"/>
      <c r="OH8" s="16"/>
      <c r="OI8" s="16"/>
      <c r="OJ8" s="16"/>
      <c r="OK8" s="16"/>
      <c r="OL8" s="16"/>
      <c r="OM8" s="16"/>
      <c r="ON8" s="16"/>
      <c r="OO8" s="16"/>
      <c r="OP8" s="16"/>
      <c r="OQ8" s="16"/>
      <c r="OR8" s="16"/>
      <c r="OS8" s="16"/>
      <c r="OT8" s="16"/>
      <c r="OU8" s="16"/>
      <c r="OV8" s="16"/>
      <c r="OW8" s="16"/>
      <c r="OX8" s="16"/>
      <c r="OY8" s="16"/>
      <c r="OZ8" s="16"/>
      <c r="PA8" s="16"/>
      <c r="PB8" s="16"/>
      <c r="PC8" s="16"/>
      <c r="PD8" s="16"/>
      <c r="PE8" s="16"/>
      <c r="PF8" s="16"/>
      <c r="PG8" s="16"/>
      <c r="PH8" s="16"/>
      <c r="PI8" s="16"/>
      <c r="PJ8" s="16"/>
      <c r="PK8" s="16"/>
      <c r="PL8" s="16"/>
      <c r="PM8" s="16"/>
      <c r="PN8" s="16"/>
      <c r="PO8" s="16"/>
      <c r="PP8" s="16"/>
      <c r="PQ8" s="16"/>
      <c r="PR8" s="16"/>
      <c r="PS8" s="16"/>
      <c r="PT8" s="16"/>
      <c r="PU8" s="16"/>
      <c r="PV8" s="16"/>
      <c r="PW8" s="16"/>
      <c r="PX8" s="16"/>
      <c r="PY8" s="16"/>
      <c r="PZ8" s="16"/>
      <c r="QA8" s="16"/>
      <c r="QB8" s="16"/>
      <c r="QC8" s="16"/>
      <c r="QD8" s="16"/>
      <c r="QE8" s="16"/>
      <c r="QF8" s="16"/>
      <c r="QG8" s="16"/>
      <c r="QH8" s="16"/>
      <c r="QI8" s="16"/>
      <c r="QJ8" s="16"/>
      <c r="QK8" s="16"/>
      <c r="QL8" s="16"/>
      <c r="QM8" s="16"/>
      <c r="QN8" s="16"/>
      <c r="QO8" s="16"/>
      <c r="QP8" s="16"/>
      <c r="QQ8" s="16"/>
      <c r="QR8" s="16"/>
      <c r="QS8" s="16"/>
      <c r="QT8" s="16"/>
      <c r="QU8" s="16"/>
      <c r="QV8" s="16"/>
      <c r="QW8" s="16"/>
      <c r="QX8" s="16"/>
      <c r="QY8" s="16"/>
      <c r="QZ8" s="16"/>
      <c r="RA8" s="16"/>
      <c r="RB8" s="16"/>
      <c r="RC8" s="16"/>
      <c r="RD8" s="16"/>
      <c r="RE8" s="16"/>
      <c r="RF8" s="16"/>
      <c r="RG8" s="16"/>
      <c r="RH8" s="16"/>
      <c r="RI8" s="16"/>
      <c r="RJ8" s="16"/>
      <c r="RK8" s="16"/>
      <c r="RL8" s="16"/>
      <c r="RM8" s="16"/>
      <c r="RN8" s="16"/>
      <c r="RO8" s="16"/>
      <c r="RP8" s="16"/>
      <c r="RQ8" s="16"/>
      <c r="RR8" s="16"/>
      <c r="RS8" s="16"/>
      <c r="RT8" s="16"/>
      <c r="RU8" s="16"/>
      <c r="RV8" s="16"/>
      <c r="RW8" s="16"/>
      <c r="RX8" s="16"/>
      <c r="RY8" s="16"/>
      <c r="RZ8" s="16"/>
      <c r="SA8" s="16"/>
      <c r="SB8" s="16"/>
      <c r="SC8" s="16"/>
      <c r="SD8" s="16"/>
      <c r="SE8" s="16"/>
      <c r="SF8" s="16"/>
      <c r="SG8" s="16"/>
      <c r="SH8" s="16"/>
      <c r="SI8" s="16"/>
      <c r="SJ8" s="16"/>
      <c r="SK8" s="16"/>
      <c r="SL8" s="16"/>
      <c r="SM8" s="16"/>
      <c r="SN8" s="16"/>
      <c r="SO8" s="16"/>
      <c r="SP8" s="16"/>
      <c r="SQ8" s="16"/>
      <c r="SR8" s="16"/>
      <c r="SS8" s="16"/>
      <c r="ST8" s="16"/>
      <c r="SU8" s="16"/>
      <c r="SV8" s="16"/>
      <c r="SW8" s="16"/>
      <c r="SX8" s="16"/>
      <c r="SY8" s="16"/>
      <c r="SZ8" s="16"/>
      <c r="TA8" s="16"/>
      <c r="TB8" s="16"/>
      <c r="TC8" s="16"/>
      <c r="TD8" s="16"/>
      <c r="TE8" s="16"/>
      <c r="TF8" s="16"/>
      <c r="TG8" s="16"/>
      <c r="TH8" s="16"/>
      <c r="TI8" s="16"/>
      <c r="TJ8" s="16"/>
      <c r="TK8" s="16"/>
      <c r="TL8" s="16"/>
      <c r="TM8" s="16"/>
      <c r="TN8" s="16"/>
      <c r="TO8" s="16"/>
      <c r="TP8" s="16"/>
      <c r="TQ8" s="16"/>
      <c r="TR8" s="16"/>
      <c r="TS8" s="16"/>
      <c r="TT8" s="16"/>
      <c r="TU8" s="16"/>
      <c r="TV8" s="16"/>
      <c r="TW8" s="16"/>
      <c r="TX8" s="16"/>
      <c r="TY8" s="16"/>
      <c r="TZ8" s="16"/>
      <c r="UA8" s="16"/>
      <c r="UB8" s="16"/>
      <c r="UC8" s="16"/>
      <c r="UD8" s="16"/>
      <c r="UE8" s="16"/>
      <c r="UF8" s="16"/>
      <c r="UG8" s="16"/>
      <c r="UH8" s="16"/>
      <c r="UI8" s="16"/>
      <c r="UJ8" s="16"/>
      <c r="UK8" s="16"/>
      <c r="UL8" s="16"/>
      <c r="UM8" s="16"/>
      <c r="UN8" s="16"/>
      <c r="UO8" s="16"/>
      <c r="UP8" s="16"/>
      <c r="UQ8" s="16"/>
      <c r="UR8" s="16"/>
      <c r="US8" s="16"/>
      <c r="UT8" s="16"/>
      <c r="UU8" s="16"/>
      <c r="UV8" s="16"/>
      <c r="UW8" s="16"/>
      <c r="UX8" s="16"/>
      <c r="UY8" s="16"/>
      <c r="UZ8" s="16"/>
      <c r="VA8" s="16"/>
      <c r="VB8" s="16"/>
      <c r="VC8" s="16"/>
      <c r="VD8" s="16"/>
      <c r="VE8" s="16"/>
      <c r="VF8" s="16"/>
      <c r="VG8" s="16"/>
      <c r="VH8" s="16"/>
      <c r="VI8" s="16"/>
      <c r="VJ8" s="16"/>
      <c r="VK8" s="16"/>
      <c r="VL8" s="16"/>
      <c r="VM8" s="16"/>
      <c r="VN8" s="16"/>
      <c r="VO8" s="16"/>
      <c r="VP8" s="16"/>
      <c r="VQ8" s="16"/>
      <c r="VR8" s="16"/>
      <c r="VS8" s="16"/>
      <c r="VT8" s="16"/>
      <c r="VU8" s="16"/>
      <c r="VV8" s="16"/>
      <c r="VW8" s="16"/>
      <c r="VX8" s="16"/>
      <c r="VY8" s="16"/>
      <c r="VZ8" s="16"/>
      <c r="WA8" s="16"/>
      <c r="WB8" s="16"/>
      <c r="WC8" s="16"/>
      <c r="WD8" s="16"/>
      <c r="WE8" s="16"/>
      <c r="WF8" s="16"/>
      <c r="WG8" s="16"/>
      <c r="WH8" s="16"/>
      <c r="WI8" s="16"/>
      <c r="WJ8" s="16"/>
      <c r="WK8" s="16"/>
      <c r="WL8" s="16"/>
      <c r="WM8" s="16"/>
      <c r="WN8" s="16"/>
      <c r="WO8" s="16"/>
      <c r="WP8" s="16"/>
      <c r="WQ8" s="16"/>
      <c r="WR8" s="16"/>
      <c r="WS8" s="16"/>
      <c r="WT8" s="16"/>
      <c r="WU8" s="16"/>
      <c r="WV8" s="16"/>
      <c r="WW8" s="16"/>
      <c r="WX8" s="16"/>
      <c r="WY8" s="16"/>
      <c r="WZ8" s="16"/>
      <c r="XA8" s="16"/>
      <c r="XB8" s="16"/>
      <c r="XC8" s="16"/>
      <c r="XD8" s="16"/>
      <c r="XE8" s="16"/>
      <c r="XF8" s="16"/>
      <c r="XG8" s="16"/>
      <c r="XH8" s="16"/>
      <c r="XI8" s="16"/>
      <c r="XJ8" s="16"/>
      <c r="XK8" s="16"/>
      <c r="XL8" s="16"/>
      <c r="XM8" s="16"/>
      <c r="XN8" s="16"/>
      <c r="XO8" s="16"/>
      <c r="XP8" s="16"/>
      <c r="XQ8" s="16"/>
      <c r="XR8" s="16"/>
      <c r="XS8" s="16"/>
      <c r="XT8" s="16"/>
      <c r="XU8" s="16"/>
      <c r="XV8" s="16"/>
      <c r="XW8" s="16"/>
      <c r="XX8" s="16"/>
      <c r="XY8" s="16"/>
      <c r="XZ8" s="16"/>
      <c r="YA8" s="16"/>
      <c r="YB8" s="16"/>
      <c r="YC8" s="16"/>
      <c r="YD8" s="16"/>
      <c r="YE8" s="16"/>
      <c r="YF8" s="16"/>
      <c r="YG8" s="16"/>
      <c r="YH8" s="16"/>
      <c r="YI8" s="16"/>
      <c r="YJ8" s="16"/>
      <c r="YK8" s="16"/>
      <c r="YL8" s="16"/>
      <c r="YM8" s="16"/>
      <c r="YN8" s="16"/>
      <c r="YO8" s="16"/>
      <c r="YP8" s="16"/>
      <c r="YQ8" s="16"/>
      <c r="YR8" s="16"/>
      <c r="YS8" s="16"/>
      <c r="YT8" s="16"/>
      <c r="YU8" s="16"/>
      <c r="YV8" s="16"/>
      <c r="YW8" s="16"/>
      <c r="YX8" s="16"/>
      <c r="YY8" s="16"/>
      <c r="YZ8" s="16"/>
      <c r="ZA8" s="16"/>
      <c r="ZB8" s="16"/>
      <c r="ZC8" s="16"/>
      <c r="ZD8" s="16"/>
      <c r="ZE8" s="16"/>
      <c r="ZF8" s="16"/>
      <c r="ZG8" s="16"/>
      <c r="ZH8" s="16"/>
      <c r="ZI8" s="16"/>
      <c r="ZJ8" s="16"/>
      <c r="ZK8" s="16"/>
      <c r="ZL8" s="16"/>
      <c r="ZM8" s="16"/>
      <c r="ZN8" s="16"/>
      <c r="ZO8" s="16"/>
      <c r="ZP8" s="16"/>
      <c r="ZQ8" s="16"/>
      <c r="ZR8" s="16"/>
      <c r="ZS8" s="16"/>
      <c r="ZT8" s="16"/>
      <c r="ZU8" s="16"/>
      <c r="ZV8" s="16"/>
      <c r="ZW8" s="16"/>
      <c r="ZX8" s="16"/>
      <c r="ZY8" s="16"/>
      <c r="ZZ8" s="16"/>
      <c r="AAA8" s="16"/>
      <c r="AAB8" s="16"/>
      <c r="AAC8" s="16"/>
      <c r="AAD8" s="16"/>
      <c r="AAE8" s="16"/>
      <c r="AAF8" s="16"/>
      <c r="AAG8" s="16"/>
      <c r="AAH8" s="16"/>
      <c r="AAI8" s="16"/>
      <c r="AAJ8" s="16"/>
      <c r="AAK8" s="16"/>
      <c r="AAL8" s="16"/>
      <c r="AAM8" s="16"/>
      <c r="AAN8" s="16"/>
      <c r="AAO8" s="16"/>
      <c r="AAP8" s="16"/>
      <c r="AAQ8" s="16"/>
      <c r="AAR8" s="16"/>
      <c r="AAS8" s="16"/>
      <c r="AAT8" s="16"/>
      <c r="AAU8" s="16"/>
      <c r="AAV8" s="16"/>
      <c r="AAW8" s="16"/>
      <c r="AAX8" s="16"/>
      <c r="AAY8" s="16"/>
      <c r="AAZ8" s="16"/>
      <c r="ABA8" s="16"/>
      <c r="ABB8" s="16"/>
      <c r="ABC8" s="16"/>
      <c r="ABD8" s="16"/>
      <c r="ABE8" s="16"/>
      <c r="ABF8" s="16"/>
      <c r="ABG8" s="16"/>
      <c r="ABH8" s="16"/>
      <c r="ABI8" s="16"/>
      <c r="ABJ8" s="16"/>
      <c r="ABK8" s="16"/>
      <c r="ABL8" s="16"/>
      <c r="ABM8" s="16"/>
      <c r="ABN8" s="16"/>
      <c r="ABO8" s="16"/>
      <c r="ABP8" s="16"/>
      <c r="ABQ8" s="16"/>
      <c r="ABR8" s="16"/>
      <c r="ABS8" s="16"/>
      <c r="ABT8" s="16"/>
      <c r="ABU8" s="16"/>
      <c r="ABV8" s="16"/>
      <c r="ABW8" s="16"/>
      <c r="ABX8" s="16"/>
      <c r="ABY8" s="16"/>
      <c r="ABZ8" s="16"/>
      <c r="ACA8" s="16"/>
      <c r="ACB8" s="16"/>
      <c r="ACC8" s="16"/>
      <c r="ACD8" s="16"/>
      <c r="ACE8" s="16"/>
      <c r="ACF8" s="16"/>
      <c r="ACG8" s="16"/>
      <c r="ACH8" s="16"/>
      <c r="ACI8" s="16"/>
      <c r="ACJ8" s="16"/>
      <c r="ACK8" s="16"/>
      <c r="ACL8" s="16"/>
      <c r="ACM8" s="16"/>
      <c r="ACN8" s="16"/>
      <c r="ACO8" s="16"/>
      <c r="ACP8" s="16"/>
      <c r="ACQ8" s="16"/>
      <c r="ACR8" s="16"/>
      <c r="ACS8" s="16"/>
      <c r="ACT8" s="16"/>
      <c r="ACU8" s="16"/>
      <c r="ACV8" s="16"/>
      <c r="ACW8" s="16"/>
      <c r="ACX8" s="16"/>
      <c r="ACY8" s="16"/>
      <c r="ACZ8" s="16"/>
      <c r="ADA8" s="16"/>
      <c r="ADB8" s="16"/>
      <c r="ADC8" s="16"/>
      <c r="ADD8" s="16"/>
      <c r="ADE8" s="16"/>
      <c r="ADF8" s="16"/>
      <c r="ADG8" s="16"/>
      <c r="ADH8" s="16"/>
      <c r="ADI8" s="16"/>
      <c r="ADJ8" s="16"/>
      <c r="ADK8" s="16"/>
      <c r="ADL8" s="16"/>
      <c r="ADM8" s="16"/>
      <c r="ADN8" s="16"/>
      <c r="ADO8" s="16"/>
      <c r="ADP8" s="16"/>
      <c r="ADQ8" s="16"/>
      <c r="ADR8" s="16"/>
      <c r="ADS8" s="16"/>
      <c r="ADT8" s="16"/>
      <c r="ADU8" s="16"/>
      <c r="ADV8" s="16"/>
      <c r="ADW8" s="16"/>
      <c r="ADX8" s="16"/>
      <c r="ADY8" s="16"/>
      <c r="ADZ8" s="16"/>
      <c r="AEA8" s="16"/>
      <c r="AEB8" s="16"/>
      <c r="AEC8" s="16"/>
      <c r="AED8" s="16"/>
      <c r="AEE8" s="16"/>
      <c r="AEF8" s="16"/>
      <c r="AEG8" s="16"/>
      <c r="AEH8" s="16"/>
      <c r="AEI8" s="16"/>
      <c r="AEJ8" s="16"/>
      <c r="AEK8" s="16"/>
      <c r="AEL8" s="16"/>
      <c r="AEM8" s="16"/>
      <c r="AEN8" s="16"/>
      <c r="AEO8" s="16"/>
      <c r="AEP8" s="16"/>
      <c r="AEQ8" s="16"/>
      <c r="AER8" s="16"/>
      <c r="AES8" s="16"/>
      <c r="AET8" s="16"/>
      <c r="AEU8" s="16"/>
      <c r="AEV8" s="16"/>
      <c r="AEW8" s="16"/>
      <c r="AEX8" s="16"/>
      <c r="AEY8" s="16"/>
      <c r="AEZ8" s="16"/>
      <c r="AFA8" s="16"/>
      <c r="AFB8" s="16"/>
      <c r="AFC8" s="16"/>
      <c r="AFD8" s="16"/>
      <c r="AFE8" s="16"/>
      <c r="AFF8" s="16"/>
      <c r="AFG8" s="16"/>
      <c r="AFH8" s="16"/>
      <c r="AFI8" s="16"/>
      <c r="AFJ8" s="16"/>
      <c r="AFK8" s="16"/>
      <c r="AFL8" s="16"/>
      <c r="AFM8" s="16"/>
      <c r="AFN8" s="16"/>
      <c r="AFO8" s="16"/>
      <c r="AFP8" s="16"/>
      <c r="AFQ8" s="16"/>
      <c r="AFR8" s="16"/>
      <c r="AFS8" s="16"/>
      <c r="AFT8" s="16"/>
      <c r="AFU8" s="16"/>
      <c r="AFV8" s="16"/>
      <c r="AFW8" s="16"/>
      <c r="AFX8" s="16"/>
      <c r="AFY8" s="16"/>
      <c r="AFZ8" s="16"/>
      <c r="AGA8" s="16"/>
      <c r="AGB8" s="16"/>
      <c r="AGC8" s="16"/>
      <c r="AGD8" s="16"/>
      <c r="AGE8" s="16"/>
      <c r="AGF8" s="16"/>
      <c r="AGG8" s="16"/>
      <c r="AGH8" s="16"/>
      <c r="AGI8" s="16"/>
      <c r="AGJ8" s="16"/>
      <c r="AGK8" s="16"/>
      <c r="AGL8" s="16"/>
      <c r="AGM8" s="16"/>
      <c r="AGN8" s="16"/>
      <c r="AGO8" s="16"/>
      <c r="AGP8" s="16"/>
      <c r="AGQ8" s="16"/>
      <c r="AGR8" s="16"/>
      <c r="AGS8" s="16"/>
      <c r="AGT8" s="16"/>
      <c r="AGU8" s="16"/>
      <c r="AGV8" s="16"/>
      <c r="AGW8" s="16"/>
      <c r="AGX8" s="16"/>
      <c r="AGY8" s="16"/>
      <c r="AGZ8" s="16"/>
      <c r="AHA8" s="16"/>
      <c r="AHB8" s="16"/>
      <c r="AHC8" s="16"/>
      <c r="AHD8" s="16"/>
      <c r="AHE8" s="16"/>
      <c r="AHF8" s="16"/>
      <c r="AHG8" s="16"/>
      <c r="AHH8" s="16"/>
      <c r="AHI8" s="16"/>
      <c r="AHJ8" s="16"/>
      <c r="AHK8" s="16"/>
      <c r="AHL8" s="16"/>
      <c r="AHM8" s="16"/>
      <c r="AHN8" s="16"/>
      <c r="AHO8" s="16"/>
      <c r="AHP8" s="16"/>
      <c r="AHQ8" s="16"/>
      <c r="AHR8" s="16"/>
      <c r="AHS8" s="16"/>
      <c r="AHT8" s="16"/>
      <c r="AHU8" s="16"/>
      <c r="AHV8" s="16"/>
      <c r="AHW8" s="16"/>
      <c r="AHX8" s="16"/>
      <c r="AHY8" s="16"/>
      <c r="AHZ8" s="16"/>
      <c r="AIA8" s="16"/>
      <c r="AIB8" s="16"/>
      <c r="AIC8" s="16"/>
      <c r="AID8" s="16"/>
      <c r="AIE8" s="16"/>
      <c r="AIF8" s="16"/>
      <c r="AIG8" s="16"/>
      <c r="AIH8" s="16"/>
      <c r="AII8" s="16"/>
      <c r="AIJ8" s="16"/>
      <c r="AIK8" s="16"/>
      <c r="AIL8" s="16"/>
      <c r="AIM8" s="16"/>
      <c r="AIN8" s="16"/>
      <c r="AIO8" s="16"/>
      <c r="AIP8" s="16"/>
      <c r="AIQ8" s="16"/>
      <c r="AIR8" s="16"/>
      <c r="AIS8" s="16"/>
      <c r="AIT8" s="16"/>
      <c r="AIU8" s="16"/>
      <c r="AIV8" s="16"/>
      <c r="AIW8" s="16"/>
      <c r="AIX8" s="16"/>
      <c r="AIY8" s="16"/>
      <c r="AIZ8" s="16"/>
      <c r="AJA8" s="16"/>
      <c r="AJB8" s="16"/>
      <c r="AJC8" s="16"/>
      <c r="AJD8" s="16"/>
      <c r="AJE8" s="16"/>
      <c r="AJF8" s="16"/>
      <c r="AJG8" s="16"/>
      <c r="AJH8" s="16"/>
      <c r="AJI8" s="16"/>
      <c r="AJJ8" s="16"/>
      <c r="AJK8" s="16"/>
      <c r="AJL8" s="16"/>
      <c r="AJM8" s="16"/>
      <c r="AJN8" s="16"/>
      <c r="AJO8" s="16"/>
      <c r="AJP8" s="16"/>
      <c r="AJQ8" s="16"/>
      <c r="AJR8" s="16"/>
      <c r="AJS8" s="16"/>
      <c r="AJT8" s="16"/>
      <c r="AJU8" s="16"/>
      <c r="AJV8" s="16"/>
      <c r="AJW8" s="16"/>
      <c r="AJX8" s="16"/>
      <c r="AJY8" s="16"/>
      <c r="AJZ8" s="16"/>
      <c r="AKA8" s="16"/>
      <c r="AKB8" s="16"/>
      <c r="AKC8" s="16"/>
      <c r="AKD8" s="16"/>
      <c r="AKE8" s="16"/>
      <c r="AKF8" s="16"/>
      <c r="AKG8" s="16"/>
      <c r="AKH8" s="16"/>
      <c r="AKI8" s="16"/>
      <c r="AKJ8" s="16"/>
      <c r="AKK8" s="16"/>
      <c r="AKL8" s="16"/>
      <c r="AKM8" s="16"/>
      <c r="AKN8" s="16"/>
      <c r="AKO8" s="16"/>
      <c r="AKP8" s="16"/>
      <c r="AKQ8" s="16"/>
      <c r="AKR8" s="16"/>
      <c r="AKS8" s="16"/>
      <c r="AKT8" s="16"/>
      <c r="AKU8" s="16"/>
      <c r="AKV8" s="16"/>
      <c r="AKW8" s="16"/>
      <c r="AKX8" s="16"/>
      <c r="AKY8" s="16"/>
      <c r="AKZ8" s="16"/>
      <c r="ALA8" s="16"/>
      <c r="ALB8" s="16"/>
      <c r="ALC8" s="16"/>
      <c r="ALD8" s="16"/>
      <c r="ALE8" s="16"/>
      <c r="ALF8" s="16"/>
      <c r="ALG8" s="16"/>
      <c r="ALH8" s="16"/>
      <c r="ALI8" s="16"/>
      <c r="ALJ8" s="16"/>
      <c r="ALK8" s="16"/>
      <c r="ALL8" s="16"/>
      <c r="ALM8" s="16"/>
      <c r="ALN8" s="16"/>
      <c r="ALO8" s="16"/>
      <c r="ALP8" s="16"/>
      <c r="ALQ8" s="16"/>
      <c r="ALR8" s="16"/>
      <c r="ALS8" s="16"/>
      <c r="ALT8" s="16"/>
      <c r="ALU8" s="16"/>
      <c r="ALV8" s="16"/>
      <c r="ALW8" s="16"/>
      <c r="ALX8" s="16"/>
      <c r="ALY8" s="16"/>
      <c r="ALZ8" s="16"/>
      <c r="AMA8" s="16"/>
      <c r="AMB8" s="16"/>
      <c r="AMC8" s="16"/>
      <c r="AMD8" s="16"/>
      <c r="AME8" s="16"/>
      <c r="AMF8" s="16"/>
      <c r="AMG8" s="16"/>
      <c r="AMH8" s="16"/>
      <c r="AMI8" s="16"/>
      <c r="AMJ8" s="16"/>
      <c r="AMK8" s="16"/>
      <c r="AML8" s="16"/>
      <c r="AMM8" s="16"/>
      <c r="AMN8" s="16"/>
      <c r="AMO8" s="16"/>
      <c r="AMP8" s="16"/>
      <c r="AMQ8" s="16"/>
      <c r="AMR8" s="16"/>
      <c r="AMS8" s="16"/>
      <c r="AMT8" s="16"/>
      <c r="AMU8" s="16"/>
      <c r="AMV8" s="16"/>
      <c r="AMW8" s="16"/>
      <c r="AMX8" s="16"/>
      <c r="AMY8" s="16"/>
      <c r="AMZ8" s="16"/>
      <c r="ANA8" s="16"/>
      <c r="ANB8" s="16"/>
      <c r="ANC8" s="16"/>
      <c r="AND8" s="16"/>
      <c r="ANE8" s="16"/>
      <c r="ANF8" s="16"/>
      <c r="ANG8" s="16"/>
      <c r="ANH8" s="16"/>
      <c r="ANI8" s="16"/>
      <c r="ANJ8" s="16"/>
      <c r="ANK8" s="16"/>
      <c r="ANL8" s="16"/>
      <c r="ANM8" s="16"/>
      <c r="ANN8" s="16"/>
      <c r="ANO8" s="16"/>
      <c r="ANP8" s="16"/>
      <c r="ANQ8" s="16"/>
      <c r="ANR8" s="16"/>
      <c r="ANS8" s="16"/>
      <c r="ANT8" s="16"/>
      <c r="ANU8" s="16"/>
      <c r="ANV8" s="16"/>
      <c r="ANW8" s="16"/>
      <c r="ANX8" s="16"/>
      <c r="ANY8" s="16"/>
      <c r="ANZ8" s="16"/>
      <c r="AOA8" s="16"/>
      <c r="AOB8" s="16"/>
      <c r="AOC8" s="16"/>
      <c r="AOD8" s="16"/>
      <c r="AOE8" s="16"/>
      <c r="AOF8" s="16"/>
      <c r="AOG8" s="16"/>
      <c r="AOH8" s="16"/>
      <c r="AOI8" s="16"/>
      <c r="AOJ8" s="16"/>
      <c r="AOK8" s="16"/>
      <c r="AOL8" s="16"/>
      <c r="AOM8" s="16"/>
      <c r="AON8" s="16"/>
      <c r="AOO8" s="16"/>
      <c r="AOP8" s="16"/>
      <c r="AOQ8" s="16"/>
      <c r="AOR8" s="16"/>
      <c r="AOS8" s="16"/>
      <c r="AOT8" s="16"/>
      <c r="AOU8" s="16"/>
      <c r="AOV8" s="16"/>
      <c r="AOW8" s="16"/>
      <c r="AOX8" s="16"/>
      <c r="AOY8" s="16"/>
      <c r="AOZ8" s="16"/>
      <c r="APA8" s="16"/>
      <c r="APB8" s="16"/>
      <c r="APC8" s="16"/>
      <c r="APD8" s="16"/>
      <c r="APE8" s="16"/>
      <c r="APF8" s="16"/>
      <c r="APG8" s="16"/>
      <c r="APH8" s="16"/>
      <c r="API8" s="16"/>
      <c r="APJ8" s="16"/>
      <c r="APK8" s="16"/>
      <c r="APL8" s="16"/>
      <c r="APM8" s="16"/>
      <c r="APN8" s="16"/>
      <c r="APO8" s="16"/>
      <c r="APP8" s="16"/>
      <c r="APQ8" s="16"/>
      <c r="APR8" s="16"/>
      <c r="APS8" s="16"/>
      <c r="APT8" s="16"/>
      <c r="APU8" s="16"/>
      <c r="APV8" s="16"/>
      <c r="APW8" s="16"/>
      <c r="APX8" s="16"/>
      <c r="APY8" s="16"/>
      <c r="APZ8" s="16"/>
      <c r="AQA8" s="16"/>
      <c r="AQB8" s="16"/>
      <c r="AQC8" s="16"/>
      <c r="AQD8" s="16"/>
      <c r="AQE8" s="16"/>
      <c r="AQF8" s="16"/>
      <c r="AQG8" s="16"/>
      <c r="AQH8" s="16"/>
      <c r="AQI8" s="16"/>
      <c r="AQJ8" s="16"/>
      <c r="AQK8" s="16"/>
      <c r="AQL8" s="16"/>
      <c r="AQM8" s="16"/>
      <c r="AQN8" s="16"/>
      <c r="AQO8" s="16"/>
      <c r="AQP8" s="16"/>
      <c r="AQQ8" s="16"/>
      <c r="AQR8" s="16"/>
      <c r="AQS8" s="16"/>
      <c r="AQT8" s="16"/>
      <c r="AQU8" s="16"/>
      <c r="AQV8" s="16"/>
      <c r="AQW8" s="16"/>
      <c r="AQX8" s="16"/>
      <c r="AQY8" s="16"/>
      <c r="AQZ8" s="16"/>
      <c r="ARA8" s="16"/>
      <c r="ARB8" s="16"/>
      <c r="ARC8" s="16"/>
      <c r="ARD8" s="16"/>
      <c r="ARE8" s="16"/>
      <c r="ARF8" s="16"/>
      <c r="ARG8" s="16"/>
      <c r="ARH8" s="16"/>
      <c r="ARI8" s="16"/>
      <c r="ARJ8" s="16"/>
      <c r="ARK8" s="16"/>
      <c r="ARL8" s="16"/>
      <c r="ARM8" s="16"/>
      <c r="ARN8" s="16"/>
      <c r="ARO8" s="16"/>
      <c r="ARP8" s="16"/>
      <c r="ARQ8" s="16"/>
      <c r="ARR8" s="16"/>
      <c r="ARS8" s="16"/>
      <c r="ART8" s="16"/>
      <c r="ARU8" s="16"/>
      <c r="ARV8" s="16"/>
      <c r="ARW8" s="16"/>
      <c r="ARX8" s="16"/>
      <c r="ARY8" s="16"/>
      <c r="ARZ8" s="16"/>
      <c r="ASA8" s="16"/>
      <c r="ASB8" s="16"/>
      <c r="ASC8" s="16"/>
      <c r="ASD8" s="16"/>
      <c r="ASE8" s="16"/>
      <c r="ASF8" s="16"/>
      <c r="ASG8" s="16"/>
      <c r="ASH8" s="16"/>
      <c r="ASI8" s="16"/>
      <c r="ASJ8" s="16"/>
      <c r="ASK8" s="16"/>
      <c r="ASL8" s="16"/>
      <c r="ASM8" s="16"/>
      <c r="ASN8" s="16"/>
      <c r="ASO8" s="16"/>
      <c r="ASP8" s="16"/>
      <c r="ASQ8" s="16"/>
      <c r="ASR8" s="16"/>
      <c r="ASS8" s="16"/>
      <c r="AST8" s="16"/>
      <c r="ASU8" s="16"/>
      <c r="ASV8" s="16"/>
      <c r="ASW8" s="16"/>
      <c r="ASX8" s="16"/>
      <c r="ASY8" s="16"/>
      <c r="ASZ8" s="16"/>
      <c r="ATA8" s="16"/>
      <c r="ATB8" s="16"/>
      <c r="ATC8" s="16"/>
      <c r="ATD8" s="16"/>
      <c r="ATE8" s="16"/>
      <c r="ATF8" s="16"/>
      <c r="ATG8" s="16"/>
      <c r="ATH8" s="16"/>
      <c r="ATI8" s="16"/>
      <c r="ATJ8" s="16"/>
      <c r="ATK8" s="16"/>
      <c r="ATL8" s="16"/>
      <c r="ATM8" s="16"/>
      <c r="ATN8" s="16"/>
      <c r="ATO8" s="16"/>
      <c r="ATP8" s="16"/>
      <c r="ATQ8" s="16"/>
      <c r="ATR8" s="16"/>
      <c r="ATS8" s="16"/>
      <c r="ATT8" s="16"/>
      <c r="ATU8" s="16"/>
      <c r="ATV8" s="16"/>
      <c r="ATW8" s="16"/>
      <c r="ATX8" s="16"/>
      <c r="ATY8" s="16"/>
      <c r="ATZ8" s="16"/>
      <c r="AUA8" s="16"/>
      <c r="AUB8" s="16"/>
      <c r="AUC8" s="16"/>
      <c r="AUD8" s="16"/>
      <c r="AUE8" s="16"/>
      <c r="AUF8" s="16"/>
      <c r="AUG8" s="16"/>
      <c r="AUH8" s="16"/>
      <c r="AUI8" s="16"/>
      <c r="AUJ8" s="16"/>
      <c r="AUK8" s="16"/>
      <c r="AUL8" s="16"/>
      <c r="AUM8" s="16"/>
      <c r="AUN8" s="16"/>
      <c r="AUO8" s="16"/>
      <c r="AUP8" s="16"/>
      <c r="AUQ8" s="16"/>
      <c r="AUR8" s="16"/>
      <c r="AUS8" s="16"/>
      <c r="AUT8" s="16"/>
      <c r="AUU8" s="16"/>
      <c r="AUV8" s="16"/>
      <c r="AUW8" s="16"/>
      <c r="AUX8" s="16"/>
      <c r="AUY8" s="16"/>
      <c r="AUZ8" s="16"/>
      <c r="AVA8" s="16"/>
      <c r="AVB8" s="16"/>
      <c r="AVC8" s="16"/>
      <c r="AVD8" s="16"/>
      <c r="AVE8" s="16"/>
      <c r="AVF8" s="16"/>
      <c r="AVG8" s="16"/>
      <c r="AVH8" s="16"/>
      <c r="AVI8" s="16"/>
      <c r="AVJ8" s="16"/>
      <c r="AVK8" s="16"/>
      <c r="AVL8" s="16"/>
      <c r="AVM8" s="16"/>
      <c r="AVN8" s="16"/>
      <c r="AVO8" s="16"/>
      <c r="AVP8" s="16"/>
      <c r="AVQ8" s="16"/>
      <c r="AVR8" s="16"/>
      <c r="AVS8" s="16"/>
      <c r="AVT8" s="16"/>
      <c r="AVU8" s="16"/>
      <c r="AVV8" s="16"/>
      <c r="AVW8" s="16"/>
      <c r="AVX8" s="16"/>
      <c r="AVY8" s="16"/>
      <c r="AVZ8" s="16"/>
      <c r="AWA8" s="16"/>
      <c r="AWB8" s="16"/>
      <c r="AWC8" s="16"/>
      <c r="AWD8" s="16"/>
      <c r="AWE8" s="16"/>
      <c r="AWF8" s="16"/>
      <c r="AWG8" s="16"/>
      <c r="AWH8" s="16"/>
      <c r="AWI8" s="16"/>
      <c r="AWJ8" s="16"/>
      <c r="AWK8" s="16"/>
      <c r="AWL8" s="16"/>
      <c r="AWM8" s="16"/>
      <c r="AWN8" s="16"/>
      <c r="AWO8" s="16"/>
      <c r="AWP8" s="16"/>
      <c r="AWQ8" s="16"/>
      <c r="AWR8" s="16"/>
      <c r="AWS8" s="16"/>
      <c r="AWT8" s="16"/>
      <c r="AWU8" s="16"/>
      <c r="AWV8" s="16"/>
      <c r="AWW8" s="16"/>
      <c r="AWX8" s="16"/>
      <c r="AWY8" s="16"/>
      <c r="AWZ8" s="16"/>
      <c r="AXA8" s="16"/>
      <c r="AXB8" s="16"/>
      <c r="AXC8" s="16"/>
      <c r="AXD8" s="16"/>
      <c r="AXE8" s="16"/>
      <c r="AXF8" s="16"/>
      <c r="AXG8" s="16"/>
      <c r="AXH8" s="16"/>
      <c r="AXI8" s="16"/>
      <c r="AXJ8" s="16"/>
      <c r="AXK8" s="16"/>
      <c r="AXL8" s="16"/>
      <c r="AXM8" s="16"/>
      <c r="AXN8" s="16"/>
      <c r="AXO8" s="16"/>
      <c r="AXP8" s="16"/>
      <c r="AXQ8" s="16"/>
      <c r="AXR8" s="16"/>
      <c r="AXS8" s="16"/>
      <c r="AXT8" s="16"/>
      <c r="AXU8" s="16"/>
      <c r="AXV8" s="16"/>
      <c r="AXW8" s="16"/>
      <c r="AXX8" s="16"/>
      <c r="AXY8" s="16"/>
      <c r="AXZ8" s="16"/>
      <c r="AYA8" s="16"/>
      <c r="AYB8" s="16"/>
      <c r="AYC8" s="16"/>
      <c r="AYD8" s="16"/>
      <c r="AYE8" s="16"/>
      <c r="AYF8" s="16"/>
      <c r="AYG8" s="16"/>
      <c r="AYH8" s="16"/>
      <c r="AYI8" s="16"/>
      <c r="AYJ8" s="16"/>
      <c r="AYK8" s="16"/>
      <c r="AYL8" s="16"/>
      <c r="AYM8" s="16"/>
      <c r="AYN8" s="16"/>
      <c r="AYO8" s="16"/>
      <c r="AYP8" s="16"/>
      <c r="AYQ8" s="16"/>
      <c r="AYR8" s="16"/>
      <c r="AYS8" s="16"/>
      <c r="AYT8" s="16"/>
      <c r="AYU8" s="16"/>
      <c r="AYV8" s="16"/>
      <c r="AYW8" s="16"/>
      <c r="AYX8" s="16"/>
      <c r="AYY8" s="16"/>
      <c r="AYZ8" s="16"/>
      <c r="AZA8" s="16"/>
      <c r="AZB8" s="16"/>
      <c r="AZC8" s="16"/>
      <c r="AZD8" s="16"/>
      <c r="AZE8" s="16"/>
      <c r="AZF8" s="16"/>
      <c r="AZG8" s="16"/>
      <c r="AZH8" s="16"/>
      <c r="AZI8" s="16"/>
      <c r="AZJ8" s="16"/>
      <c r="AZK8" s="16"/>
      <c r="AZL8" s="16"/>
      <c r="AZM8" s="16"/>
      <c r="AZN8" s="16"/>
      <c r="AZO8" s="16"/>
      <c r="AZP8" s="16"/>
      <c r="AZQ8" s="16"/>
      <c r="AZR8" s="16"/>
      <c r="AZS8" s="16"/>
      <c r="AZT8" s="16"/>
      <c r="AZU8" s="16"/>
      <c r="AZV8" s="16"/>
      <c r="AZW8" s="16"/>
      <c r="AZX8" s="16"/>
      <c r="AZY8" s="16"/>
      <c r="AZZ8" s="16"/>
      <c r="BAA8" s="16"/>
      <c r="BAB8" s="16"/>
      <c r="BAC8" s="16"/>
      <c r="BAD8" s="16"/>
      <c r="BAE8" s="16"/>
      <c r="BAF8" s="16"/>
      <c r="BAG8" s="16"/>
      <c r="BAH8" s="16"/>
      <c r="BAI8" s="16"/>
      <c r="BAJ8" s="16"/>
      <c r="BAK8" s="16"/>
      <c r="BAL8" s="16"/>
      <c r="BAM8" s="16"/>
      <c r="BAN8" s="16"/>
      <c r="BAO8" s="16"/>
      <c r="BAP8" s="16"/>
      <c r="BAQ8" s="16"/>
      <c r="BAR8" s="16"/>
      <c r="BAS8" s="16"/>
      <c r="BAT8" s="16"/>
      <c r="BAU8" s="16"/>
      <c r="BAV8" s="16"/>
      <c r="BAW8" s="16"/>
      <c r="BAX8" s="16"/>
      <c r="BAY8" s="16"/>
      <c r="BAZ8" s="16"/>
      <c r="BBA8" s="16"/>
      <c r="BBB8" s="16"/>
      <c r="BBC8" s="16"/>
      <c r="BBD8" s="16"/>
      <c r="BBE8" s="16"/>
      <c r="BBF8" s="16"/>
      <c r="BBG8" s="16"/>
      <c r="BBH8" s="16"/>
      <c r="BBI8" s="16"/>
      <c r="BBJ8" s="16"/>
      <c r="BBK8" s="16"/>
      <c r="BBL8" s="16"/>
      <c r="BBM8" s="16"/>
      <c r="BBN8" s="16"/>
      <c r="BBO8" s="16"/>
      <c r="BBP8" s="16"/>
      <c r="BBQ8" s="16"/>
      <c r="BBR8" s="16"/>
      <c r="BBS8" s="16"/>
      <c r="BBT8" s="16"/>
      <c r="BBU8" s="16"/>
      <c r="BBV8" s="16"/>
      <c r="BBW8" s="16"/>
      <c r="BBX8" s="16"/>
      <c r="BBY8" s="16"/>
      <c r="BBZ8" s="16"/>
      <c r="BCA8" s="16"/>
      <c r="BCB8" s="16"/>
      <c r="BCC8" s="16"/>
      <c r="BCD8" s="16"/>
      <c r="BCE8" s="16"/>
      <c r="BCF8" s="16"/>
      <c r="BCG8" s="16"/>
      <c r="BCH8" s="16"/>
      <c r="BCI8" s="16"/>
      <c r="BCJ8" s="16"/>
      <c r="BCK8" s="16"/>
      <c r="BCL8" s="16"/>
      <c r="BCM8" s="16"/>
      <c r="BCN8" s="16"/>
      <c r="BCO8" s="16"/>
      <c r="BCP8" s="16"/>
      <c r="BCQ8" s="16"/>
      <c r="BCR8" s="16"/>
      <c r="BCS8" s="16"/>
      <c r="BCT8" s="16"/>
      <c r="BCU8" s="16"/>
      <c r="BCV8" s="16"/>
      <c r="BCW8" s="16"/>
      <c r="BCX8" s="16"/>
      <c r="BCY8" s="16"/>
      <c r="BCZ8" s="16"/>
      <c r="BDA8" s="16"/>
      <c r="BDB8" s="16"/>
      <c r="BDC8" s="16"/>
      <c r="BDD8" s="16"/>
      <c r="BDE8" s="16"/>
      <c r="BDF8" s="16"/>
      <c r="BDG8" s="16"/>
      <c r="BDH8" s="16"/>
      <c r="BDI8" s="16"/>
      <c r="BDJ8" s="16"/>
      <c r="BDK8" s="16"/>
      <c r="BDL8" s="16"/>
      <c r="BDM8" s="16"/>
      <c r="BDN8" s="16"/>
      <c r="BDO8" s="16"/>
      <c r="BDP8" s="16"/>
      <c r="BDQ8" s="16"/>
      <c r="BDR8" s="16"/>
      <c r="BDS8" s="16"/>
      <c r="BDT8" s="16"/>
      <c r="BDU8" s="16"/>
      <c r="BDV8" s="16"/>
      <c r="BDW8" s="16"/>
      <c r="BDX8" s="16"/>
      <c r="BDY8" s="16"/>
      <c r="BDZ8" s="16"/>
      <c r="BEA8" s="16"/>
      <c r="BEB8" s="16"/>
      <c r="BEC8" s="16"/>
      <c r="BED8" s="16"/>
      <c r="BEE8" s="16"/>
      <c r="BEF8" s="16"/>
      <c r="BEG8" s="16"/>
      <c r="BEH8" s="16"/>
      <c r="BEI8" s="16"/>
      <c r="BEJ8" s="16"/>
      <c r="BEK8" s="16"/>
      <c r="BEL8" s="16"/>
      <c r="BEM8" s="16"/>
      <c r="BEN8" s="16"/>
      <c r="BEO8" s="16"/>
      <c r="BEP8" s="16"/>
      <c r="BEQ8" s="16"/>
      <c r="BER8" s="16"/>
      <c r="BES8" s="16"/>
      <c r="BET8" s="16"/>
      <c r="BEU8" s="16"/>
      <c r="BEV8" s="16"/>
      <c r="BEW8" s="16"/>
      <c r="BEX8" s="16"/>
      <c r="BEY8" s="16"/>
      <c r="BEZ8" s="16"/>
      <c r="BFA8" s="16"/>
      <c r="BFB8" s="16"/>
      <c r="BFC8" s="16"/>
      <c r="BFD8" s="16"/>
      <c r="BFE8" s="16"/>
      <c r="BFF8" s="16"/>
      <c r="BFG8" s="16"/>
      <c r="BFH8" s="16"/>
      <c r="BFI8" s="16"/>
      <c r="BFJ8" s="16"/>
      <c r="BFK8" s="16"/>
      <c r="BFL8" s="16"/>
      <c r="BFM8" s="16"/>
      <c r="BFN8" s="16"/>
      <c r="BFO8" s="16"/>
      <c r="BFP8" s="16"/>
      <c r="BFQ8" s="16"/>
      <c r="BFR8" s="16"/>
      <c r="BFS8" s="16"/>
      <c r="BFT8" s="16"/>
      <c r="BFU8" s="16"/>
      <c r="BFV8" s="16"/>
      <c r="BFW8" s="16"/>
      <c r="BFX8" s="16"/>
      <c r="BFY8" s="16"/>
      <c r="BFZ8" s="16"/>
      <c r="BGA8" s="16"/>
      <c r="BGB8" s="16"/>
      <c r="BGC8" s="16"/>
      <c r="BGD8" s="16"/>
      <c r="BGE8" s="16"/>
      <c r="BGF8" s="16"/>
      <c r="BGG8" s="16"/>
      <c r="BGH8" s="16"/>
      <c r="BGI8" s="16"/>
      <c r="BGJ8" s="16"/>
      <c r="BGK8" s="16"/>
      <c r="BGL8" s="16"/>
      <c r="BGM8" s="16"/>
      <c r="BGN8" s="16"/>
      <c r="BGO8" s="16"/>
      <c r="BGP8" s="16"/>
      <c r="BGQ8" s="16"/>
      <c r="BGR8" s="16"/>
      <c r="BGS8" s="16"/>
      <c r="BGT8" s="16"/>
      <c r="BGU8" s="16"/>
      <c r="BGV8" s="16"/>
      <c r="BGW8" s="16"/>
      <c r="BGX8" s="16"/>
      <c r="BGY8" s="16"/>
      <c r="BGZ8" s="16"/>
      <c r="BHA8" s="16"/>
      <c r="BHB8" s="16"/>
      <c r="BHC8" s="16"/>
      <c r="BHD8" s="16"/>
      <c r="BHE8" s="16"/>
      <c r="BHF8" s="16"/>
      <c r="BHG8" s="16"/>
      <c r="BHH8" s="16"/>
      <c r="BHI8" s="16"/>
      <c r="BHJ8" s="16"/>
      <c r="BHK8" s="16"/>
      <c r="BHL8" s="16"/>
      <c r="BHM8" s="16"/>
      <c r="BHN8" s="16"/>
      <c r="BHO8" s="16"/>
      <c r="BHP8" s="16"/>
      <c r="BHQ8" s="16"/>
    </row>
    <row r="9" spans="1:1577" s="3" customFormat="1" ht="96" x14ac:dyDescent="0.25">
      <c r="A9" s="150"/>
      <c r="B9" s="150"/>
      <c r="C9" s="150"/>
      <c r="D9" s="188"/>
      <c r="E9" s="188"/>
      <c r="F9" s="150"/>
      <c r="G9" s="188"/>
      <c r="H9" s="150"/>
      <c r="I9" s="150"/>
      <c r="J9" s="333"/>
      <c r="K9" s="1028"/>
      <c r="L9" s="150"/>
      <c r="M9" s="150"/>
      <c r="N9" s="188"/>
      <c r="O9" s="150"/>
      <c r="P9" s="150"/>
      <c r="Q9" s="188"/>
      <c r="R9" s="188"/>
      <c r="S9" s="188"/>
      <c r="T9" s="9" t="s">
        <v>1133</v>
      </c>
      <c r="U9" s="10" t="s">
        <v>1134</v>
      </c>
      <c r="V9" s="7" t="s">
        <v>50</v>
      </c>
      <c r="W9" s="7">
        <v>0</v>
      </c>
      <c r="X9" s="7">
        <v>211</v>
      </c>
      <c r="Y9" s="1031"/>
      <c r="Z9" s="1029"/>
      <c r="AA9" s="185"/>
      <c r="AB9" s="188"/>
      <c r="AC9" s="185"/>
      <c r="AD9" s="470"/>
      <c r="AE9" s="811"/>
      <c r="AF9" s="475">
        <v>9</v>
      </c>
      <c r="AG9" s="6">
        <v>211</v>
      </c>
      <c r="AH9" s="311">
        <f>+AF9/AG9</f>
        <v>4.2654028436018961E-2</v>
      </c>
      <c r="AI9" s="1026" t="s">
        <v>1135</v>
      </c>
      <c r="AJ9" s="188"/>
      <c r="AK9" s="188"/>
      <c r="AL9" s="470"/>
      <c r="AM9" s="811"/>
      <c r="AN9" s="475">
        <v>53</v>
      </c>
      <c r="AO9" s="6">
        <v>211</v>
      </c>
      <c r="AP9" s="311">
        <f>+AN9/AO9</f>
        <v>0.25118483412322273</v>
      </c>
      <c r="AQ9" s="1026" t="s">
        <v>1136</v>
      </c>
      <c r="AR9" s="188"/>
      <c r="AS9" s="188"/>
      <c r="AT9" s="470"/>
      <c r="AU9" s="811"/>
      <c r="AV9" s="475">
        <v>17</v>
      </c>
      <c r="AW9" s="6">
        <v>211</v>
      </c>
      <c r="AX9" s="311">
        <f>+AV9/AW9</f>
        <v>8.0568720379146919E-2</v>
      </c>
      <c r="AY9" s="1026" t="s">
        <v>1137</v>
      </c>
      <c r="AZ9" s="188"/>
      <c r="BA9" s="188"/>
      <c r="BB9" s="470"/>
      <c r="BC9" s="811"/>
      <c r="BD9" s="475">
        <v>86</v>
      </c>
      <c r="BE9" s="6">
        <v>211</v>
      </c>
      <c r="BF9" s="311">
        <f>+BD9/BE9</f>
        <v>0.40758293838862558</v>
      </c>
      <c r="BG9" s="1026" t="s">
        <v>1138</v>
      </c>
      <c r="BH9" s="188"/>
      <c r="BI9" s="188"/>
      <c r="BJ9" s="470"/>
      <c r="BK9" s="811"/>
      <c r="BL9" s="475">
        <v>99</v>
      </c>
      <c r="BM9" s="6">
        <v>211</v>
      </c>
      <c r="BN9" s="311">
        <f>+BL9/BM9</f>
        <v>0.46919431279620855</v>
      </c>
      <c r="BO9" s="1026" t="s">
        <v>1139</v>
      </c>
      <c r="BP9" s="188"/>
      <c r="BQ9" s="188"/>
      <c r="BR9" s="470"/>
      <c r="BS9" s="811"/>
      <c r="BT9" s="475">
        <v>37</v>
      </c>
      <c r="BU9" s="6">
        <v>211</v>
      </c>
      <c r="BV9" s="311">
        <f>+BT9/BU9</f>
        <v>0.17535545023696683</v>
      </c>
      <c r="BW9" s="1026" t="s">
        <v>1140</v>
      </c>
      <c r="BX9" s="188"/>
      <c r="BY9" s="188"/>
      <c r="BZ9" s="470"/>
      <c r="CA9" s="811"/>
      <c r="CB9" s="475">
        <v>183</v>
      </c>
      <c r="CC9" s="6">
        <v>1243</v>
      </c>
      <c r="CD9" s="311">
        <f>+CB9/CC9</f>
        <v>0.14722445695897024</v>
      </c>
      <c r="CE9" s="1026" t="s">
        <v>1141</v>
      </c>
      <c r="CF9" s="188"/>
      <c r="CG9" s="188"/>
      <c r="CH9" s="470"/>
      <c r="CI9" s="811"/>
      <c r="CJ9" s="475">
        <v>217</v>
      </c>
      <c r="CK9" s="6">
        <v>1243</v>
      </c>
      <c r="CL9" s="311">
        <f>+CJ9/CK9</f>
        <v>0.1745776347546259</v>
      </c>
      <c r="CM9" s="1026" t="s">
        <v>1142</v>
      </c>
      <c r="CN9" s="188"/>
      <c r="CO9" s="188"/>
      <c r="CP9" s="470"/>
      <c r="CQ9" s="811"/>
      <c r="CR9" s="475">
        <v>548</v>
      </c>
      <c r="CS9" s="6">
        <v>1243</v>
      </c>
      <c r="CT9" s="311">
        <f>+CR9/CS9</f>
        <v>0.44086886564762673</v>
      </c>
      <c r="CU9" s="1026" t="s">
        <v>1143</v>
      </c>
      <c r="CV9" s="4">
        <f>+BD9+AV9+AN9+AF9+BL9+BT9+CB9+CJ9+CR9</f>
        <v>1249</v>
      </c>
      <c r="CW9" s="1027">
        <f>+CV9/CC9</f>
        <v>1.0048270313757039</v>
      </c>
      <c r="CX9" s="273"/>
      <c r="CY9" s="273"/>
      <c r="CZ9" s="273"/>
      <c r="DA9" s="273"/>
      <c r="DB9" s="273"/>
      <c r="DC9" s="273"/>
      <c r="DD9" s="273"/>
      <c r="DE9" s="273"/>
      <c r="DF9" s="273"/>
      <c r="DG9" s="273"/>
      <c r="DH9" s="273"/>
      <c r="DI9" s="273"/>
      <c r="DJ9" s="273"/>
      <c r="DK9" s="273"/>
      <c r="DL9" s="273"/>
      <c r="DM9" s="273"/>
      <c r="DN9" s="273"/>
      <c r="DO9" s="273"/>
      <c r="DP9" s="273"/>
      <c r="DQ9" s="273"/>
      <c r="DR9" s="273"/>
      <c r="DS9" s="273"/>
      <c r="DT9" s="273"/>
      <c r="DU9" s="273"/>
      <c r="DV9" s="273"/>
      <c r="DW9" s="273"/>
      <c r="DX9" s="273"/>
      <c r="DY9" s="273"/>
      <c r="DZ9" s="273"/>
      <c r="EA9" s="273"/>
      <c r="EB9" s="273"/>
      <c r="EC9" s="273"/>
      <c r="ED9" s="273"/>
      <c r="EE9" s="273"/>
      <c r="EF9" s="273"/>
      <c r="EG9" s="273"/>
      <c r="EH9" s="273"/>
      <c r="EI9" s="273"/>
      <c r="EJ9" s="273"/>
      <c r="EK9" s="273"/>
      <c r="EL9" s="16"/>
      <c r="EM9" s="16"/>
      <c r="EN9" s="16"/>
      <c r="EO9" s="16"/>
      <c r="EP9" s="16"/>
      <c r="EQ9" s="16"/>
      <c r="ER9" s="16"/>
      <c r="ES9" s="16"/>
      <c r="ET9" s="16"/>
      <c r="EU9" s="16"/>
      <c r="EV9" s="16"/>
      <c r="EW9" s="16"/>
      <c r="EX9" s="16"/>
      <c r="EY9" s="16"/>
      <c r="EZ9" s="16"/>
      <c r="FA9" s="16"/>
      <c r="FB9" s="16"/>
      <c r="FC9" s="16"/>
      <c r="FD9" s="16"/>
      <c r="FE9" s="16"/>
      <c r="FF9" s="16"/>
      <c r="FG9" s="16"/>
      <c r="FH9" s="16"/>
      <c r="FI9" s="16"/>
      <c r="FJ9" s="16"/>
      <c r="FK9" s="16"/>
      <c r="FL9" s="16"/>
      <c r="FM9" s="16"/>
      <c r="FN9" s="16"/>
      <c r="FO9" s="16"/>
      <c r="FP9" s="16"/>
      <c r="FQ9" s="16"/>
      <c r="FR9" s="16"/>
      <c r="FS9" s="16"/>
      <c r="FT9" s="16"/>
      <c r="FU9" s="16"/>
      <c r="FV9" s="16"/>
      <c r="FW9" s="16"/>
      <c r="FX9" s="16"/>
      <c r="FY9" s="16"/>
      <c r="FZ9" s="16"/>
      <c r="GA9" s="16"/>
      <c r="GB9" s="16"/>
      <c r="GC9" s="16"/>
      <c r="GD9" s="16"/>
      <c r="GE9" s="16"/>
      <c r="GF9" s="16"/>
      <c r="GG9" s="16"/>
      <c r="GH9" s="16"/>
      <c r="GI9" s="16"/>
      <c r="GJ9" s="16"/>
      <c r="GK9" s="16"/>
      <c r="GL9" s="16"/>
      <c r="GM9" s="16"/>
      <c r="GN9" s="16"/>
      <c r="GO9" s="16"/>
      <c r="GP9" s="16"/>
      <c r="GQ9" s="16"/>
      <c r="GR9" s="16"/>
      <c r="GS9" s="16"/>
      <c r="GT9" s="16"/>
      <c r="GU9" s="16"/>
      <c r="GV9" s="16"/>
      <c r="GW9" s="16"/>
      <c r="GX9" s="16"/>
      <c r="GY9" s="16"/>
      <c r="GZ9" s="16"/>
      <c r="HA9" s="16"/>
      <c r="HB9" s="16"/>
      <c r="HC9" s="16"/>
      <c r="HD9" s="16"/>
      <c r="HE9" s="16"/>
      <c r="HF9" s="16"/>
      <c r="HG9" s="16"/>
      <c r="HH9" s="16"/>
      <c r="HI9" s="16"/>
      <c r="HJ9" s="16"/>
      <c r="HK9" s="16"/>
      <c r="HL9" s="16"/>
      <c r="HM9" s="16"/>
      <c r="HN9" s="16"/>
      <c r="HO9" s="16"/>
      <c r="HP9" s="16"/>
      <c r="HQ9" s="16"/>
      <c r="HR9" s="16"/>
      <c r="HS9" s="16"/>
      <c r="HT9" s="16"/>
      <c r="HU9" s="16"/>
      <c r="HV9" s="16"/>
      <c r="HW9" s="16"/>
      <c r="HX9" s="16"/>
      <c r="HY9" s="16"/>
      <c r="HZ9" s="16"/>
      <c r="IA9" s="16"/>
      <c r="IB9" s="16"/>
      <c r="IC9" s="16"/>
      <c r="ID9" s="16"/>
      <c r="IE9" s="16"/>
      <c r="IF9" s="16"/>
      <c r="IG9" s="16"/>
      <c r="IH9" s="16"/>
      <c r="II9" s="16"/>
      <c r="IJ9" s="16"/>
      <c r="IK9" s="16"/>
      <c r="IL9" s="16"/>
      <c r="IM9" s="16"/>
      <c r="IN9" s="16"/>
      <c r="IO9" s="16"/>
      <c r="IP9" s="16"/>
      <c r="IQ9" s="16"/>
      <c r="IR9" s="16"/>
      <c r="IS9" s="16"/>
      <c r="IT9" s="16"/>
      <c r="IU9" s="16"/>
      <c r="IV9" s="16"/>
      <c r="IW9" s="16"/>
      <c r="IX9" s="16"/>
      <c r="IY9" s="16"/>
      <c r="IZ9" s="16"/>
      <c r="JA9" s="16"/>
      <c r="JB9" s="16"/>
      <c r="JC9" s="16"/>
      <c r="JD9" s="16"/>
      <c r="JE9" s="16"/>
      <c r="JF9" s="16"/>
      <c r="JG9" s="16"/>
      <c r="JH9" s="16"/>
      <c r="JI9" s="16"/>
      <c r="JJ9" s="16"/>
      <c r="JK9" s="16"/>
      <c r="JL9" s="16"/>
      <c r="JM9" s="16"/>
      <c r="JN9" s="16"/>
      <c r="JO9" s="16"/>
      <c r="JP9" s="16"/>
      <c r="JQ9" s="16"/>
      <c r="JR9" s="16"/>
      <c r="JS9" s="16"/>
      <c r="JT9" s="16"/>
      <c r="JU9" s="16"/>
      <c r="JV9" s="16"/>
      <c r="JW9" s="16"/>
      <c r="JX9" s="16"/>
      <c r="JY9" s="16"/>
      <c r="JZ9" s="16"/>
      <c r="KA9" s="16"/>
      <c r="KB9" s="16"/>
      <c r="KC9" s="16"/>
      <c r="KD9" s="16"/>
      <c r="KE9" s="16"/>
      <c r="KF9" s="16"/>
      <c r="KG9" s="16"/>
      <c r="KH9" s="16"/>
      <c r="KI9" s="16"/>
      <c r="KJ9" s="16"/>
      <c r="KK9" s="16"/>
      <c r="KL9" s="16"/>
      <c r="KM9" s="16"/>
      <c r="KN9" s="16"/>
      <c r="KO9" s="16"/>
      <c r="KP9" s="16"/>
      <c r="KQ9" s="16"/>
      <c r="KR9" s="16"/>
      <c r="KS9" s="16"/>
      <c r="KT9" s="16"/>
      <c r="KU9" s="16"/>
      <c r="KV9" s="16"/>
      <c r="KW9" s="16"/>
      <c r="KX9" s="16"/>
      <c r="KY9" s="16"/>
      <c r="KZ9" s="16"/>
      <c r="LA9" s="16"/>
      <c r="LB9" s="16"/>
      <c r="LC9" s="16"/>
      <c r="LD9" s="16"/>
      <c r="LE9" s="16"/>
      <c r="LF9" s="16"/>
      <c r="LG9" s="16"/>
      <c r="LH9" s="16"/>
      <c r="LI9" s="16"/>
      <c r="LJ9" s="16"/>
      <c r="LK9" s="16"/>
      <c r="LL9" s="16"/>
      <c r="LM9" s="16"/>
      <c r="LN9" s="16"/>
      <c r="LO9" s="16"/>
      <c r="LP9" s="16"/>
      <c r="LQ9" s="16"/>
      <c r="LR9" s="16"/>
      <c r="LS9" s="16"/>
      <c r="LT9" s="16"/>
      <c r="LU9" s="16"/>
      <c r="LV9" s="16"/>
      <c r="LW9" s="16"/>
      <c r="LX9" s="16"/>
      <c r="LY9" s="16"/>
      <c r="LZ9" s="16"/>
      <c r="MA9" s="16"/>
      <c r="MB9" s="16"/>
      <c r="MC9" s="16"/>
      <c r="MD9" s="16"/>
      <c r="ME9" s="16"/>
      <c r="MF9" s="16"/>
      <c r="MG9" s="16"/>
      <c r="MH9" s="16"/>
      <c r="MI9" s="16"/>
      <c r="MJ9" s="16"/>
      <c r="MK9" s="16"/>
      <c r="ML9" s="16"/>
      <c r="MM9" s="16"/>
      <c r="MN9" s="16"/>
      <c r="MO9" s="16"/>
      <c r="MP9" s="16"/>
      <c r="MQ9" s="16"/>
      <c r="MR9" s="16"/>
      <c r="MS9" s="16"/>
      <c r="MT9" s="16"/>
      <c r="MU9" s="16"/>
      <c r="MV9" s="16"/>
      <c r="MW9" s="16"/>
      <c r="MX9" s="16"/>
      <c r="MY9" s="16"/>
      <c r="MZ9" s="16"/>
      <c r="NA9" s="16"/>
      <c r="NB9" s="16"/>
      <c r="NC9" s="16"/>
      <c r="ND9" s="16"/>
      <c r="NE9" s="16"/>
      <c r="NF9" s="16"/>
      <c r="NG9" s="16"/>
      <c r="NH9" s="16"/>
      <c r="NI9" s="16"/>
      <c r="NJ9" s="16"/>
      <c r="NK9" s="16"/>
      <c r="NL9" s="16"/>
      <c r="NM9" s="16"/>
      <c r="NN9" s="16"/>
      <c r="NO9" s="16"/>
      <c r="NP9" s="16"/>
      <c r="NQ9" s="16"/>
      <c r="NR9" s="16"/>
      <c r="NS9" s="16"/>
      <c r="NT9" s="16"/>
      <c r="NU9" s="16"/>
      <c r="NV9" s="16"/>
      <c r="NW9" s="16"/>
      <c r="NX9" s="16"/>
      <c r="NY9" s="16"/>
      <c r="NZ9" s="16"/>
      <c r="OA9" s="16"/>
      <c r="OB9" s="16"/>
      <c r="OC9" s="16"/>
      <c r="OD9" s="16"/>
      <c r="OE9" s="16"/>
      <c r="OF9" s="16"/>
      <c r="OG9" s="16"/>
      <c r="OH9" s="16"/>
      <c r="OI9" s="16"/>
      <c r="OJ9" s="16"/>
      <c r="OK9" s="16"/>
      <c r="OL9" s="16"/>
      <c r="OM9" s="16"/>
      <c r="ON9" s="16"/>
      <c r="OO9" s="16"/>
      <c r="OP9" s="16"/>
      <c r="OQ9" s="16"/>
      <c r="OR9" s="16"/>
      <c r="OS9" s="16"/>
      <c r="OT9" s="16"/>
      <c r="OU9" s="16"/>
      <c r="OV9" s="16"/>
      <c r="OW9" s="16"/>
      <c r="OX9" s="16"/>
      <c r="OY9" s="16"/>
      <c r="OZ9" s="16"/>
      <c r="PA9" s="16"/>
      <c r="PB9" s="16"/>
      <c r="PC9" s="16"/>
      <c r="PD9" s="16"/>
      <c r="PE9" s="16"/>
      <c r="PF9" s="16"/>
      <c r="PG9" s="16"/>
      <c r="PH9" s="16"/>
      <c r="PI9" s="16"/>
      <c r="PJ9" s="16"/>
      <c r="PK9" s="16"/>
      <c r="PL9" s="16"/>
      <c r="PM9" s="16"/>
      <c r="PN9" s="16"/>
      <c r="PO9" s="16"/>
      <c r="PP9" s="16"/>
      <c r="PQ9" s="16"/>
      <c r="PR9" s="16"/>
      <c r="PS9" s="16"/>
      <c r="PT9" s="16"/>
      <c r="PU9" s="16"/>
      <c r="PV9" s="16"/>
      <c r="PW9" s="16"/>
      <c r="PX9" s="16"/>
      <c r="PY9" s="16"/>
      <c r="PZ9" s="16"/>
      <c r="QA9" s="16"/>
      <c r="QB9" s="16"/>
      <c r="QC9" s="16"/>
      <c r="QD9" s="16"/>
      <c r="QE9" s="16"/>
      <c r="QF9" s="16"/>
      <c r="QG9" s="16"/>
      <c r="QH9" s="16"/>
      <c r="QI9" s="16"/>
      <c r="QJ9" s="16"/>
      <c r="QK9" s="16"/>
      <c r="QL9" s="16"/>
      <c r="QM9" s="16"/>
      <c r="QN9" s="16"/>
      <c r="QO9" s="16"/>
      <c r="QP9" s="16"/>
      <c r="QQ9" s="16"/>
      <c r="QR9" s="16"/>
      <c r="QS9" s="16"/>
      <c r="QT9" s="16"/>
      <c r="QU9" s="16"/>
      <c r="QV9" s="16"/>
      <c r="QW9" s="16"/>
      <c r="QX9" s="16"/>
      <c r="QY9" s="16"/>
      <c r="QZ9" s="16"/>
      <c r="RA9" s="16"/>
      <c r="RB9" s="16"/>
      <c r="RC9" s="16"/>
      <c r="RD9" s="16"/>
      <c r="RE9" s="16"/>
      <c r="RF9" s="16"/>
      <c r="RG9" s="16"/>
      <c r="RH9" s="16"/>
      <c r="RI9" s="16"/>
      <c r="RJ9" s="16"/>
      <c r="RK9" s="16"/>
      <c r="RL9" s="16"/>
      <c r="RM9" s="16"/>
      <c r="RN9" s="16"/>
      <c r="RO9" s="16"/>
      <c r="RP9" s="16"/>
      <c r="RQ9" s="16"/>
      <c r="RR9" s="16"/>
      <c r="RS9" s="16"/>
      <c r="RT9" s="16"/>
      <c r="RU9" s="16"/>
      <c r="RV9" s="16"/>
      <c r="RW9" s="16"/>
      <c r="RX9" s="16"/>
      <c r="RY9" s="16"/>
      <c r="RZ9" s="16"/>
      <c r="SA9" s="16"/>
      <c r="SB9" s="16"/>
      <c r="SC9" s="16"/>
      <c r="SD9" s="16"/>
      <c r="SE9" s="16"/>
      <c r="SF9" s="16"/>
      <c r="SG9" s="16"/>
      <c r="SH9" s="16"/>
      <c r="SI9" s="16"/>
      <c r="SJ9" s="16"/>
      <c r="SK9" s="16"/>
      <c r="SL9" s="16"/>
      <c r="SM9" s="16"/>
      <c r="SN9" s="16"/>
      <c r="SO9" s="16"/>
      <c r="SP9" s="16"/>
      <c r="SQ9" s="16"/>
      <c r="SR9" s="16"/>
      <c r="SS9" s="16"/>
      <c r="ST9" s="16"/>
      <c r="SU9" s="16"/>
      <c r="SV9" s="16"/>
      <c r="SW9" s="16"/>
      <c r="SX9" s="16"/>
      <c r="SY9" s="16"/>
      <c r="SZ9" s="16"/>
      <c r="TA9" s="16"/>
      <c r="TB9" s="16"/>
      <c r="TC9" s="16"/>
      <c r="TD9" s="16"/>
      <c r="TE9" s="16"/>
      <c r="TF9" s="16"/>
      <c r="TG9" s="16"/>
      <c r="TH9" s="16"/>
      <c r="TI9" s="16"/>
      <c r="TJ9" s="16"/>
      <c r="TK9" s="16"/>
      <c r="TL9" s="16"/>
      <c r="TM9" s="16"/>
      <c r="TN9" s="16"/>
      <c r="TO9" s="16"/>
      <c r="TP9" s="16"/>
      <c r="TQ9" s="16"/>
      <c r="TR9" s="16"/>
      <c r="TS9" s="16"/>
      <c r="TT9" s="16"/>
      <c r="TU9" s="16"/>
      <c r="TV9" s="16"/>
      <c r="TW9" s="16"/>
      <c r="TX9" s="16"/>
      <c r="TY9" s="16"/>
      <c r="TZ9" s="16"/>
      <c r="UA9" s="16"/>
      <c r="UB9" s="16"/>
      <c r="UC9" s="16"/>
      <c r="UD9" s="16"/>
      <c r="UE9" s="16"/>
      <c r="UF9" s="16"/>
      <c r="UG9" s="16"/>
      <c r="UH9" s="16"/>
      <c r="UI9" s="16"/>
      <c r="UJ9" s="16"/>
      <c r="UK9" s="16"/>
      <c r="UL9" s="16"/>
      <c r="UM9" s="16"/>
      <c r="UN9" s="16"/>
      <c r="UO9" s="16"/>
      <c r="UP9" s="16"/>
      <c r="UQ9" s="16"/>
      <c r="UR9" s="16"/>
      <c r="US9" s="16"/>
      <c r="UT9" s="16"/>
      <c r="UU9" s="16"/>
      <c r="UV9" s="16"/>
      <c r="UW9" s="16"/>
      <c r="UX9" s="16"/>
      <c r="UY9" s="16"/>
      <c r="UZ9" s="16"/>
      <c r="VA9" s="16"/>
      <c r="VB9" s="16"/>
      <c r="VC9" s="16"/>
      <c r="VD9" s="16"/>
      <c r="VE9" s="16"/>
      <c r="VF9" s="16"/>
      <c r="VG9" s="16"/>
      <c r="VH9" s="16"/>
      <c r="VI9" s="16"/>
      <c r="VJ9" s="16"/>
      <c r="VK9" s="16"/>
      <c r="VL9" s="16"/>
      <c r="VM9" s="16"/>
      <c r="VN9" s="16"/>
      <c r="VO9" s="16"/>
      <c r="VP9" s="16"/>
      <c r="VQ9" s="16"/>
      <c r="VR9" s="16"/>
      <c r="VS9" s="16"/>
      <c r="VT9" s="16"/>
      <c r="VU9" s="16"/>
      <c r="VV9" s="16"/>
      <c r="VW9" s="16"/>
      <c r="VX9" s="16"/>
      <c r="VY9" s="16"/>
      <c r="VZ9" s="16"/>
      <c r="WA9" s="16"/>
      <c r="WB9" s="16"/>
      <c r="WC9" s="16"/>
      <c r="WD9" s="16"/>
      <c r="WE9" s="16"/>
      <c r="WF9" s="16"/>
      <c r="WG9" s="16"/>
      <c r="WH9" s="16"/>
      <c r="WI9" s="16"/>
      <c r="WJ9" s="16"/>
      <c r="WK9" s="16"/>
      <c r="WL9" s="16"/>
      <c r="WM9" s="16"/>
      <c r="WN9" s="16"/>
      <c r="WO9" s="16"/>
      <c r="WP9" s="16"/>
      <c r="WQ9" s="16"/>
      <c r="WR9" s="16"/>
      <c r="WS9" s="16"/>
      <c r="WT9" s="16"/>
      <c r="WU9" s="16"/>
      <c r="WV9" s="16"/>
      <c r="WW9" s="16"/>
      <c r="WX9" s="16"/>
      <c r="WY9" s="16"/>
      <c r="WZ9" s="16"/>
      <c r="XA9" s="16"/>
      <c r="XB9" s="16"/>
      <c r="XC9" s="16"/>
      <c r="XD9" s="16"/>
      <c r="XE9" s="16"/>
      <c r="XF9" s="16"/>
      <c r="XG9" s="16"/>
      <c r="XH9" s="16"/>
      <c r="XI9" s="16"/>
      <c r="XJ9" s="16"/>
      <c r="XK9" s="16"/>
      <c r="XL9" s="16"/>
      <c r="XM9" s="16"/>
      <c r="XN9" s="16"/>
      <c r="XO9" s="16"/>
      <c r="XP9" s="16"/>
      <c r="XQ9" s="16"/>
      <c r="XR9" s="16"/>
      <c r="XS9" s="16"/>
      <c r="XT9" s="16"/>
      <c r="XU9" s="16"/>
      <c r="XV9" s="16"/>
      <c r="XW9" s="16"/>
      <c r="XX9" s="16"/>
      <c r="XY9" s="16"/>
      <c r="XZ9" s="16"/>
      <c r="YA9" s="16"/>
      <c r="YB9" s="16"/>
      <c r="YC9" s="16"/>
      <c r="YD9" s="16"/>
      <c r="YE9" s="16"/>
      <c r="YF9" s="16"/>
      <c r="YG9" s="16"/>
      <c r="YH9" s="16"/>
      <c r="YI9" s="16"/>
      <c r="YJ9" s="16"/>
      <c r="YK9" s="16"/>
      <c r="YL9" s="16"/>
      <c r="YM9" s="16"/>
      <c r="YN9" s="16"/>
      <c r="YO9" s="16"/>
      <c r="YP9" s="16"/>
      <c r="YQ9" s="16"/>
      <c r="YR9" s="16"/>
      <c r="YS9" s="16"/>
      <c r="YT9" s="16"/>
      <c r="YU9" s="16"/>
      <c r="YV9" s="16"/>
      <c r="YW9" s="16"/>
      <c r="YX9" s="16"/>
      <c r="YY9" s="16"/>
      <c r="YZ9" s="16"/>
      <c r="ZA9" s="16"/>
      <c r="ZB9" s="16"/>
      <c r="ZC9" s="16"/>
      <c r="ZD9" s="16"/>
      <c r="ZE9" s="16"/>
      <c r="ZF9" s="16"/>
      <c r="ZG9" s="16"/>
      <c r="ZH9" s="16"/>
      <c r="ZI9" s="16"/>
      <c r="ZJ9" s="16"/>
      <c r="ZK9" s="16"/>
      <c r="ZL9" s="16"/>
      <c r="ZM9" s="16"/>
      <c r="ZN9" s="16"/>
      <c r="ZO9" s="16"/>
      <c r="ZP9" s="16"/>
      <c r="ZQ9" s="16"/>
      <c r="ZR9" s="16"/>
      <c r="ZS9" s="16"/>
      <c r="ZT9" s="16"/>
      <c r="ZU9" s="16"/>
      <c r="ZV9" s="16"/>
      <c r="ZW9" s="16"/>
      <c r="ZX9" s="16"/>
      <c r="ZY9" s="16"/>
      <c r="ZZ9" s="16"/>
      <c r="AAA9" s="16"/>
      <c r="AAB9" s="16"/>
      <c r="AAC9" s="16"/>
      <c r="AAD9" s="16"/>
      <c r="AAE9" s="16"/>
      <c r="AAF9" s="16"/>
      <c r="AAG9" s="16"/>
      <c r="AAH9" s="16"/>
      <c r="AAI9" s="16"/>
      <c r="AAJ9" s="16"/>
      <c r="AAK9" s="16"/>
      <c r="AAL9" s="16"/>
      <c r="AAM9" s="16"/>
      <c r="AAN9" s="16"/>
      <c r="AAO9" s="16"/>
      <c r="AAP9" s="16"/>
      <c r="AAQ9" s="16"/>
      <c r="AAR9" s="16"/>
      <c r="AAS9" s="16"/>
      <c r="AAT9" s="16"/>
      <c r="AAU9" s="16"/>
      <c r="AAV9" s="16"/>
      <c r="AAW9" s="16"/>
      <c r="AAX9" s="16"/>
      <c r="AAY9" s="16"/>
      <c r="AAZ9" s="16"/>
      <c r="ABA9" s="16"/>
      <c r="ABB9" s="16"/>
      <c r="ABC9" s="16"/>
      <c r="ABD9" s="16"/>
      <c r="ABE9" s="16"/>
      <c r="ABF9" s="16"/>
      <c r="ABG9" s="16"/>
      <c r="ABH9" s="16"/>
      <c r="ABI9" s="16"/>
      <c r="ABJ9" s="16"/>
      <c r="ABK9" s="16"/>
      <c r="ABL9" s="16"/>
      <c r="ABM9" s="16"/>
      <c r="ABN9" s="16"/>
      <c r="ABO9" s="16"/>
      <c r="ABP9" s="16"/>
      <c r="ABQ9" s="16"/>
      <c r="ABR9" s="16"/>
      <c r="ABS9" s="16"/>
      <c r="ABT9" s="16"/>
      <c r="ABU9" s="16"/>
      <c r="ABV9" s="16"/>
      <c r="ABW9" s="16"/>
      <c r="ABX9" s="16"/>
      <c r="ABY9" s="16"/>
      <c r="ABZ9" s="16"/>
      <c r="ACA9" s="16"/>
      <c r="ACB9" s="16"/>
      <c r="ACC9" s="16"/>
      <c r="ACD9" s="16"/>
      <c r="ACE9" s="16"/>
      <c r="ACF9" s="16"/>
      <c r="ACG9" s="16"/>
      <c r="ACH9" s="16"/>
      <c r="ACI9" s="16"/>
      <c r="ACJ9" s="16"/>
      <c r="ACK9" s="16"/>
      <c r="ACL9" s="16"/>
      <c r="ACM9" s="16"/>
      <c r="ACN9" s="16"/>
      <c r="ACO9" s="16"/>
      <c r="ACP9" s="16"/>
      <c r="ACQ9" s="16"/>
      <c r="ACR9" s="16"/>
      <c r="ACS9" s="16"/>
      <c r="ACT9" s="16"/>
      <c r="ACU9" s="16"/>
      <c r="ACV9" s="16"/>
      <c r="ACW9" s="16"/>
      <c r="ACX9" s="16"/>
      <c r="ACY9" s="16"/>
      <c r="ACZ9" s="16"/>
      <c r="ADA9" s="16"/>
      <c r="ADB9" s="16"/>
      <c r="ADC9" s="16"/>
      <c r="ADD9" s="16"/>
      <c r="ADE9" s="16"/>
      <c r="ADF9" s="16"/>
      <c r="ADG9" s="16"/>
      <c r="ADH9" s="16"/>
      <c r="ADI9" s="16"/>
      <c r="ADJ9" s="16"/>
      <c r="ADK9" s="16"/>
      <c r="ADL9" s="16"/>
      <c r="ADM9" s="16"/>
      <c r="ADN9" s="16"/>
      <c r="ADO9" s="16"/>
      <c r="ADP9" s="16"/>
      <c r="ADQ9" s="16"/>
      <c r="ADR9" s="16"/>
      <c r="ADS9" s="16"/>
      <c r="ADT9" s="16"/>
      <c r="ADU9" s="16"/>
      <c r="ADV9" s="16"/>
      <c r="ADW9" s="16"/>
      <c r="ADX9" s="16"/>
      <c r="ADY9" s="16"/>
      <c r="ADZ9" s="16"/>
      <c r="AEA9" s="16"/>
      <c r="AEB9" s="16"/>
      <c r="AEC9" s="16"/>
      <c r="AED9" s="16"/>
      <c r="AEE9" s="16"/>
      <c r="AEF9" s="16"/>
      <c r="AEG9" s="16"/>
      <c r="AEH9" s="16"/>
      <c r="AEI9" s="16"/>
      <c r="AEJ9" s="16"/>
      <c r="AEK9" s="16"/>
      <c r="AEL9" s="16"/>
      <c r="AEM9" s="16"/>
      <c r="AEN9" s="16"/>
      <c r="AEO9" s="16"/>
      <c r="AEP9" s="16"/>
      <c r="AEQ9" s="16"/>
      <c r="AER9" s="16"/>
      <c r="AES9" s="16"/>
      <c r="AET9" s="16"/>
      <c r="AEU9" s="16"/>
      <c r="AEV9" s="16"/>
      <c r="AEW9" s="16"/>
      <c r="AEX9" s="16"/>
      <c r="AEY9" s="16"/>
      <c r="AEZ9" s="16"/>
      <c r="AFA9" s="16"/>
      <c r="AFB9" s="16"/>
      <c r="AFC9" s="16"/>
      <c r="AFD9" s="16"/>
      <c r="AFE9" s="16"/>
      <c r="AFF9" s="16"/>
      <c r="AFG9" s="16"/>
      <c r="AFH9" s="16"/>
      <c r="AFI9" s="16"/>
      <c r="AFJ9" s="16"/>
      <c r="AFK9" s="16"/>
      <c r="AFL9" s="16"/>
      <c r="AFM9" s="16"/>
      <c r="AFN9" s="16"/>
      <c r="AFO9" s="16"/>
      <c r="AFP9" s="16"/>
      <c r="AFQ9" s="16"/>
      <c r="AFR9" s="16"/>
      <c r="AFS9" s="16"/>
      <c r="AFT9" s="16"/>
      <c r="AFU9" s="16"/>
      <c r="AFV9" s="16"/>
      <c r="AFW9" s="16"/>
      <c r="AFX9" s="16"/>
      <c r="AFY9" s="16"/>
      <c r="AFZ9" s="16"/>
      <c r="AGA9" s="16"/>
      <c r="AGB9" s="16"/>
      <c r="AGC9" s="16"/>
      <c r="AGD9" s="16"/>
      <c r="AGE9" s="16"/>
      <c r="AGF9" s="16"/>
      <c r="AGG9" s="16"/>
      <c r="AGH9" s="16"/>
      <c r="AGI9" s="16"/>
      <c r="AGJ9" s="16"/>
      <c r="AGK9" s="16"/>
      <c r="AGL9" s="16"/>
      <c r="AGM9" s="16"/>
      <c r="AGN9" s="16"/>
      <c r="AGO9" s="16"/>
      <c r="AGP9" s="16"/>
      <c r="AGQ9" s="16"/>
      <c r="AGR9" s="16"/>
      <c r="AGS9" s="16"/>
      <c r="AGT9" s="16"/>
      <c r="AGU9" s="16"/>
      <c r="AGV9" s="16"/>
      <c r="AGW9" s="16"/>
      <c r="AGX9" s="16"/>
      <c r="AGY9" s="16"/>
      <c r="AGZ9" s="16"/>
      <c r="AHA9" s="16"/>
      <c r="AHB9" s="16"/>
      <c r="AHC9" s="16"/>
      <c r="AHD9" s="16"/>
      <c r="AHE9" s="16"/>
      <c r="AHF9" s="16"/>
      <c r="AHG9" s="16"/>
      <c r="AHH9" s="16"/>
      <c r="AHI9" s="16"/>
      <c r="AHJ9" s="16"/>
      <c r="AHK9" s="16"/>
      <c r="AHL9" s="16"/>
      <c r="AHM9" s="16"/>
      <c r="AHN9" s="16"/>
      <c r="AHO9" s="16"/>
      <c r="AHP9" s="16"/>
      <c r="AHQ9" s="16"/>
      <c r="AHR9" s="16"/>
      <c r="AHS9" s="16"/>
      <c r="AHT9" s="16"/>
      <c r="AHU9" s="16"/>
      <c r="AHV9" s="16"/>
      <c r="AHW9" s="16"/>
      <c r="AHX9" s="16"/>
      <c r="AHY9" s="16"/>
      <c r="AHZ9" s="16"/>
      <c r="AIA9" s="16"/>
      <c r="AIB9" s="16"/>
      <c r="AIC9" s="16"/>
      <c r="AID9" s="16"/>
      <c r="AIE9" s="16"/>
      <c r="AIF9" s="16"/>
      <c r="AIG9" s="16"/>
      <c r="AIH9" s="16"/>
      <c r="AII9" s="16"/>
      <c r="AIJ9" s="16"/>
      <c r="AIK9" s="16"/>
      <c r="AIL9" s="16"/>
      <c r="AIM9" s="16"/>
      <c r="AIN9" s="16"/>
      <c r="AIO9" s="16"/>
      <c r="AIP9" s="16"/>
      <c r="AIQ9" s="16"/>
      <c r="AIR9" s="16"/>
      <c r="AIS9" s="16"/>
      <c r="AIT9" s="16"/>
      <c r="AIU9" s="16"/>
      <c r="AIV9" s="16"/>
      <c r="AIW9" s="16"/>
      <c r="AIX9" s="16"/>
      <c r="AIY9" s="16"/>
      <c r="AIZ9" s="16"/>
      <c r="AJA9" s="16"/>
      <c r="AJB9" s="16"/>
      <c r="AJC9" s="16"/>
      <c r="AJD9" s="16"/>
      <c r="AJE9" s="16"/>
      <c r="AJF9" s="16"/>
      <c r="AJG9" s="16"/>
      <c r="AJH9" s="16"/>
      <c r="AJI9" s="16"/>
      <c r="AJJ9" s="16"/>
      <c r="AJK9" s="16"/>
      <c r="AJL9" s="16"/>
      <c r="AJM9" s="16"/>
      <c r="AJN9" s="16"/>
      <c r="AJO9" s="16"/>
      <c r="AJP9" s="16"/>
      <c r="AJQ9" s="16"/>
      <c r="AJR9" s="16"/>
      <c r="AJS9" s="16"/>
      <c r="AJT9" s="16"/>
      <c r="AJU9" s="16"/>
      <c r="AJV9" s="16"/>
      <c r="AJW9" s="16"/>
      <c r="AJX9" s="16"/>
      <c r="AJY9" s="16"/>
      <c r="AJZ9" s="16"/>
      <c r="AKA9" s="16"/>
      <c r="AKB9" s="16"/>
      <c r="AKC9" s="16"/>
      <c r="AKD9" s="16"/>
      <c r="AKE9" s="16"/>
      <c r="AKF9" s="16"/>
      <c r="AKG9" s="16"/>
      <c r="AKH9" s="16"/>
      <c r="AKI9" s="16"/>
      <c r="AKJ9" s="16"/>
      <c r="AKK9" s="16"/>
      <c r="AKL9" s="16"/>
      <c r="AKM9" s="16"/>
      <c r="AKN9" s="16"/>
      <c r="AKO9" s="16"/>
      <c r="AKP9" s="16"/>
      <c r="AKQ9" s="16"/>
      <c r="AKR9" s="16"/>
      <c r="AKS9" s="16"/>
      <c r="AKT9" s="16"/>
      <c r="AKU9" s="16"/>
      <c r="AKV9" s="16"/>
      <c r="AKW9" s="16"/>
      <c r="AKX9" s="16"/>
      <c r="AKY9" s="16"/>
      <c r="AKZ9" s="16"/>
      <c r="ALA9" s="16"/>
      <c r="ALB9" s="16"/>
      <c r="ALC9" s="16"/>
      <c r="ALD9" s="16"/>
      <c r="ALE9" s="16"/>
      <c r="ALF9" s="16"/>
      <c r="ALG9" s="16"/>
      <c r="ALH9" s="16"/>
      <c r="ALI9" s="16"/>
      <c r="ALJ9" s="16"/>
      <c r="ALK9" s="16"/>
      <c r="ALL9" s="16"/>
      <c r="ALM9" s="16"/>
      <c r="ALN9" s="16"/>
      <c r="ALO9" s="16"/>
      <c r="ALP9" s="16"/>
      <c r="ALQ9" s="16"/>
      <c r="ALR9" s="16"/>
      <c r="ALS9" s="16"/>
      <c r="ALT9" s="16"/>
      <c r="ALU9" s="16"/>
      <c r="ALV9" s="16"/>
      <c r="ALW9" s="16"/>
      <c r="ALX9" s="16"/>
      <c r="ALY9" s="16"/>
      <c r="ALZ9" s="16"/>
      <c r="AMA9" s="16"/>
      <c r="AMB9" s="16"/>
      <c r="AMC9" s="16"/>
      <c r="AMD9" s="16"/>
      <c r="AME9" s="16"/>
      <c r="AMF9" s="16"/>
      <c r="AMG9" s="16"/>
      <c r="AMH9" s="16"/>
      <c r="AMI9" s="16"/>
      <c r="AMJ9" s="16"/>
      <c r="AMK9" s="16"/>
      <c r="AML9" s="16"/>
      <c r="AMM9" s="16"/>
      <c r="AMN9" s="16"/>
      <c r="AMO9" s="16"/>
      <c r="AMP9" s="16"/>
      <c r="AMQ9" s="16"/>
      <c r="AMR9" s="16"/>
      <c r="AMS9" s="16"/>
      <c r="AMT9" s="16"/>
      <c r="AMU9" s="16"/>
      <c r="AMV9" s="16"/>
      <c r="AMW9" s="16"/>
      <c r="AMX9" s="16"/>
      <c r="AMY9" s="16"/>
      <c r="AMZ9" s="16"/>
      <c r="ANA9" s="16"/>
      <c r="ANB9" s="16"/>
      <c r="ANC9" s="16"/>
      <c r="AND9" s="16"/>
      <c r="ANE9" s="16"/>
      <c r="ANF9" s="16"/>
      <c r="ANG9" s="16"/>
      <c r="ANH9" s="16"/>
      <c r="ANI9" s="16"/>
      <c r="ANJ9" s="16"/>
      <c r="ANK9" s="16"/>
      <c r="ANL9" s="16"/>
      <c r="ANM9" s="16"/>
      <c r="ANN9" s="16"/>
      <c r="ANO9" s="16"/>
      <c r="ANP9" s="16"/>
      <c r="ANQ9" s="16"/>
      <c r="ANR9" s="16"/>
      <c r="ANS9" s="16"/>
      <c r="ANT9" s="16"/>
      <c r="ANU9" s="16"/>
      <c r="ANV9" s="16"/>
      <c r="ANW9" s="16"/>
      <c r="ANX9" s="16"/>
      <c r="ANY9" s="16"/>
      <c r="ANZ9" s="16"/>
      <c r="AOA9" s="16"/>
      <c r="AOB9" s="16"/>
      <c r="AOC9" s="16"/>
      <c r="AOD9" s="16"/>
      <c r="AOE9" s="16"/>
      <c r="AOF9" s="16"/>
      <c r="AOG9" s="16"/>
      <c r="AOH9" s="16"/>
      <c r="AOI9" s="16"/>
      <c r="AOJ9" s="16"/>
      <c r="AOK9" s="16"/>
      <c r="AOL9" s="16"/>
      <c r="AOM9" s="16"/>
      <c r="AON9" s="16"/>
      <c r="AOO9" s="16"/>
      <c r="AOP9" s="16"/>
      <c r="AOQ9" s="16"/>
      <c r="AOR9" s="16"/>
      <c r="AOS9" s="16"/>
      <c r="AOT9" s="16"/>
      <c r="AOU9" s="16"/>
      <c r="AOV9" s="16"/>
      <c r="AOW9" s="16"/>
      <c r="AOX9" s="16"/>
      <c r="AOY9" s="16"/>
      <c r="AOZ9" s="16"/>
      <c r="APA9" s="16"/>
      <c r="APB9" s="16"/>
      <c r="APC9" s="16"/>
      <c r="APD9" s="16"/>
      <c r="APE9" s="16"/>
      <c r="APF9" s="16"/>
      <c r="APG9" s="16"/>
      <c r="APH9" s="16"/>
      <c r="API9" s="16"/>
      <c r="APJ9" s="16"/>
      <c r="APK9" s="16"/>
      <c r="APL9" s="16"/>
      <c r="APM9" s="16"/>
      <c r="APN9" s="16"/>
      <c r="APO9" s="16"/>
      <c r="APP9" s="16"/>
      <c r="APQ9" s="16"/>
      <c r="APR9" s="16"/>
      <c r="APS9" s="16"/>
      <c r="APT9" s="16"/>
      <c r="APU9" s="16"/>
      <c r="APV9" s="16"/>
      <c r="APW9" s="16"/>
      <c r="APX9" s="16"/>
      <c r="APY9" s="16"/>
      <c r="APZ9" s="16"/>
      <c r="AQA9" s="16"/>
      <c r="AQB9" s="16"/>
      <c r="AQC9" s="16"/>
      <c r="AQD9" s="16"/>
      <c r="AQE9" s="16"/>
      <c r="AQF9" s="16"/>
      <c r="AQG9" s="16"/>
      <c r="AQH9" s="16"/>
      <c r="AQI9" s="16"/>
      <c r="AQJ9" s="16"/>
      <c r="AQK9" s="16"/>
      <c r="AQL9" s="16"/>
      <c r="AQM9" s="16"/>
      <c r="AQN9" s="16"/>
      <c r="AQO9" s="16"/>
      <c r="AQP9" s="16"/>
      <c r="AQQ9" s="16"/>
      <c r="AQR9" s="16"/>
      <c r="AQS9" s="16"/>
      <c r="AQT9" s="16"/>
      <c r="AQU9" s="16"/>
      <c r="AQV9" s="16"/>
      <c r="AQW9" s="16"/>
      <c r="AQX9" s="16"/>
      <c r="AQY9" s="16"/>
      <c r="AQZ9" s="16"/>
      <c r="ARA9" s="16"/>
      <c r="ARB9" s="16"/>
      <c r="ARC9" s="16"/>
      <c r="ARD9" s="16"/>
      <c r="ARE9" s="16"/>
      <c r="ARF9" s="16"/>
      <c r="ARG9" s="16"/>
      <c r="ARH9" s="16"/>
      <c r="ARI9" s="16"/>
      <c r="ARJ9" s="16"/>
      <c r="ARK9" s="16"/>
      <c r="ARL9" s="16"/>
      <c r="ARM9" s="16"/>
      <c r="ARN9" s="16"/>
      <c r="ARO9" s="16"/>
      <c r="ARP9" s="16"/>
      <c r="ARQ9" s="16"/>
      <c r="ARR9" s="16"/>
      <c r="ARS9" s="16"/>
      <c r="ART9" s="16"/>
      <c r="ARU9" s="16"/>
      <c r="ARV9" s="16"/>
      <c r="ARW9" s="16"/>
      <c r="ARX9" s="16"/>
      <c r="ARY9" s="16"/>
      <c r="ARZ9" s="16"/>
      <c r="ASA9" s="16"/>
      <c r="ASB9" s="16"/>
      <c r="ASC9" s="16"/>
      <c r="ASD9" s="16"/>
      <c r="ASE9" s="16"/>
      <c r="ASF9" s="16"/>
      <c r="ASG9" s="16"/>
      <c r="ASH9" s="16"/>
      <c r="ASI9" s="16"/>
      <c r="ASJ9" s="16"/>
      <c r="ASK9" s="16"/>
      <c r="ASL9" s="16"/>
      <c r="ASM9" s="16"/>
      <c r="ASN9" s="16"/>
      <c r="ASO9" s="16"/>
      <c r="ASP9" s="16"/>
      <c r="ASQ9" s="16"/>
      <c r="ASR9" s="16"/>
      <c r="ASS9" s="16"/>
      <c r="AST9" s="16"/>
      <c r="ASU9" s="16"/>
      <c r="ASV9" s="16"/>
      <c r="ASW9" s="16"/>
      <c r="ASX9" s="16"/>
      <c r="ASY9" s="16"/>
      <c r="ASZ9" s="16"/>
      <c r="ATA9" s="16"/>
      <c r="ATB9" s="16"/>
      <c r="ATC9" s="16"/>
      <c r="ATD9" s="16"/>
      <c r="ATE9" s="16"/>
      <c r="ATF9" s="16"/>
      <c r="ATG9" s="16"/>
      <c r="ATH9" s="16"/>
      <c r="ATI9" s="16"/>
      <c r="ATJ9" s="16"/>
      <c r="ATK9" s="16"/>
      <c r="ATL9" s="16"/>
      <c r="ATM9" s="16"/>
      <c r="ATN9" s="16"/>
      <c r="ATO9" s="16"/>
      <c r="ATP9" s="16"/>
      <c r="ATQ9" s="16"/>
      <c r="ATR9" s="16"/>
      <c r="ATS9" s="16"/>
      <c r="ATT9" s="16"/>
      <c r="ATU9" s="16"/>
      <c r="ATV9" s="16"/>
      <c r="ATW9" s="16"/>
      <c r="ATX9" s="16"/>
      <c r="ATY9" s="16"/>
      <c r="ATZ9" s="16"/>
      <c r="AUA9" s="16"/>
      <c r="AUB9" s="16"/>
      <c r="AUC9" s="16"/>
      <c r="AUD9" s="16"/>
      <c r="AUE9" s="16"/>
      <c r="AUF9" s="16"/>
      <c r="AUG9" s="16"/>
      <c r="AUH9" s="16"/>
      <c r="AUI9" s="16"/>
      <c r="AUJ9" s="16"/>
      <c r="AUK9" s="16"/>
      <c r="AUL9" s="16"/>
      <c r="AUM9" s="16"/>
      <c r="AUN9" s="16"/>
      <c r="AUO9" s="16"/>
      <c r="AUP9" s="16"/>
      <c r="AUQ9" s="16"/>
      <c r="AUR9" s="16"/>
      <c r="AUS9" s="16"/>
      <c r="AUT9" s="16"/>
      <c r="AUU9" s="16"/>
      <c r="AUV9" s="16"/>
      <c r="AUW9" s="16"/>
      <c r="AUX9" s="16"/>
      <c r="AUY9" s="16"/>
      <c r="AUZ9" s="16"/>
      <c r="AVA9" s="16"/>
      <c r="AVB9" s="16"/>
      <c r="AVC9" s="16"/>
      <c r="AVD9" s="16"/>
      <c r="AVE9" s="16"/>
      <c r="AVF9" s="16"/>
      <c r="AVG9" s="16"/>
      <c r="AVH9" s="16"/>
      <c r="AVI9" s="16"/>
      <c r="AVJ9" s="16"/>
      <c r="AVK9" s="16"/>
      <c r="AVL9" s="16"/>
      <c r="AVM9" s="16"/>
      <c r="AVN9" s="16"/>
      <c r="AVO9" s="16"/>
      <c r="AVP9" s="16"/>
      <c r="AVQ9" s="16"/>
      <c r="AVR9" s="16"/>
      <c r="AVS9" s="16"/>
      <c r="AVT9" s="16"/>
      <c r="AVU9" s="16"/>
      <c r="AVV9" s="16"/>
      <c r="AVW9" s="16"/>
      <c r="AVX9" s="16"/>
      <c r="AVY9" s="16"/>
      <c r="AVZ9" s="16"/>
      <c r="AWA9" s="16"/>
      <c r="AWB9" s="16"/>
      <c r="AWC9" s="16"/>
      <c r="AWD9" s="16"/>
      <c r="AWE9" s="16"/>
      <c r="AWF9" s="16"/>
      <c r="AWG9" s="16"/>
      <c r="AWH9" s="16"/>
      <c r="AWI9" s="16"/>
      <c r="AWJ9" s="16"/>
      <c r="AWK9" s="16"/>
      <c r="AWL9" s="16"/>
      <c r="AWM9" s="16"/>
      <c r="AWN9" s="16"/>
      <c r="AWO9" s="16"/>
      <c r="AWP9" s="16"/>
      <c r="AWQ9" s="16"/>
      <c r="AWR9" s="16"/>
      <c r="AWS9" s="16"/>
      <c r="AWT9" s="16"/>
      <c r="AWU9" s="16"/>
      <c r="AWV9" s="16"/>
      <c r="AWW9" s="16"/>
      <c r="AWX9" s="16"/>
      <c r="AWY9" s="16"/>
      <c r="AWZ9" s="16"/>
      <c r="AXA9" s="16"/>
      <c r="AXB9" s="16"/>
      <c r="AXC9" s="16"/>
      <c r="AXD9" s="16"/>
      <c r="AXE9" s="16"/>
      <c r="AXF9" s="16"/>
      <c r="AXG9" s="16"/>
      <c r="AXH9" s="16"/>
      <c r="AXI9" s="16"/>
      <c r="AXJ9" s="16"/>
      <c r="AXK9" s="16"/>
      <c r="AXL9" s="16"/>
      <c r="AXM9" s="16"/>
      <c r="AXN9" s="16"/>
      <c r="AXO9" s="16"/>
      <c r="AXP9" s="16"/>
      <c r="AXQ9" s="16"/>
      <c r="AXR9" s="16"/>
      <c r="AXS9" s="16"/>
      <c r="AXT9" s="16"/>
      <c r="AXU9" s="16"/>
      <c r="AXV9" s="16"/>
      <c r="AXW9" s="16"/>
      <c r="AXX9" s="16"/>
      <c r="AXY9" s="16"/>
      <c r="AXZ9" s="16"/>
      <c r="AYA9" s="16"/>
      <c r="AYB9" s="16"/>
      <c r="AYC9" s="16"/>
      <c r="AYD9" s="16"/>
      <c r="AYE9" s="16"/>
      <c r="AYF9" s="16"/>
      <c r="AYG9" s="16"/>
      <c r="AYH9" s="16"/>
      <c r="AYI9" s="16"/>
      <c r="AYJ9" s="16"/>
      <c r="AYK9" s="16"/>
      <c r="AYL9" s="16"/>
      <c r="AYM9" s="16"/>
      <c r="AYN9" s="16"/>
      <c r="AYO9" s="16"/>
      <c r="AYP9" s="16"/>
      <c r="AYQ9" s="16"/>
      <c r="AYR9" s="16"/>
      <c r="AYS9" s="16"/>
      <c r="AYT9" s="16"/>
      <c r="AYU9" s="16"/>
      <c r="AYV9" s="16"/>
      <c r="AYW9" s="16"/>
      <c r="AYX9" s="16"/>
      <c r="AYY9" s="16"/>
      <c r="AYZ9" s="16"/>
      <c r="AZA9" s="16"/>
      <c r="AZB9" s="16"/>
      <c r="AZC9" s="16"/>
      <c r="AZD9" s="16"/>
      <c r="AZE9" s="16"/>
      <c r="AZF9" s="16"/>
      <c r="AZG9" s="16"/>
      <c r="AZH9" s="16"/>
      <c r="AZI9" s="16"/>
      <c r="AZJ9" s="16"/>
      <c r="AZK9" s="16"/>
      <c r="AZL9" s="16"/>
      <c r="AZM9" s="16"/>
      <c r="AZN9" s="16"/>
      <c r="AZO9" s="16"/>
      <c r="AZP9" s="16"/>
      <c r="AZQ9" s="16"/>
      <c r="AZR9" s="16"/>
      <c r="AZS9" s="16"/>
      <c r="AZT9" s="16"/>
      <c r="AZU9" s="16"/>
      <c r="AZV9" s="16"/>
      <c r="AZW9" s="16"/>
      <c r="AZX9" s="16"/>
      <c r="AZY9" s="16"/>
      <c r="AZZ9" s="16"/>
      <c r="BAA9" s="16"/>
      <c r="BAB9" s="16"/>
      <c r="BAC9" s="16"/>
      <c r="BAD9" s="16"/>
      <c r="BAE9" s="16"/>
      <c r="BAF9" s="16"/>
      <c r="BAG9" s="16"/>
      <c r="BAH9" s="16"/>
      <c r="BAI9" s="16"/>
      <c r="BAJ9" s="16"/>
      <c r="BAK9" s="16"/>
      <c r="BAL9" s="16"/>
      <c r="BAM9" s="16"/>
      <c r="BAN9" s="16"/>
      <c r="BAO9" s="16"/>
      <c r="BAP9" s="16"/>
      <c r="BAQ9" s="16"/>
      <c r="BAR9" s="16"/>
      <c r="BAS9" s="16"/>
      <c r="BAT9" s="16"/>
      <c r="BAU9" s="16"/>
      <c r="BAV9" s="16"/>
      <c r="BAW9" s="16"/>
      <c r="BAX9" s="16"/>
      <c r="BAY9" s="16"/>
      <c r="BAZ9" s="16"/>
      <c r="BBA9" s="16"/>
      <c r="BBB9" s="16"/>
      <c r="BBC9" s="16"/>
      <c r="BBD9" s="16"/>
      <c r="BBE9" s="16"/>
      <c r="BBF9" s="16"/>
      <c r="BBG9" s="16"/>
      <c r="BBH9" s="16"/>
      <c r="BBI9" s="16"/>
      <c r="BBJ9" s="16"/>
      <c r="BBK9" s="16"/>
      <c r="BBL9" s="16"/>
      <c r="BBM9" s="16"/>
      <c r="BBN9" s="16"/>
      <c r="BBO9" s="16"/>
      <c r="BBP9" s="16"/>
      <c r="BBQ9" s="16"/>
      <c r="BBR9" s="16"/>
      <c r="BBS9" s="16"/>
      <c r="BBT9" s="16"/>
      <c r="BBU9" s="16"/>
      <c r="BBV9" s="16"/>
      <c r="BBW9" s="16"/>
      <c r="BBX9" s="16"/>
      <c r="BBY9" s="16"/>
      <c r="BBZ9" s="16"/>
      <c r="BCA9" s="16"/>
      <c r="BCB9" s="16"/>
      <c r="BCC9" s="16"/>
      <c r="BCD9" s="16"/>
      <c r="BCE9" s="16"/>
      <c r="BCF9" s="16"/>
      <c r="BCG9" s="16"/>
      <c r="BCH9" s="16"/>
      <c r="BCI9" s="16"/>
      <c r="BCJ9" s="16"/>
      <c r="BCK9" s="16"/>
      <c r="BCL9" s="16"/>
      <c r="BCM9" s="16"/>
      <c r="BCN9" s="16"/>
      <c r="BCO9" s="16"/>
      <c r="BCP9" s="16"/>
      <c r="BCQ9" s="16"/>
      <c r="BCR9" s="16"/>
      <c r="BCS9" s="16"/>
      <c r="BCT9" s="16"/>
      <c r="BCU9" s="16"/>
      <c r="BCV9" s="16"/>
      <c r="BCW9" s="16"/>
      <c r="BCX9" s="16"/>
      <c r="BCY9" s="16"/>
      <c r="BCZ9" s="16"/>
      <c r="BDA9" s="16"/>
      <c r="BDB9" s="16"/>
      <c r="BDC9" s="16"/>
      <c r="BDD9" s="16"/>
      <c r="BDE9" s="16"/>
      <c r="BDF9" s="16"/>
      <c r="BDG9" s="16"/>
      <c r="BDH9" s="16"/>
      <c r="BDI9" s="16"/>
      <c r="BDJ9" s="16"/>
      <c r="BDK9" s="16"/>
      <c r="BDL9" s="16"/>
      <c r="BDM9" s="16"/>
      <c r="BDN9" s="16"/>
      <c r="BDO9" s="16"/>
      <c r="BDP9" s="16"/>
      <c r="BDQ9" s="16"/>
      <c r="BDR9" s="16"/>
      <c r="BDS9" s="16"/>
      <c r="BDT9" s="16"/>
      <c r="BDU9" s="16"/>
      <c r="BDV9" s="16"/>
      <c r="BDW9" s="16"/>
      <c r="BDX9" s="16"/>
      <c r="BDY9" s="16"/>
      <c r="BDZ9" s="16"/>
      <c r="BEA9" s="16"/>
      <c r="BEB9" s="16"/>
      <c r="BEC9" s="16"/>
      <c r="BED9" s="16"/>
      <c r="BEE9" s="16"/>
      <c r="BEF9" s="16"/>
      <c r="BEG9" s="16"/>
      <c r="BEH9" s="16"/>
      <c r="BEI9" s="16"/>
      <c r="BEJ9" s="16"/>
      <c r="BEK9" s="16"/>
      <c r="BEL9" s="16"/>
      <c r="BEM9" s="16"/>
      <c r="BEN9" s="16"/>
      <c r="BEO9" s="16"/>
      <c r="BEP9" s="16"/>
      <c r="BEQ9" s="16"/>
      <c r="BER9" s="16"/>
      <c r="BES9" s="16"/>
      <c r="BET9" s="16"/>
      <c r="BEU9" s="16"/>
      <c r="BEV9" s="16"/>
      <c r="BEW9" s="16"/>
      <c r="BEX9" s="16"/>
      <c r="BEY9" s="16"/>
      <c r="BEZ9" s="16"/>
      <c r="BFA9" s="16"/>
      <c r="BFB9" s="16"/>
      <c r="BFC9" s="16"/>
      <c r="BFD9" s="16"/>
      <c r="BFE9" s="16"/>
      <c r="BFF9" s="16"/>
      <c r="BFG9" s="16"/>
      <c r="BFH9" s="16"/>
      <c r="BFI9" s="16"/>
      <c r="BFJ9" s="16"/>
      <c r="BFK9" s="16"/>
      <c r="BFL9" s="16"/>
      <c r="BFM9" s="16"/>
      <c r="BFN9" s="16"/>
      <c r="BFO9" s="16"/>
      <c r="BFP9" s="16"/>
      <c r="BFQ9" s="16"/>
      <c r="BFR9" s="16"/>
      <c r="BFS9" s="16"/>
      <c r="BFT9" s="16"/>
      <c r="BFU9" s="16"/>
      <c r="BFV9" s="16"/>
      <c r="BFW9" s="16"/>
      <c r="BFX9" s="16"/>
      <c r="BFY9" s="16"/>
      <c r="BFZ9" s="16"/>
      <c r="BGA9" s="16"/>
      <c r="BGB9" s="16"/>
      <c r="BGC9" s="16"/>
      <c r="BGD9" s="16"/>
      <c r="BGE9" s="16"/>
      <c r="BGF9" s="16"/>
      <c r="BGG9" s="16"/>
      <c r="BGH9" s="16"/>
      <c r="BGI9" s="16"/>
      <c r="BGJ9" s="16"/>
      <c r="BGK9" s="16"/>
      <c r="BGL9" s="16"/>
      <c r="BGM9" s="16"/>
      <c r="BGN9" s="16"/>
      <c r="BGO9" s="16"/>
      <c r="BGP9" s="16"/>
      <c r="BGQ9" s="16"/>
      <c r="BGR9" s="16"/>
      <c r="BGS9" s="16"/>
      <c r="BGT9" s="16"/>
      <c r="BGU9" s="16"/>
      <c r="BGV9" s="16"/>
      <c r="BGW9" s="16"/>
      <c r="BGX9" s="16"/>
      <c r="BGY9" s="16"/>
      <c r="BGZ9" s="16"/>
      <c r="BHA9" s="16"/>
      <c r="BHB9" s="16"/>
      <c r="BHC9" s="16"/>
      <c r="BHD9" s="16"/>
      <c r="BHE9" s="16"/>
      <c r="BHF9" s="16"/>
      <c r="BHG9" s="16"/>
      <c r="BHH9" s="16"/>
      <c r="BHI9" s="16"/>
      <c r="BHJ9" s="16"/>
      <c r="BHK9" s="16"/>
      <c r="BHL9" s="16"/>
      <c r="BHM9" s="16"/>
      <c r="BHN9" s="16"/>
      <c r="BHO9" s="16"/>
      <c r="BHP9" s="16"/>
      <c r="BHQ9" s="16"/>
    </row>
    <row r="10" spans="1:1577" s="3" customFormat="1" ht="252" x14ac:dyDescent="0.25">
      <c r="A10" s="10" t="s">
        <v>98</v>
      </c>
      <c r="B10" s="10" t="s">
        <v>100</v>
      </c>
      <c r="C10" s="9" t="s">
        <v>99</v>
      </c>
      <c r="D10" s="7" t="s">
        <v>1144</v>
      </c>
      <c r="E10" s="7" t="s">
        <v>289</v>
      </c>
      <c r="F10" s="10" t="s">
        <v>290</v>
      </c>
      <c r="G10" s="1032" t="s">
        <v>115</v>
      </c>
      <c r="H10" s="18" t="s">
        <v>114</v>
      </c>
      <c r="I10" s="18" t="s">
        <v>116</v>
      </c>
      <c r="J10" s="298" t="s">
        <v>664</v>
      </c>
      <c r="K10" s="1028"/>
      <c r="L10" s="297" t="s">
        <v>1145</v>
      </c>
      <c r="M10" s="10" t="s">
        <v>1098</v>
      </c>
      <c r="N10" s="10" t="s">
        <v>1098</v>
      </c>
      <c r="O10" s="9" t="s">
        <v>1146</v>
      </c>
      <c r="P10" s="9" t="s">
        <v>1147</v>
      </c>
      <c r="Q10" s="7" t="s">
        <v>121</v>
      </c>
      <c r="R10" s="7">
        <v>0</v>
      </c>
      <c r="S10" s="1033">
        <v>3500000000</v>
      </c>
      <c r="T10" s="9" t="s">
        <v>1146</v>
      </c>
      <c r="U10" s="9" t="s">
        <v>1148</v>
      </c>
      <c r="V10" s="7" t="s">
        <v>121</v>
      </c>
      <c r="W10" s="7">
        <v>0</v>
      </c>
      <c r="X10" s="297"/>
      <c r="Y10" s="1034">
        <v>3015063833</v>
      </c>
      <c r="Z10" s="1029"/>
      <c r="AA10" s="185"/>
      <c r="AB10" s="1035">
        <v>2877007</v>
      </c>
      <c r="AC10" s="1033">
        <v>3500000000</v>
      </c>
      <c r="AD10" s="304">
        <f>+AB10/AC10</f>
        <v>8.2200199999999995E-4</v>
      </c>
      <c r="AE10" s="18" t="s">
        <v>1149</v>
      </c>
      <c r="AF10" s="1035"/>
      <c r="AG10" s="1033"/>
      <c r="AH10" s="304"/>
      <c r="AI10" s="297"/>
      <c r="AJ10" s="1035">
        <f>+AB10+85668900</f>
        <v>88545907</v>
      </c>
      <c r="AK10" s="1033">
        <v>3500000000</v>
      </c>
      <c r="AL10" s="304">
        <f>+AJ10/AK10</f>
        <v>2.5298830571428572E-2</v>
      </c>
      <c r="AM10" s="18" t="s">
        <v>1150</v>
      </c>
      <c r="AN10" s="297"/>
      <c r="AO10" s="297"/>
      <c r="AP10" s="297"/>
      <c r="AQ10" s="297"/>
      <c r="AR10" s="1036">
        <f>+AJ10+559777641</f>
        <v>648323548</v>
      </c>
      <c r="AS10" s="1033">
        <v>3500000000</v>
      </c>
      <c r="AT10" s="304">
        <f>+AR10/AS10</f>
        <v>0.18523529942857142</v>
      </c>
      <c r="AU10" s="9" t="s">
        <v>1151</v>
      </c>
      <c r="AV10" s="297"/>
      <c r="AW10" s="297"/>
      <c r="AX10" s="297"/>
      <c r="AY10" s="297"/>
      <c r="AZ10" s="1036">
        <f>+AR10+244383623</f>
        <v>892707171</v>
      </c>
      <c r="BA10" s="1033">
        <v>3500000000</v>
      </c>
      <c r="BB10" s="304">
        <f>+AZ10/BA10</f>
        <v>0.2550591917142857</v>
      </c>
      <c r="BC10" s="1037" t="s">
        <v>1152</v>
      </c>
      <c r="BD10" s="297"/>
      <c r="BE10" s="297"/>
      <c r="BF10" s="297"/>
      <c r="BG10" s="297"/>
      <c r="BH10" s="1036">
        <f>+AZ10+654853748</f>
        <v>1547560919</v>
      </c>
      <c r="BI10" s="1033">
        <v>3500000000</v>
      </c>
      <c r="BJ10" s="304">
        <f>+BH10/BI10</f>
        <v>0.4421602625714286</v>
      </c>
      <c r="BK10" s="551"/>
      <c r="BL10" s="297"/>
      <c r="BM10" s="297"/>
      <c r="BN10" s="297"/>
      <c r="BO10" s="297"/>
      <c r="BP10" s="1036">
        <f>+BH10+388954121</f>
        <v>1936515040</v>
      </c>
      <c r="BQ10" s="1033">
        <v>3500000000</v>
      </c>
      <c r="BR10" s="304">
        <f>+BP10/BQ10</f>
        <v>0.55329001142857148</v>
      </c>
      <c r="BS10" s="18" t="s">
        <v>1153</v>
      </c>
      <c r="BT10" s="297"/>
      <c r="BU10" s="297"/>
      <c r="BV10" s="297"/>
      <c r="BW10" s="297"/>
      <c r="BX10" s="1036">
        <f>+BP10+438773178</f>
        <v>2375288218</v>
      </c>
      <c r="BY10" s="1033">
        <v>3500000000</v>
      </c>
      <c r="BZ10" s="304">
        <f>+BX10/BY10</f>
        <v>0.67865377657142856</v>
      </c>
      <c r="CA10" s="18" t="s">
        <v>1154</v>
      </c>
      <c r="CB10" s="297"/>
      <c r="CC10" s="297"/>
      <c r="CD10" s="297"/>
      <c r="CE10" s="297"/>
      <c r="CF10" s="1036">
        <f>+BX10+25034726</f>
        <v>2400322944</v>
      </c>
      <c r="CG10" s="1033">
        <v>3500000000</v>
      </c>
      <c r="CH10" s="304">
        <f>+CF10/CG10</f>
        <v>0.68580655542857138</v>
      </c>
      <c r="CI10" s="18" t="s">
        <v>1155</v>
      </c>
      <c r="CJ10" s="297"/>
      <c r="CK10" s="297"/>
      <c r="CL10" s="297"/>
      <c r="CM10" s="297"/>
      <c r="CN10" s="1036">
        <f>+CF10+7892968</f>
        <v>2408215912</v>
      </c>
      <c r="CO10" s="1033">
        <v>3500000000</v>
      </c>
      <c r="CP10" s="304">
        <f>+CN10/CO10</f>
        <v>0.68806168914285715</v>
      </c>
      <c r="CQ10" s="18" t="s">
        <v>1156</v>
      </c>
      <c r="CR10" s="297"/>
      <c r="CS10" s="297"/>
      <c r="CT10" s="297"/>
      <c r="CU10" s="297"/>
      <c r="CX10" s="16"/>
      <c r="CY10" s="16"/>
      <c r="CZ10" s="16"/>
      <c r="DA10" s="16"/>
      <c r="DB10" s="16"/>
      <c r="DC10" s="16"/>
      <c r="DD10" s="16"/>
      <c r="DE10" s="16"/>
      <c r="DF10" s="16"/>
      <c r="DG10" s="16"/>
      <c r="DH10" s="16"/>
      <c r="DI10" s="16"/>
      <c r="DJ10" s="16"/>
      <c r="DK10" s="16"/>
      <c r="DL10" s="16"/>
      <c r="DM10" s="16"/>
      <c r="DN10" s="16"/>
      <c r="DO10" s="16"/>
      <c r="DP10" s="16"/>
      <c r="DQ10" s="16"/>
      <c r="DR10" s="16"/>
      <c r="DS10" s="16"/>
      <c r="DT10" s="16"/>
      <c r="DU10" s="16"/>
      <c r="DV10" s="16"/>
      <c r="DW10" s="16"/>
      <c r="DX10" s="16"/>
      <c r="DY10" s="16"/>
      <c r="DZ10" s="16"/>
      <c r="EA10" s="16"/>
      <c r="EB10" s="16"/>
      <c r="EC10" s="16"/>
      <c r="ED10" s="16"/>
      <c r="EE10" s="16"/>
      <c r="EF10" s="16"/>
      <c r="EG10" s="16"/>
      <c r="EH10" s="16"/>
      <c r="EI10" s="16"/>
      <c r="EJ10" s="16"/>
      <c r="EK10" s="16"/>
      <c r="EL10" s="16"/>
      <c r="EM10" s="16"/>
      <c r="EN10" s="16"/>
      <c r="EO10" s="16"/>
      <c r="EP10" s="16"/>
      <c r="EQ10" s="16"/>
      <c r="ER10" s="16"/>
      <c r="ES10" s="16"/>
      <c r="ET10" s="16"/>
      <c r="EU10" s="16"/>
      <c r="EV10" s="16"/>
      <c r="EW10" s="16"/>
      <c r="EX10" s="16"/>
      <c r="EY10" s="16"/>
      <c r="EZ10" s="16"/>
      <c r="FA10" s="16"/>
      <c r="FB10" s="16"/>
      <c r="FC10" s="16"/>
      <c r="FD10" s="16"/>
      <c r="FE10" s="16"/>
      <c r="FF10" s="16"/>
      <c r="FG10" s="16"/>
      <c r="FH10" s="16"/>
      <c r="FI10" s="16"/>
      <c r="FJ10" s="16"/>
      <c r="FK10" s="16"/>
      <c r="FL10" s="16"/>
      <c r="FM10" s="16"/>
      <c r="FN10" s="16"/>
      <c r="FO10" s="16"/>
      <c r="FP10" s="16"/>
      <c r="FQ10" s="16"/>
      <c r="FR10" s="16"/>
      <c r="FS10" s="16"/>
      <c r="FT10" s="16"/>
      <c r="FU10" s="16"/>
      <c r="FV10" s="16"/>
      <c r="FW10" s="16"/>
      <c r="FX10" s="16"/>
      <c r="FY10" s="16"/>
      <c r="FZ10" s="16"/>
      <c r="GA10" s="16"/>
      <c r="GB10" s="16"/>
      <c r="GC10" s="16"/>
      <c r="GD10" s="16"/>
      <c r="GE10" s="16"/>
      <c r="GF10" s="16"/>
      <c r="GG10" s="16"/>
      <c r="GH10" s="16"/>
      <c r="GI10" s="16"/>
      <c r="GJ10" s="16"/>
      <c r="GK10" s="16"/>
      <c r="GL10" s="16"/>
      <c r="GM10" s="16"/>
      <c r="GN10" s="16"/>
      <c r="GO10" s="16"/>
      <c r="GP10" s="16"/>
      <c r="GQ10" s="16"/>
      <c r="GR10" s="16"/>
      <c r="GS10" s="16"/>
      <c r="GT10" s="16"/>
      <c r="GU10" s="16"/>
      <c r="GV10" s="16"/>
      <c r="GW10" s="16"/>
      <c r="GX10" s="16"/>
      <c r="GY10" s="16"/>
      <c r="GZ10" s="16"/>
      <c r="HA10" s="16"/>
      <c r="HB10" s="16"/>
      <c r="HC10" s="16"/>
      <c r="HD10" s="16"/>
      <c r="HE10" s="16"/>
      <c r="HF10" s="16"/>
      <c r="HG10" s="16"/>
      <c r="HH10" s="16"/>
      <c r="HI10" s="16"/>
      <c r="HJ10" s="16"/>
      <c r="HK10" s="16"/>
      <c r="HL10" s="16"/>
      <c r="HM10" s="16"/>
      <c r="HN10" s="16"/>
      <c r="HO10" s="16"/>
      <c r="HP10" s="16"/>
      <c r="HQ10" s="16"/>
      <c r="HR10" s="16"/>
      <c r="HS10" s="16"/>
      <c r="HT10" s="16"/>
      <c r="HU10" s="16"/>
      <c r="HV10" s="16"/>
      <c r="HW10" s="16"/>
      <c r="HX10" s="16"/>
      <c r="HY10" s="16"/>
      <c r="HZ10" s="16"/>
      <c r="IA10" s="16"/>
      <c r="IB10" s="16"/>
      <c r="IC10" s="16"/>
      <c r="ID10" s="16"/>
      <c r="IE10" s="16"/>
      <c r="IF10" s="16"/>
      <c r="IG10" s="16"/>
      <c r="IH10" s="16"/>
      <c r="II10" s="16"/>
      <c r="IJ10" s="16"/>
      <c r="IK10" s="16"/>
      <c r="IL10" s="16"/>
      <c r="IM10" s="16"/>
      <c r="IN10" s="16"/>
      <c r="IO10" s="16"/>
      <c r="IP10" s="16"/>
      <c r="IQ10" s="16"/>
      <c r="IR10" s="16"/>
      <c r="IS10" s="16"/>
      <c r="IT10" s="16"/>
      <c r="IU10" s="16"/>
      <c r="IV10" s="16"/>
      <c r="IW10" s="16"/>
      <c r="IX10" s="16"/>
      <c r="IY10" s="16"/>
      <c r="IZ10" s="16"/>
      <c r="JA10" s="16"/>
      <c r="JB10" s="16"/>
      <c r="JC10" s="16"/>
      <c r="JD10" s="16"/>
      <c r="JE10" s="16"/>
      <c r="JF10" s="16"/>
      <c r="JG10" s="16"/>
      <c r="JH10" s="16"/>
      <c r="JI10" s="16"/>
      <c r="JJ10" s="16"/>
      <c r="JK10" s="16"/>
      <c r="JL10" s="16"/>
      <c r="JM10" s="16"/>
      <c r="JN10" s="16"/>
      <c r="JO10" s="16"/>
      <c r="JP10" s="16"/>
      <c r="JQ10" s="16"/>
      <c r="JR10" s="16"/>
      <c r="JS10" s="16"/>
      <c r="JT10" s="16"/>
      <c r="JU10" s="16"/>
      <c r="JV10" s="16"/>
      <c r="JW10" s="16"/>
      <c r="JX10" s="16"/>
      <c r="JY10" s="16"/>
      <c r="JZ10" s="16"/>
      <c r="KA10" s="16"/>
      <c r="KB10" s="16"/>
      <c r="KC10" s="16"/>
      <c r="KD10" s="16"/>
      <c r="KE10" s="16"/>
      <c r="KF10" s="16"/>
      <c r="KG10" s="16"/>
      <c r="KH10" s="16"/>
      <c r="KI10" s="16"/>
      <c r="KJ10" s="16"/>
      <c r="KK10" s="16"/>
      <c r="KL10" s="16"/>
      <c r="KM10" s="16"/>
      <c r="KN10" s="16"/>
      <c r="KO10" s="16"/>
      <c r="KP10" s="16"/>
      <c r="KQ10" s="16"/>
      <c r="KR10" s="16"/>
      <c r="KS10" s="16"/>
      <c r="KT10" s="16"/>
      <c r="KU10" s="16"/>
      <c r="KV10" s="16"/>
      <c r="KW10" s="16"/>
      <c r="KX10" s="16"/>
      <c r="KY10" s="16"/>
      <c r="KZ10" s="16"/>
      <c r="LA10" s="16"/>
      <c r="LB10" s="16"/>
      <c r="LC10" s="16"/>
      <c r="LD10" s="16"/>
      <c r="LE10" s="16"/>
      <c r="LF10" s="16"/>
      <c r="LG10" s="16"/>
      <c r="LH10" s="16"/>
      <c r="LI10" s="16"/>
      <c r="LJ10" s="16"/>
      <c r="LK10" s="16"/>
      <c r="LL10" s="16"/>
      <c r="LM10" s="16"/>
      <c r="LN10" s="16"/>
      <c r="LO10" s="16"/>
      <c r="LP10" s="16"/>
      <c r="LQ10" s="16"/>
      <c r="LR10" s="16"/>
      <c r="LS10" s="16"/>
      <c r="LT10" s="16"/>
      <c r="LU10" s="16"/>
      <c r="LV10" s="16"/>
      <c r="LW10" s="16"/>
      <c r="LX10" s="16"/>
      <c r="LY10" s="16"/>
      <c r="LZ10" s="16"/>
      <c r="MA10" s="16"/>
      <c r="MB10" s="16"/>
      <c r="MC10" s="16"/>
      <c r="MD10" s="16"/>
      <c r="ME10" s="16"/>
      <c r="MF10" s="16"/>
      <c r="MG10" s="16"/>
      <c r="MH10" s="16"/>
      <c r="MI10" s="16"/>
      <c r="MJ10" s="16"/>
      <c r="MK10" s="16"/>
      <c r="ML10" s="16"/>
      <c r="MM10" s="16"/>
      <c r="MN10" s="16"/>
      <c r="MO10" s="16"/>
      <c r="MP10" s="16"/>
      <c r="MQ10" s="16"/>
      <c r="MR10" s="16"/>
      <c r="MS10" s="16"/>
      <c r="MT10" s="16"/>
      <c r="MU10" s="16"/>
      <c r="MV10" s="16"/>
      <c r="MW10" s="16"/>
      <c r="MX10" s="16"/>
      <c r="MY10" s="16"/>
      <c r="MZ10" s="16"/>
      <c r="NA10" s="16"/>
      <c r="NB10" s="16"/>
      <c r="NC10" s="16"/>
      <c r="ND10" s="16"/>
      <c r="NE10" s="16"/>
      <c r="NF10" s="16"/>
      <c r="NG10" s="16"/>
      <c r="NH10" s="16"/>
      <c r="NI10" s="16"/>
      <c r="NJ10" s="16"/>
      <c r="NK10" s="16"/>
      <c r="NL10" s="16"/>
      <c r="NM10" s="16"/>
      <c r="NN10" s="16"/>
      <c r="NO10" s="16"/>
      <c r="NP10" s="16"/>
      <c r="NQ10" s="16"/>
      <c r="NR10" s="16"/>
      <c r="NS10" s="16"/>
      <c r="NT10" s="16"/>
      <c r="NU10" s="16"/>
      <c r="NV10" s="16"/>
      <c r="NW10" s="16"/>
      <c r="NX10" s="16"/>
      <c r="NY10" s="16"/>
      <c r="NZ10" s="16"/>
      <c r="OA10" s="16"/>
      <c r="OB10" s="16"/>
      <c r="OC10" s="16"/>
      <c r="OD10" s="16"/>
      <c r="OE10" s="16"/>
      <c r="OF10" s="16"/>
      <c r="OG10" s="16"/>
      <c r="OH10" s="16"/>
      <c r="OI10" s="16"/>
      <c r="OJ10" s="16"/>
      <c r="OK10" s="16"/>
      <c r="OL10" s="16"/>
      <c r="OM10" s="16"/>
      <c r="ON10" s="16"/>
      <c r="OO10" s="16"/>
      <c r="OP10" s="16"/>
      <c r="OQ10" s="16"/>
      <c r="OR10" s="16"/>
      <c r="OS10" s="16"/>
      <c r="OT10" s="16"/>
      <c r="OU10" s="16"/>
      <c r="OV10" s="16"/>
      <c r="OW10" s="16"/>
      <c r="OX10" s="16"/>
      <c r="OY10" s="16"/>
      <c r="OZ10" s="16"/>
      <c r="PA10" s="16"/>
      <c r="PB10" s="16"/>
      <c r="PC10" s="16"/>
      <c r="PD10" s="16"/>
      <c r="PE10" s="16"/>
      <c r="PF10" s="16"/>
      <c r="PG10" s="16"/>
      <c r="PH10" s="16"/>
      <c r="PI10" s="16"/>
      <c r="PJ10" s="16"/>
      <c r="PK10" s="16"/>
      <c r="PL10" s="16"/>
      <c r="PM10" s="16"/>
      <c r="PN10" s="16"/>
      <c r="PO10" s="16"/>
      <c r="PP10" s="16"/>
      <c r="PQ10" s="16"/>
      <c r="PR10" s="16"/>
      <c r="PS10" s="16"/>
      <c r="PT10" s="16"/>
      <c r="PU10" s="16"/>
      <c r="PV10" s="16"/>
      <c r="PW10" s="16"/>
      <c r="PX10" s="16"/>
      <c r="PY10" s="16"/>
      <c r="PZ10" s="16"/>
      <c r="QA10" s="16"/>
      <c r="QB10" s="16"/>
      <c r="QC10" s="16"/>
      <c r="QD10" s="16"/>
      <c r="QE10" s="16"/>
      <c r="QF10" s="16"/>
      <c r="QG10" s="16"/>
      <c r="QH10" s="16"/>
      <c r="QI10" s="16"/>
      <c r="QJ10" s="16"/>
      <c r="QK10" s="16"/>
      <c r="QL10" s="16"/>
      <c r="QM10" s="16"/>
      <c r="QN10" s="16"/>
      <c r="QO10" s="16"/>
      <c r="QP10" s="16"/>
      <c r="QQ10" s="16"/>
      <c r="QR10" s="16"/>
      <c r="QS10" s="16"/>
      <c r="QT10" s="16"/>
      <c r="QU10" s="16"/>
      <c r="QV10" s="16"/>
      <c r="QW10" s="16"/>
      <c r="QX10" s="16"/>
      <c r="QY10" s="16"/>
      <c r="QZ10" s="16"/>
      <c r="RA10" s="16"/>
      <c r="RB10" s="16"/>
      <c r="RC10" s="16"/>
      <c r="RD10" s="16"/>
      <c r="RE10" s="16"/>
      <c r="RF10" s="16"/>
      <c r="RG10" s="16"/>
      <c r="RH10" s="16"/>
      <c r="RI10" s="16"/>
      <c r="RJ10" s="16"/>
      <c r="RK10" s="16"/>
      <c r="RL10" s="16"/>
      <c r="RM10" s="16"/>
      <c r="RN10" s="16"/>
      <c r="RO10" s="16"/>
      <c r="RP10" s="16"/>
      <c r="RQ10" s="16"/>
      <c r="RR10" s="16"/>
      <c r="RS10" s="16"/>
      <c r="RT10" s="16"/>
      <c r="RU10" s="16"/>
      <c r="RV10" s="16"/>
      <c r="RW10" s="16"/>
      <c r="RX10" s="16"/>
      <c r="RY10" s="16"/>
      <c r="RZ10" s="16"/>
      <c r="SA10" s="16"/>
      <c r="SB10" s="16"/>
      <c r="SC10" s="16"/>
      <c r="SD10" s="16"/>
      <c r="SE10" s="16"/>
      <c r="SF10" s="16"/>
      <c r="SG10" s="16"/>
      <c r="SH10" s="16"/>
      <c r="SI10" s="16"/>
      <c r="SJ10" s="16"/>
      <c r="SK10" s="16"/>
      <c r="SL10" s="16"/>
      <c r="SM10" s="16"/>
      <c r="SN10" s="16"/>
      <c r="SO10" s="16"/>
      <c r="SP10" s="16"/>
      <c r="SQ10" s="16"/>
      <c r="SR10" s="16"/>
      <c r="SS10" s="16"/>
      <c r="ST10" s="16"/>
      <c r="SU10" s="16"/>
      <c r="SV10" s="16"/>
      <c r="SW10" s="16"/>
      <c r="SX10" s="16"/>
      <c r="SY10" s="16"/>
      <c r="SZ10" s="16"/>
      <c r="TA10" s="16"/>
      <c r="TB10" s="16"/>
      <c r="TC10" s="16"/>
      <c r="TD10" s="16"/>
      <c r="TE10" s="16"/>
      <c r="TF10" s="16"/>
      <c r="TG10" s="16"/>
      <c r="TH10" s="16"/>
      <c r="TI10" s="16"/>
      <c r="TJ10" s="16"/>
      <c r="TK10" s="16"/>
      <c r="TL10" s="16"/>
      <c r="TM10" s="16"/>
      <c r="TN10" s="16"/>
      <c r="TO10" s="16"/>
      <c r="TP10" s="16"/>
      <c r="TQ10" s="16"/>
      <c r="TR10" s="16"/>
      <c r="TS10" s="16"/>
      <c r="TT10" s="16"/>
      <c r="TU10" s="16"/>
      <c r="TV10" s="16"/>
      <c r="TW10" s="16"/>
      <c r="TX10" s="16"/>
      <c r="TY10" s="16"/>
      <c r="TZ10" s="16"/>
      <c r="UA10" s="16"/>
      <c r="UB10" s="16"/>
      <c r="UC10" s="16"/>
      <c r="UD10" s="16"/>
      <c r="UE10" s="16"/>
      <c r="UF10" s="16"/>
      <c r="UG10" s="16"/>
      <c r="UH10" s="16"/>
      <c r="UI10" s="16"/>
      <c r="UJ10" s="16"/>
      <c r="UK10" s="16"/>
      <c r="UL10" s="16"/>
      <c r="UM10" s="16"/>
      <c r="UN10" s="16"/>
      <c r="UO10" s="16"/>
      <c r="UP10" s="16"/>
      <c r="UQ10" s="16"/>
      <c r="UR10" s="16"/>
      <c r="US10" s="16"/>
      <c r="UT10" s="16"/>
      <c r="UU10" s="16"/>
      <c r="UV10" s="16"/>
      <c r="UW10" s="16"/>
      <c r="UX10" s="16"/>
      <c r="UY10" s="16"/>
      <c r="UZ10" s="16"/>
      <c r="VA10" s="16"/>
      <c r="VB10" s="16"/>
      <c r="VC10" s="16"/>
      <c r="VD10" s="16"/>
      <c r="VE10" s="16"/>
      <c r="VF10" s="16"/>
      <c r="VG10" s="16"/>
      <c r="VH10" s="16"/>
      <c r="VI10" s="16"/>
      <c r="VJ10" s="16"/>
      <c r="VK10" s="16"/>
      <c r="VL10" s="16"/>
      <c r="VM10" s="16"/>
      <c r="VN10" s="16"/>
      <c r="VO10" s="16"/>
      <c r="VP10" s="16"/>
      <c r="VQ10" s="16"/>
      <c r="VR10" s="16"/>
      <c r="VS10" s="16"/>
      <c r="VT10" s="16"/>
      <c r="VU10" s="16"/>
      <c r="VV10" s="16"/>
      <c r="VW10" s="16"/>
      <c r="VX10" s="16"/>
      <c r="VY10" s="16"/>
      <c r="VZ10" s="16"/>
      <c r="WA10" s="16"/>
      <c r="WB10" s="16"/>
      <c r="WC10" s="16"/>
      <c r="WD10" s="16"/>
      <c r="WE10" s="16"/>
      <c r="WF10" s="16"/>
      <c r="WG10" s="16"/>
      <c r="WH10" s="16"/>
      <c r="WI10" s="16"/>
      <c r="WJ10" s="16"/>
      <c r="WK10" s="16"/>
      <c r="WL10" s="16"/>
      <c r="WM10" s="16"/>
      <c r="WN10" s="16"/>
      <c r="WO10" s="16"/>
      <c r="WP10" s="16"/>
      <c r="WQ10" s="16"/>
      <c r="WR10" s="16"/>
      <c r="WS10" s="16"/>
      <c r="WT10" s="16"/>
      <c r="WU10" s="16"/>
      <c r="WV10" s="16"/>
      <c r="WW10" s="16"/>
      <c r="WX10" s="16"/>
      <c r="WY10" s="16"/>
      <c r="WZ10" s="16"/>
      <c r="XA10" s="16"/>
      <c r="XB10" s="16"/>
      <c r="XC10" s="16"/>
      <c r="XD10" s="16"/>
      <c r="XE10" s="16"/>
      <c r="XF10" s="16"/>
      <c r="XG10" s="16"/>
      <c r="XH10" s="16"/>
      <c r="XI10" s="16"/>
      <c r="XJ10" s="16"/>
      <c r="XK10" s="16"/>
      <c r="XL10" s="16"/>
      <c r="XM10" s="16"/>
      <c r="XN10" s="16"/>
      <c r="XO10" s="16"/>
      <c r="XP10" s="16"/>
      <c r="XQ10" s="16"/>
      <c r="XR10" s="16"/>
      <c r="XS10" s="16"/>
      <c r="XT10" s="16"/>
      <c r="XU10" s="16"/>
      <c r="XV10" s="16"/>
      <c r="XW10" s="16"/>
      <c r="XX10" s="16"/>
      <c r="XY10" s="16"/>
      <c r="XZ10" s="16"/>
      <c r="YA10" s="16"/>
      <c r="YB10" s="16"/>
      <c r="YC10" s="16"/>
      <c r="YD10" s="16"/>
      <c r="YE10" s="16"/>
      <c r="YF10" s="16"/>
      <c r="YG10" s="16"/>
      <c r="YH10" s="16"/>
      <c r="YI10" s="16"/>
      <c r="YJ10" s="16"/>
      <c r="YK10" s="16"/>
      <c r="YL10" s="16"/>
      <c r="YM10" s="16"/>
      <c r="YN10" s="16"/>
      <c r="YO10" s="16"/>
      <c r="YP10" s="16"/>
      <c r="YQ10" s="16"/>
      <c r="YR10" s="16"/>
      <c r="YS10" s="16"/>
      <c r="YT10" s="16"/>
      <c r="YU10" s="16"/>
      <c r="YV10" s="16"/>
      <c r="YW10" s="16"/>
      <c r="YX10" s="16"/>
      <c r="YY10" s="16"/>
      <c r="YZ10" s="16"/>
      <c r="ZA10" s="16"/>
      <c r="ZB10" s="16"/>
      <c r="ZC10" s="16"/>
      <c r="ZD10" s="16"/>
      <c r="ZE10" s="16"/>
      <c r="ZF10" s="16"/>
      <c r="ZG10" s="16"/>
      <c r="ZH10" s="16"/>
      <c r="ZI10" s="16"/>
      <c r="ZJ10" s="16"/>
      <c r="ZK10" s="16"/>
      <c r="ZL10" s="16"/>
      <c r="ZM10" s="16"/>
      <c r="ZN10" s="16"/>
      <c r="ZO10" s="16"/>
      <c r="ZP10" s="16"/>
      <c r="ZQ10" s="16"/>
      <c r="ZR10" s="16"/>
      <c r="ZS10" s="16"/>
      <c r="ZT10" s="16"/>
      <c r="ZU10" s="16"/>
      <c r="ZV10" s="16"/>
      <c r="ZW10" s="16"/>
      <c r="ZX10" s="16"/>
      <c r="ZY10" s="16"/>
      <c r="ZZ10" s="16"/>
      <c r="AAA10" s="16"/>
      <c r="AAB10" s="16"/>
      <c r="AAC10" s="16"/>
      <c r="AAD10" s="16"/>
      <c r="AAE10" s="16"/>
      <c r="AAF10" s="16"/>
      <c r="AAG10" s="16"/>
      <c r="AAH10" s="16"/>
      <c r="AAI10" s="16"/>
      <c r="AAJ10" s="16"/>
      <c r="AAK10" s="16"/>
      <c r="AAL10" s="16"/>
      <c r="AAM10" s="16"/>
      <c r="AAN10" s="16"/>
      <c r="AAO10" s="16"/>
      <c r="AAP10" s="16"/>
      <c r="AAQ10" s="16"/>
      <c r="AAR10" s="16"/>
      <c r="AAS10" s="16"/>
      <c r="AAT10" s="16"/>
      <c r="AAU10" s="16"/>
      <c r="AAV10" s="16"/>
      <c r="AAW10" s="16"/>
      <c r="AAX10" s="16"/>
      <c r="AAY10" s="16"/>
      <c r="AAZ10" s="16"/>
      <c r="ABA10" s="16"/>
      <c r="ABB10" s="16"/>
      <c r="ABC10" s="16"/>
      <c r="ABD10" s="16"/>
      <c r="ABE10" s="16"/>
      <c r="ABF10" s="16"/>
      <c r="ABG10" s="16"/>
      <c r="ABH10" s="16"/>
      <c r="ABI10" s="16"/>
      <c r="ABJ10" s="16"/>
      <c r="ABK10" s="16"/>
      <c r="ABL10" s="16"/>
      <c r="ABM10" s="16"/>
      <c r="ABN10" s="16"/>
      <c r="ABO10" s="16"/>
      <c r="ABP10" s="16"/>
      <c r="ABQ10" s="16"/>
      <c r="ABR10" s="16"/>
      <c r="ABS10" s="16"/>
      <c r="ABT10" s="16"/>
      <c r="ABU10" s="16"/>
      <c r="ABV10" s="16"/>
      <c r="ABW10" s="16"/>
      <c r="ABX10" s="16"/>
      <c r="ABY10" s="16"/>
      <c r="ABZ10" s="16"/>
      <c r="ACA10" s="16"/>
      <c r="ACB10" s="16"/>
      <c r="ACC10" s="16"/>
      <c r="ACD10" s="16"/>
      <c r="ACE10" s="16"/>
      <c r="ACF10" s="16"/>
      <c r="ACG10" s="16"/>
      <c r="ACH10" s="16"/>
      <c r="ACI10" s="16"/>
      <c r="ACJ10" s="16"/>
      <c r="ACK10" s="16"/>
      <c r="ACL10" s="16"/>
      <c r="ACM10" s="16"/>
      <c r="ACN10" s="16"/>
      <c r="ACO10" s="16"/>
      <c r="ACP10" s="16"/>
      <c r="ACQ10" s="16"/>
      <c r="ACR10" s="16"/>
      <c r="ACS10" s="16"/>
      <c r="ACT10" s="16"/>
      <c r="ACU10" s="16"/>
      <c r="ACV10" s="16"/>
      <c r="ACW10" s="16"/>
      <c r="ACX10" s="16"/>
      <c r="ACY10" s="16"/>
      <c r="ACZ10" s="16"/>
      <c r="ADA10" s="16"/>
      <c r="ADB10" s="16"/>
      <c r="ADC10" s="16"/>
      <c r="ADD10" s="16"/>
      <c r="ADE10" s="16"/>
      <c r="ADF10" s="16"/>
      <c r="ADG10" s="16"/>
      <c r="ADH10" s="16"/>
      <c r="ADI10" s="16"/>
      <c r="ADJ10" s="16"/>
      <c r="ADK10" s="16"/>
      <c r="ADL10" s="16"/>
      <c r="ADM10" s="16"/>
      <c r="ADN10" s="16"/>
      <c r="ADO10" s="16"/>
      <c r="ADP10" s="16"/>
      <c r="ADQ10" s="16"/>
      <c r="ADR10" s="16"/>
      <c r="ADS10" s="16"/>
      <c r="ADT10" s="16"/>
      <c r="ADU10" s="16"/>
      <c r="ADV10" s="16"/>
      <c r="ADW10" s="16"/>
      <c r="ADX10" s="16"/>
      <c r="ADY10" s="16"/>
      <c r="ADZ10" s="16"/>
      <c r="AEA10" s="16"/>
      <c r="AEB10" s="16"/>
      <c r="AEC10" s="16"/>
      <c r="AED10" s="16"/>
      <c r="AEE10" s="16"/>
      <c r="AEF10" s="16"/>
      <c r="AEG10" s="16"/>
      <c r="AEH10" s="16"/>
      <c r="AEI10" s="16"/>
      <c r="AEJ10" s="16"/>
      <c r="AEK10" s="16"/>
      <c r="AEL10" s="16"/>
      <c r="AEM10" s="16"/>
      <c r="AEN10" s="16"/>
      <c r="AEO10" s="16"/>
      <c r="AEP10" s="16"/>
      <c r="AEQ10" s="16"/>
      <c r="AER10" s="16"/>
      <c r="AES10" s="16"/>
      <c r="AET10" s="16"/>
      <c r="AEU10" s="16"/>
      <c r="AEV10" s="16"/>
      <c r="AEW10" s="16"/>
      <c r="AEX10" s="16"/>
      <c r="AEY10" s="16"/>
      <c r="AEZ10" s="16"/>
      <c r="AFA10" s="16"/>
      <c r="AFB10" s="16"/>
      <c r="AFC10" s="16"/>
      <c r="AFD10" s="16"/>
      <c r="AFE10" s="16"/>
      <c r="AFF10" s="16"/>
      <c r="AFG10" s="16"/>
      <c r="AFH10" s="16"/>
      <c r="AFI10" s="16"/>
      <c r="AFJ10" s="16"/>
      <c r="AFK10" s="16"/>
      <c r="AFL10" s="16"/>
      <c r="AFM10" s="16"/>
      <c r="AFN10" s="16"/>
      <c r="AFO10" s="16"/>
      <c r="AFP10" s="16"/>
      <c r="AFQ10" s="16"/>
      <c r="AFR10" s="16"/>
      <c r="AFS10" s="16"/>
      <c r="AFT10" s="16"/>
      <c r="AFU10" s="16"/>
      <c r="AFV10" s="16"/>
      <c r="AFW10" s="16"/>
      <c r="AFX10" s="16"/>
      <c r="AFY10" s="16"/>
      <c r="AFZ10" s="16"/>
      <c r="AGA10" s="16"/>
      <c r="AGB10" s="16"/>
      <c r="AGC10" s="16"/>
      <c r="AGD10" s="16"/>
      <c r="AGE10" s="16"/>
      <c r="AGF10" s="16"/>
      <c r="AGG10" s="16"/>
      <c r="AGH10" s="16"/>
      <c r="AGI10" s="16"/>
      <c r="AGJ10" s="16"/>
      <c r="AGK10" s="16"/>
      <c r="AGL10" s="16"/>
      <c r="AGM10" s="16"/>
      <c r="AGN10" s="16"/>
      <c r="AGO10" s="16"/>
      <c r="AGP10" s="16"/>
      <c r="AGQ10" s="16"/>
      <c r="AGR10" s="16"/>
      <c r="AGS10" s="16"/>
      <c r="AGT10" s="16"/>
      <c r="AGU10" s="16"/>
      <c r="AGV10" s="16"/>
      <c r="AGW10" s="16"/>
      <c r="AGX10" s="16"/>
      <c r="AGY10" s="16"/>
      <c r="AGZ10" s="16"/>
      <c r="AHA10" s="16"/>
      <c r="AHB10" s="16"/>
      <c r="AHC10" s="16"/>
      <c r="AHD10" s="16"/>
      <c r="AHE10" s="16"/>
      <c r="AHF10" s="16"/>
      <c r="AHG10" s="16"/>
      <c r="AHH10" s="16"/>
      <c r="AHI10" s="16"/>
      <c r="AHJ10" s="16"/>
      <c r="AHK10" s="16"/>
      <c r="AHL10" s="16"/>
      <c r="AHM10" s="16"/>
      <c r="AHN10" s="16"/>
      <c r="AHO10" s="16"/>
      <c r="AHP10" s="16"/>
      <c r="AHQ10" s="16"/>
      <c r="AHR10" s="16"/>
      <c r="AHS10" s="16"/>
      <c r="AHT10" s="16"/>
      <c r="AHU10" s="16"/>
      <c r="AHV10" s="16"/>
      <c r="AHW10" s="16"/>
      <c r="AHX10" s="16"/>
      <c r="AHY10" s="16"/>
      <c r="AHZ10" s="16"/>
      <c r="AIA10" s="16"/>
      <c r="AIB10" s="16"/>
      <c r="AIC10" s="16"/>
      <c r="AID10" s="16"/>
      <c r="AIE10" s="16"/>
      <c r="AIF10" s="16"/>
      <c r="AIG10" s="16"/>
      <c r="AIH10" s="16"/>
      <c r="AII10" s="16"/>
      <c r="AIJ10" s="16"/>
      <c r="AIK10" s="16"/>
      <c r="AIL10" s="16"/>
      <c r="AIM10" s="16"/>
      <c r="AIN10" s="16"/>
      <c r="AIO10" s="16"/>
      <c r="AIP10" s="16"/>
      <c r="AIQ10" s="16"/>
      <c r="AIR10" s="16"/>
      <c r="AIS10" s="16"/>
      <c r="AIT10" s="16"/>
      <c r="AIU10" s="16"/>
      <c r="AIV10" s="16"/>
      <c r="AIW10" s="16"/>
      <c r="AIX10" s="16"/>
      <c r="AIY10" s="16"/>
      <c r="AIZ10" s="16"/>
      <c r="AJA10" s="16"/>
      <c r="AJB10" s="16"/>
      <c r="AJC10" s="16"/>
      <c r="AJD10" s="16"/>
      <c r="AJE10" s="16"/>
      <c r="AJF10" s="16"/>
      <c r="AJG10" s="16"/>
      <c r="AJH10" s="16"/>
      <c r="AJI10" s="16"/>
      <c r="AJJ10" s="16"/>
      <c r="AJK10" s="16"/>
      <c r="AJL10" s="16"/>
      <c r="AJM10" s="16"/>
      <c r="AJN10" s="16"/>
      <c r="AJO10" s="16"/>
      <c r="AJP10" s="16"/>
      <c r="AJQ10" s="16"/>
      <c r="AJR10" s="16"/>
      <c r="AJS10" s="16"/>
      <c r="AJT10" s="16"/>
      <c r="AJU10" s="16"/>
      <c r="AJV10" s="16"/>
      <c r="AJW10" s="16"/>
      <c r="AJX10" s="16"/>
      <c r="AJY10" s="16"/>
      <c r="AJZ10" s="16"/>
      <c r="AKA10" s="16"/>
      <c r="AKB10" s="16"/>
      <c r="AKC10" s="16"/>
      <c r="AKD10" s="16"/>
      <c r="AKE10" s="16"/>
      <c r="AKF10" s="16"/>
      <c r="AKG10" s="16"/>
      <c r="AKH10" s="16"/>
      <c r="AKI10" s="16"/>
      <c r="AKJ10" s="16"/>
      <c r="AKK10" s="16"/>
      <c r="AKL10" s="16"/>
      <c r="AKM10" s="16"/>
      <c r="AKN10" s="16"/>
      <c r="AKO10" s="16"/>
      <c r="AKP10" s="16"/>
      <c r="AKQ10" s="16"/>
      <c r="AKR10" s="16"/>
      <c r="AKS10" s="16"/>
      <c r="AKT10" s="16"/>
      <c r="AKU10" s="16"/>
      <c r="AKV10" s="16"/>
      <c r="AKW10" s="16"/>
      <c r="AKX10" s="16"/>
      <c r="AKY10" s="16"/>
      <c r="AKZ10" s="16"/>
      <c r="ALA10" s="16"/>
      <c r="ALB10" s="16"/>
      <c r="ALC10" s="16"/>
      <c r="ALD10" s="16"/>
      <c r="ALE10" s="16"/>
      <c r="ALF10" s="16"/>
      <c r="ALG10" s="16"/>
      <c r="ALH10" s="16"/>
      <c r="ALI10" s="16"/>
      <c r="ALJ10" s="16"/>
      <c r="ALK10" s="16"/>
      <c r="ALL10" s="16"/>
      <c r="ALM10" s="16"/>
      <c r="ALN10" s="16"/>
      <c r="ALO10" s="16"/>
      <c r="ALP10" s="16"/>
      <c r="ALQ10" s="16"/>
      <c r="ALR10" s="16"/>
      <c r="ALS10" s="16"/>
      <c r="ALT10" s="16"/>
      <c r="ALU10" s="16"/>
      <c r="ALV10" s="16"/>
      <c r="ALW10" s="16"/>
      <c r="ALX10" s="16"/>
      <c r="ALY10" s="16"/>
      <c r="ALZ10" s="16"/>
      <c r="AMA10" s="16"/>
      <c r="AMB10" s="16"/>
      <c r="AMC10" s="16"/>
      <c r="AMD10" s="16"/>
      <c r="AME10" s="16"/>
      <c r="AMF10" s="16"/>
      <c r="AMG10" s="16"/>
      <c r="AMH10" s="16"/>
      <c r="AMI10" s="16"/>
      <c r="AMJ10" s="16"/>
      <c r="AMK10" s="16"/>
      <c r="AML10" s="16"/>
      <c r="AMM10" s="16"/>
      <c r="AMN10" s="16"/>
      <c r="AMO10" s="16"/>
      <c r="AMP10" s="16"/>
      <c r="AMQ10" s="16"/>
      <c r="AMR10" s="16"/>
      <c r="AMS10" s="16"/>
      <c r="AMT10" s="16"/>
      <c r="AMU10" s="16"/>
      <c r="AMV10" s="16"/>
      <c r="AMW10" s="16"/>
      <c r="AMX10" s="16"/>
      <c r="AMY10" s="16"/>
      <c r="AMZ10" s="16"/>
      <c r="ANA10" s="16"/>
      <c r="ANB10" s="16"/>
      <c r="ANC10" s="16"/>
      <c r="AND10" s="16"/>
      <c r="ANE10" s="16"/>
      <c r="ANF10" s="16"/>
      <c r="ANG10" s="16"/>
      <c r="ANH10" s="16"/>
      <c r="ANI10" s="16"/>
      <c r="ANJ10" s="16"/>
      <c r="ANK10" s="16"/>
      <c r="ANL10" s="16"/>
      <c r="ANM10" s="16"/>
      <c r="ANN10" s="16"/>
      <c r="ANO10" s="16"/>
      <c r="ANP10" s="16"/>
      <c r="ANQ10" s="16"/>
      <c r="ANR10" s="16"/>
      <c r="ANS10" s="16"/>
      <c r="ANT10" s="16"/>
      <c r="ANU10" s="16"/>
      <c r="ANV10" s="16"/>
      <c r="ANW10" s="16"/>
      <c r="ANX10" s="16"/>
      <c r="ANY10" s="16"/>
      <c r="ANZ10" s="16"/>
      <c r="AOA10" s="16"/>
      <c r="AOB10" s="16"/>
      <c r="AOC10" s="16"/>
      <c r="AOD10" s="16"/>
      <c r="AOE10" s="16"/>
      <c r="AOF10" s="16"/>
      <c r="AOG10" s="16"/>
      <c r="AOH10" s="16"/>
      <c r="AOI10" s="16"/>
      <c r="AOJ10" s="16"/>
      <c r="AOK10" s="16"/>
      <c r="AOL10" s="16"/>
      <c r="AOM10" s="16"/>
      <c r="AON10" s="16"/>
      <c r="AOO10" s="16"/>
      <c r="AOP10" s="16"/>
      <c r="AOQ10" s="16"/>
      <c r="AOR10" s="16"/>
      <c r="AOS10" s="16"/>
      <c r="AOT10" s="16"/>
      <c r="AOU10" s="16"/>
      <c r="AOV10" s="16"/>
      <c r="AOW10" s="16"/>
      <c r="AOX10" s="16"/>
      <c r="AOY10" s="16"/>
      <c r="AOZ10" s="16"/>
      <c r="APA10" s="16"/>
      <c r="APB10" s="16"/>
      <c r="APC10" s="16"/>
      <c r="APD10" s="16"/>
      <c r="APE10" s="16"/>
      <c r="APF10" s="16"/>
      <c r="APG10" s="16"/>
      <c r="APH10" s="16"/>
      <c r="API10" s="16"/>
      <c r="APJ10" s="16"/>
      <c r="APK10" s="16"/>
      <c r="APL10" s="16"/>
      <c r="APM10" s="16"/>
      <c r="APN10" s="16"/>
      <c r="APO10" s="16"/>
      <c r="APP10" s="16"/>
      <c r="APQ10" s="16"/>
      <c r="APR10" s="16"/>
      <c r="APS10" s="16"/>
      <c r="APT10" s="16"/>
      <c r="APU10" s="16"/>
      <c r="APV10" s="16"/>
      <c r="APW10" s="16"/>
      <c r="APX10" s="16"/>
      <c r="APY10" s="16"/>
      <c r="APZ10" s="16"/>
      <c r="AQA10" s="16"/>
      <c r="AQB10" s="16"/>
      <c r="AQC10" s="16"/>
      <c r="AQD10" s="16"/>
      <c r="AQE10" s="16"/>
      <c r="AQF10" s="16"/>
      <c r="AQG10" s="16"/>
      <c r="AQH10" s="16"/>
      <c r="AQI10" s="16"/>
      <c r="AQJ10" s="16"/>
      <c r="AQK10" s="16"/>
      <c r="AQL10" s="16"/>
      <c r="AQM10" s="16"/>
      <c r="AQN10" s="16"/>
      <c r="AQO10" s="16"/>
      <c r="AQP10" s="16"/>
      <c r="AQQ10" s="16"/>
      <c r="AQR10" s="16"/>
      <c r="AQS10" s="16"/>
      <c r="AQT10" s="16"/>
      <c r="AQU10" s="16"/>
      <c r="AQV10" s="16"/>
      <c r="AQW10" s="16"/>
      <c r="AQX10" s="16"/>
      <c r="AQY10" s="16"/>
      <c r="AQZ10" s="16"/>
      <c r="ARA10" s="16"/>
      <c r="ARB10" s="16"/>
      <c r="ARC10" s="16"/>
      <c r="ARD10" s="16"/>
      <c r="ARE10" s="16"/>
      <c r="ARF10" s="16"/>
      <c r="ARG10" s="16"/>
      <c r="ARH10" s="16"/>
      <c r="ARI10" s="16"/>
      <c r="ARJ10" s="16"/>
      <c r="ARK10" s="16"/>
      <c r="ARL10" s="16"/>
      <c r="ARM10" s="16"/>
      <c r="ARN10" s="16"/>
      <c r="ARO10" s="16"/>
      <c r="ARP10" s="16"/>
      <c r="ARQ10" s="16"/>
      <c r="ARR10" s="16"/>
      <c r="ARS10" s="16"/>
      <c r="ART10" s="16"/>
      <c r="ARU10" s="16"/>
      <c r="ARV10" s="16"/>
      <c r="ARW10" s="16"/>
      <c r="ARX10" s="16"/>
      <c r="ARY10" s="16"/>
      <c r="ARZ10" s="16"/>
      <c r="ASA10" s="16"/>
      <c r="ASB10" s="16"/>
      <c r="ASC10" s="16"/>
      <c r="ASD10" s="16"/>
      <c r="ASE10" s="16"/>
      <c r="ASF10" s="16"/>
      <c r="ASG10" s="16"/>
      <c r="ASH10" s="16"/>
      <c r="ASI10" s="16"/>
      <c r="ASJ10" s="16"/>
      <c r="ASK10" s="16"/>
      <c r="ASL10" s="16"/>
      <c r="ASM10" s="16"/>
      <c r="ASN10" s="16"/>
      <c r="ASO10" s="16"/>
      <c r="ASP10" s="16"/>
      <c r="ASQ10" s="16"/>
      <c r="ASR10" s="16"/>
      <c r="ASS10" s="16"/>
      <c r="AST10" s="16"/>
      <c r="ASU10" s="16"/>
      <c r="ASV10" s="16"/>
      <c r="ASW10" s="16"/>
      <c r="ASX10" s="16"/>
      <c r="ASY10" s="16"/>
      <c r="ASZ10" s="16"/>
      <c r="ATA10" s="16"/>
      <c r="ATB10" s="16"/>
      <c r="ATC10" s="16"/>
      <c r="ATD10" s="16"/>
      <c r="ATE10" s="16"/>
      <c r="ATF10" s="16"/>
      <c r="ATG10" s="16"/>
      <c r="ATH10" s="16"/>
      <c r="ATI10" s="16"/>
      <c r="ATJ10" s="16"/>
      <c r="ATK10" s="16"/>
      <c r="ATL10" s="16"/>
      <c r="ATM10" s="16"/>
      <c r="ATN10" s="16"/>
      <c r="ATO10" s="16"/>
      <c r="ATP10" s="16"/>
      <c r="ATQ10" s="16"/>
      <c r="ATR10" s="16"/>
      <c r="ATS10" s="16"/>
      <c r="ATT10" s="16"/>
      <c r="ATU10" s="16"/>
      <c r="ATV10" s="16"/>
      <c r="ATW10" s="16"/>
      <c r="ATX10" s="16"/>
      <c r="ATY10" s="16"/>
      <c r="ATZ10" s="16"/>
      <c r="AUA10" s="16"/>
      <c r="AUB10" s="16"/>
      <c r="AUC10" s="16"/>
      <c r="AUD10" s="16"/>
      <c r="AUE10" s="16"/>
      <c r="AUF10" s="16"/>
      <c r="AUG10" s="16"/>
      <c r="AUH10" s="16"/>
      <c r="AUI10" s="16"/>
      <c r="AUJ10" s="16"/>
      <c r="AUK10" s="16"/>
      <c r="AUL10" s="16"/>
      <c r="AUM10" s="16"/>
      <c r="AUN10" s="16"/>
      <c r="AUO10" s="16"/>
      <c r="AUP10" s="16"/>
      <c r="AUQ10" s="16"/>
      <c r="AUR10" s="16"/>
      <c r="AUS10" s="16"/>
      <c r="AUT10" s="16"/>
      <c r="AUU10" s="16"/>
      <c r="AUV10" s="16"/>
      <c r="AUW10" s="16"/>
      <c r="AUX10" s="16"/>
      <c r="AUY10" s="16"/>
      <c r="AUZ10" s="16"/>
      <c r="AVA10" s="16"/>
      <c r="AVB10" s="16"/>
      <c r="AVC10" s="16"/>
      <c r="AVD10" s="16"/>
      <c r="AVE10" s="16"/>
      <c r="AVF10" s="16"/>
      <c r="AVG10" s="16"/>
      <c r="AVH10" s="16"/>
      <c r="AVI10" s="16"/>
      <c r="AVJ10" s="16"/>
      <c r="AVK10" s="16"/>
      <c r="AVL10" s="16"/>
      <c r="AVM10" s="16"/>
      <c r="AVN10" s="16"/>
      <c r="AVO10" s="16"/>
      <c r="AVP10" s="16"/>
      <c r="AVQ10" s="16"/>
      <c r="AVR10" s="16"/>
      <c r="AVS10" s="16"/>
      <c r="AVT10" s="16"/>
      <c r="AVU10" s="16"/>
      <c r="AVV10" s="16"/>
      <c r="AVW10" s="16"/>
      <c r="AVX10" s="16"/>
      <c r="AVY10" s="16"/>
      <c r="AVZ10" s="16"/>
      <c r="AWA10" s="16"/>
      <c r="AWB10" s="16"/>
      <c r="AWC10" s="16"/>
      <c r="AWD10" s="16"/>
      <c r="AWE10" s="16"/>
      <c r="AWF10" s="16"/>
      <c r="AWG10" s="16"/>
      <c r="AWH10" s="16"/>
      <c r="AWI10" s="16"/>
      <c r="AWJ10" s="16"/>
      <c r="AWK10" s="16"/>
      <c r="AWL10" s="16"/>
      <c r="AWM10" s="16"/>
      <c r="AWN10" s="16"/>
      <c r="AWO10" s="16"/>
      <c r="AWP10" s="16"/>
      <c r="AWQ10" s="16"/>
      <c r="AWR10" s="16"/>
      <c r="AWS10" s="16"/>
      <c r="AWT10" s="16"/>
      <c r="AWU10" s="16"/>
      <c r="AWV10" s="16"/>
      <c r="AWW10" s="16"/>
      <c r="AWX10" s="16"/>
      <c r="AWY10" s="16"/>
      <c r="AWZ10" s="16"/>
      <c r="AXA10" s="16"/>
      <c r="AXB10" s="16"/>
      <c r="AXC10" s="16"/>
      <c r="AXD10" s="16"/>
      <c r="AXE10" s="16"/>
      <c r="AXF10" s="16"/>
      <c r="AXG10" s="16"/>
      <c r="AXH10" s="16"/>
      <c r="AXI10" s="16"/>
      <c r="AXJ10" s="16"/>
      <c r="AXK10" s="16"/>
      <c r="AXL10" s="16"/>
      <c r="AXM10" s="16"/>
      <c r="AXN10" s="16"/>
      <c r="AXO10" s="16"/>
      <c r="AXP10" s="16"/>
      <c r="AXQ10" s="16"/>
      <c r="AXR10" s="16"/>
      <c r="AXS10" s="16"/>
      <c r="AXT10" s="16"/>
      <c r="AXU10" s="16"/>
      <c r="AXV10" s="16"/>
      <c r="AXW10" s="16"/>
      <c r="AXX10" s="16"/>
      <c r="AXY10" s="16"/>
      <c r="AXZ10" s="16"/>
      <c r="AYA10" s="16"/>
      <c r="AYB10" s="16"/>
      <c r="AYC10" s="16"/>
      <c r="AYD10" s="16"/>
      <c r="AYE10" s="16"/>
      <c r="AYF10" s="16"/>
      <c r="AYG10" s="16"/>
      <c r="AYH10" s="16"/>
      <c r="AYI10" s="16"/>
      <c r="AYJ10" s="16"/>
      <c r="AYK10" s="16"/>
      <c r="AYL10" s="16"/>
      <c r="AYM10" s="16"/>
      <c r="AYN10" s="16"/>
      <c r="AYO10" s="16"/>
      <c r="AYP10" s="16"/>
      <c r="AYQ10" s="16"/>
      <c r="AYR10" s="16"/>
      <c r="AYS10" s="16"/>
      <c r="AYT10" s="16"/>
      <c r="AYU10" s="16"/>
      <c r="AYV10" s="16"/>
      <c r="AYW10" s="16"/>
      <c r="AYX10" s="16"/>
      <c r="AYY10" s="16"/>
      <c r="AYZ10" s="16"/>
      <c r="AZA10" s="16"/>
      <c r="AZB10" s="16"/>
      <c r="AZC10" s="16"/>
      <c r="AZD10" s="16"/>
      <c r="AZE10" s="16"/>
      <c r="AZF10" s="16"/>
      <c r="AZG10" s="16"/>
      <c r="AZH10" s="16"/>
      <c r="AZI10" s="16"/>
      <c r="AZJ10" s="16"/>
      <c r="AZK10" s="16"/>
      <c r="AZL10" s="16"/>
      <c r="AZM10" s="16"/>
      <c r="AZN10" s="16"/>
      <c r="AZO10" s="16"/>
      <c r="AZP10" s="16"/>
      <c r="AZQ10" s="16"/>
      <c r="AZR10" s="16"/>
      <c r="AZS10" s="16"/>
      <c r="AZT10" s="16"/>
      <c r="AZU10" s="16"/>
      <c r="AZV10" s="16"/>
      <c r="AZW10" s="16"/>
      <c r="AZX10" s="16"/>
      <c r="AZY10" s="16"/>
      <c r="AZZ10" s="16"/>
      <c r="BAA10" s="16"/>
      <c r="BAB10" s="16"/>
      <c r="BAC10" s="16"/>
      <c r="BAD10" s="16"/>
      <c r="BAE10" s="16"/>
      <c r="BAF10" s="16"/>
      <c r="BAG10" s="16"/>
      <c r="BAH10" s="16"/>
      <c r="BAI10" s="16"/>
      <c r="BAJ10" s="16"/>
      <c r="BAK10" s="16"/>
      <c r="BAL10" s="16"/>
      <c r="BAM10" s="16"/>
      <c r="BAN10" s="16"/>
      <c r="BAO10" s="16"/>
      <c r="BAP10" s="16"/>
      <c r="BAQ10" s="16"/>
      <c r="BAR10" s="16"/>
      <c r="BAS10" s="16"/>
      <c r="BAT10" s="16"/>
      <c r="BAU10" s="16"/>
      <c r="BAV10" s="16"/>
      <c r="BAW10" s="16"/>
      <c r="BAX10" s="16"/>
      <c r="BAY10" s="16"/>
      <c r="BAZ10" s="16"/>
      <c r="BBA10" s="16"/>
      <c r="BBB10" s="16"/>
      <c r="BBC10" s="16"/>
      <c r="BBD10" s="16"/>
      <c r="BBE10" s="16"/>
      <c r="BBF10" s="16"/>
      <c r="BBG10" s="16"/>
      <c r="BBH10" s="16"/>
      <c r="BBI10" s="16"/>
      <c r="BBJ10" s="16"/>
      <c r="BBK10" s="16"/>
      <c r="BBL10" s="16"/>
      <c r="BBM10" s="16"/>
      <c r="BBN10" s="16"/>
      <c r="BBO10" s="16"/>
      <c r="BBP10" s="16"/>
      <c r="BBQ10" s="16"/>
      <c r="BBR10" s="16"/>
      <c r="BBS10" s="16"/>
      <c r="BBT10" s="16"/>
      <c r="BBU10" s="16"/>
      <c r="BBV10" s="16"/>
      <c r="BBW10" s="16"/>
      <c r="BBX10" s="16"/>
      <c r="BBY10" s="16"/>
      <c r="BBZ10" s="16"/>
      <c r="BCA10" s="16"/>
      <c r="BCB10" s="16"/>
      <c r="BCC10" s="16"/>
      <c r="BCD10" s="16"/>
      <c r="BCE10" s="16"/>
      <c r="BCF10" s="16"/>
      <c r="BCG10" s="16"/>
      <c r="BCH10" s="16"/>
      <c r="BCI10" s="16"/>
      <c r="BCJ10" s="16"/>
      <c r="BCK10" s="16"/>
      <c r="BCL10" s="16"/>
      <c r="BCM10" s="16"/>
      <c r="BCN10" s="16"/>
      <c r="BCO10" s="16"/>
      <c r="BCP10" s="16"/>
      <c r="BCQ10" s="16"/>
      <c r="BCR10" s="16"/>
      <c r="BCS10" s="16"/>
      <c r="BCT10" s="16"/>
      <c r="BCU10" s="16"/>
      <c r="BCV10" s="16"/>
      <c r="BCW10" s="16"/>
      <c r="BCX10" s="16"/>
      <c r="BCY10" s="16"/>
      <c r="BCZ10" s="16"/>
      <c r="BDA10" s="16"/>
      <c r="BDB10" s="16"/>
      <c r="BDC10" s="16"/>
      <c r="BDD10" s="16"/>
      <c r="BDE10" s="16"/>
      <c r="BDF10" s="16"/>
      <c r="BDG10" s="16"/>
      <c r="BDH10" s="16"/>
      <c r="BDI10" s="16"/>
      <c r="BDJ10" s="16"/>
      <c r="BDK10" s="16"/>
      <c r="BDL10" s="16"/>
      <c r="BDM10" s="16"/>
      <c r="BDN10" s="16"/>
      <c r="BDO10" s="16"/>
      <c r="BDP10" s="16"/>
      <c r="BDQ10" s="16"/>
      <c r="BDR10" s="16"/>
      <c r="BDS10" s="16"/>
      <c r="BDT10" s="16"/>
      <c r="BDU10" s="16"/>
      <c r="BDV10" s="16"/>
      <c r="BDW10" s="16"/>
      <c r="BDX10" s="16"/>
      <c r="BDY10" s="16"/>
      <c r="BDZ10" s="16"/>
      <c r="BEA10" s="16"/>
      <c r="BEB10" s="16"/>
      <c r="BEC10" s="16"/>
      <c r="BED10" s="16"/>
      <c r="BEE10" s="16"/>
      <c r="BEF10" s="16"/>
      <c r="BEG10" s="16"/>
      <c r="BEH10" s="16"/>
      <c r="BEI10" s="16"/>
      <c r="BEJ10" s="16"/>
      <c r="BEK10" s="16"/>
      <c r="BEL10" s="16"/>
      <c r="BEM10" s="16"/>
      <c r="BEN10" s="16"/>
      <c r="BEO10" s="16"/>
      <c r="BEP10" s="16"/>
      <c r="BEQ10" s="16"/>
      <c r="BER10" s="16"/>
      <c r="BES10" s="16"/>
      <c r="BET10" s="16"/>
      <c r="BEU10" s="16"/>
      <c r="BEV10" s="16"/>
      <c r="BEW10" s="16"/>
      <c r="BEX10" s="16"/>
      <c r="BEY10" s="16"/>
      <c r="BEZ10" s="16"/>
      <c r="BFA10" s="16"/>
      <c r="BFB10" s="16"/>
      <c r="BFC10" s="16"/>
      <c r="BFD10" s="16"/>
      <c r="BFE10" s="16"/>
      <c r="BFF10" s="16"/>
      <c r="BFG10" s="16"/>
      <c r="BFH10" s="16"/>
      <c r="BFI10" s="16"/>
      <c r="BFJ10" s="16"/>
      <c r="BFK10" s="16"/>
      <c r="BFL10" s="16"/>
      <c r="BFM10" s="16"/>
      <c r="BFN10" s="16"/>
      <c r="BFO10" s="16"/>
      <c r="BFP10" s="16"/>
      <c r="BFQ10" s="16"/>
      <c r="BFR10" s="16"/>
      <c r="BFS10" s="16"/>
      <c r="BFT10" s="16"/>
      <c r="BFU10" s="16"/>
      <c r="BFV10" s="16"/>
      <c r="BFW10" s="16"/>
      <c r="BFX10" s="16"/>
      <c r="BFY10" s="16"/>
      <c r="BFZ10" s="16"/>
      <c r="BGA10" s="16"/>
      <c r="BGB10" s="16"/>
      <c r="BGC10" s="16"/>
      <c r="BGD10" s="16"/>
      <c r="BGE10" s="16"/>
      <c r="BGF10" s="16"/>
      <c r="BGG10" s="16"/>
      <c r="BGH10" s="16"/>
      <c r="BGI10" s="16"/>
      <c r="BGJ10" s="16"/>
      <c r="BGK10" s="16"/>
      <c r="BGL10" s="16"/>
      <c r="BGM10" s="16"/>
      <c r="BGN10" s="16"/>
      <c r="BGO10" s="16"/>
      <c r="BGP10" s="16"/>
      <c r="BGQ10" s="16"/>
      <c r="BGR10" s="16"/>
      <c r="BGS10" s="16"/>
      <c r="BGT10" s="16"/>
      <c r="BGU10" s="16"/>
      <c r="BGV10" s="16"/>
      <c r="BGW10" s="16"/>
      <c r="BGX10" s="16"/>
      <c r="BGY10" s="16"/>
      <c r="BGZ10" s="16"/>
      <c r="BHA10" s="16"/>
      <c r="BHB10" s="16"/>
      <c r="BHC10" s="16"/>
      <c r="BHD10" s="16"/>
      <c r="BHE10" s="16"/>
      <c r="BHF10" s="16"/>
      <c r="BHG10" s="16"/>
      <c r="BHH10" s="16"/>
      <c r="BHI10" s="16"/>
      <c r="BHJ10" s="16"/>
      <c r="BHK10" s="16"/>
      <c r="BHL10" s="16"/>
      <c r="BHM10" s="16"/>
      <c r="BHN10" s="16"/>
      <c r="BHO10" s="16"/>
      <c r="BHP10" s="16"/>
      <c r="BHQ10" s="16"/>
    </row>
    <row r="11" spans="1:1577" s="4" customFormat="1" ht="108" x14ac:dyDescent="0.25">
      <c r="A11" s="330" t="s">
        <v>98</v>
      </c>
      <c r="B11" s="330" t="s">
        <v>100</v>
      </c>
      <c r="C11" s="330" t="s">
        <v>99</v>
      </c>
      <c r="D11" s="6" t="s">
        <v>1144</v>
      </c>
      <c r="E11" s="6" t="s">
        <v>289</v>
      </c>
      <c r="F11" s="330" t="s">
        <v>290</v>
      </c>
      <c r="G11" s="1038" t="s">
        <v>115</v>
      </c>
      <c r="H11" s="1038" t="s">
        <v>114</v>
      </c>
      <c r="I11" s="1038" t="s">
        <v>116</v>
      </c>
      <c r="J11" s="306"/>
      <c r="K11" s="1028"/>
      <c r="L11" s="186" t="s">
        <v>1157</v>
      </c>
      <c r="M11" s="330" t="s">
        <v>1098</v>
      </c>
      <c r="N11" s="330" t="s">
        <v>1098</v>
      </c>
      <c r="O11" s="6" t="s">
        <v>1158</v>
      </c>
      <c r="P11" s="8" t="s">
        <v>1159</v>
      </c>
      <c r="Q11" s="6" t="s">
        <v>51</v>
      </c>
      <c r="R11" s="6">
        <v>0</v>
      </c>
      <c r="S11" s="6">
        <v>85</v>
      </c>
      <c r="T11" s="305"/>
      <c r="U11" s="305"/>
      <c r="V11" s="305"/>
      <c r="W11" s="305"/>
      <c r="X11" s="305"/>
      <c r="Y11" s="305"/>
      <c r="Z11" s="1029"/>
      <c r="AA11" s="185"/>
      <c r="AB11" s="6">
        <v>3</v>
      </c>
      <c r="AC11" s="6">
        <v>3</v>
      </c>
      <c r="AD11" s="308">
        <v>1</v>
      </c>
      <c r="AE11" s="19" t="s">
        <v>1160</v>
      </c>
      <c r="AF11" s="6"/>
      <c r="AG11" s="6"/>
      <c r="AH11" s="308"/>
      <c r="AI11" s="19"/>
      <c r="AJ11" s="6">
        <v>4</v>
      </c>
      <c r="AK11" s="6">
        <v>4</v>
      </c>
      <c r="AL11" s="308">
        <v>1</v>
      </c>
      <c r="AM11" s="19" t="s">
        <v>1161</v>
      </c>
      <c r="AN11" s="6"/>
      <c r="AO11" s="6"/>
      <c r="AP11" s="308"/>
      <c r="AQ11" s="19"/>
      <c r="AR11" s="6">
        <v>7</v>
      </c>
      <c r="AS11" s="6">
        <v>7</v>
      </c>
      <c r="AT11" s="308">
        <f>+AR11/AS11</f>
        <v>1</v>
      </c>
      <c r="AU11" s="19" t="s">
        <v>1162</v>
      </c>
      <c r="AV11" s="6"/>
      <c r="AW11" s="6"/>
      <c r="AX11" s="308"/>
      <c r="AY11" s="19"/>
      <c r="AZ11" s="6">
        <v>8</v>
      </c>
      <c r="BA11" s="6">
        <v>9</v>
      </c>
      <c r="BB11" s="308">
        <f>+AZ11/BA11</f>
        <v>0.88888888888888884</v>
      </c>
      <c r="BC11" s="19" t="s">
        <v>1163</v>
      </c>
      <c r="BD11" s="6"/>
      <c r="BE11" s="6"/>
      <c r="BF11" s="308"/>
      <c r="BG11" s="19"/>
      <c r="BH11" s="6">
        <v>9</v>
      </c>
      <c r="BI11" s="6">
        <v>10</v>
      </c>
      <c r="BJ11" s="308">
        <f>+BH11/BI11</f>
        <v>0.9</v>
      </c>
      <c r="BK11" s="19" t="s">
        <v>1164</v>
      </c>
      <c r="BL11" s="6"/>
      <c r="BM11" s="6"/>
      <c r="BN11" s="308"/>
      <c r="BO11" s="19"/>
      <c r="BP11" s="6">
        <v>10</v>
      </c>
      <c r="BQ11" s="6">
        <v>11</v>
      </c>
      <c r="BR11" s="308">
        <f>+BP11/BQ11</f>
        <v>0.90909090909090906</v>
      </c>
      <c r="BS11" s="19" t="s">
        <v>1165</v>
      </c>
      <c r="BT11" s="6"/>
      <c r="BU11" s="6"/>
      <c r="BV11" s="308"/>
      <c r="BW11" s="19"/>
      <c r="BX11" s="6">
        <v>12</v>
      </c>
      <c r="BY11" s="6">
        <v>14</v>
      </c>
      <c r="BZ11" s="308">
        <f>+BX11/BY11</f>
        <v>0.8571428571428571</v>
      </c>
      <c r="CA11" s="19" t="s">
        <v>1166</v>
      </c>
      <c r="CB11" s="6"/>
      <c r="CC11" s="6"/>
      <c r="CD11" s="308"/>
      <c r="CE11" s="19"/>
      <c r="CF11" s="6">
        <v>12</v>
      </c>
      <c r="CG11" s="6">
        <v>15</v>
      </c>
      <c r="CH11" s="308">
        <f>+CF11/CG11</f>
        <v>0.8</v>
      </c>
      <c r="CI11" s="19" t="s">
        <v>1167</v>
      </c>
      <c r="CJ11" s="6"/>
      <c r="CK11" s="6"/>
      <c r="CL11" s="308"/>
      <c r="CM11" s="19"/>
      <c r="CN11" s="6">
        <v>15</v>
      </c>
      <c r="CO11" s="6">
        <v>18</v>
      </c>
      <c r="CP11" s="308">
        <f>+CN11/CO11</f>
        <v>0.83333333333333337</v>
      </c>
      <c r="CQ11" s="19" t="s">
        <v>1168</v>
      </c>
      <c r="CR11" s="6"/>
      <c r="CS11" s="6"/>
      <c r="CT11" s="308"/>
      <c r="CU11" s="19"/>
      <c r="CX11" s="959"/>
      <c r="CY11" s="959"/>
      <c r="CZ11" s="16"/>
      <c r="DA11" s="16"/>
      <c r="DB11" s="16"/>
      <c r="DC11" s="16"/>
      <c r="DD11" s="16"/>
      <c r="DE11" s="16"/>
      <c r="DF11" s="16"/>
      <c r="DG11" s="16"/>
      <c r="DH11" s="16"/>
      <c r="DI11" s="16"/>
      <c r="DJ11" s="16"/>
      <c r="DK11" s="16"/>
      <c r="DL11" s="16"/>
      <c r="DM11" s="16"/>
      <c r="DN11" s="16"/>
      <c r="DO11" s="16"/>
      <c r="DP11" s="16"/>
      <c r="DQ11" s="16"/>
      <c r="DR11" s="16"/>
      <c r="DS11" s="16"/>
      <c r="DT11" s="16"/>
      <c r="DU11" s="16"/>
      <c r="DV11" s="16"/>
      <c r="DW11" s="16"/>
      <c r="DX11" s="16"/>
      <c r="DY11" s="16"/>
      <c r="DZ11" s="16"/>
      <c r="EA11" s="16"/>
      <c r="EB11" s="16"/>
      <c r="EC11" s="16"/>
      <c r="ED11" s="16"/>
      <c r="EE11" s="16"/>
      <c r="EF11" s="16"/>
      <c r="EG11" s="16"/>
      <c r="EH11" s="16"/>
      <c r="EI11" s="16"/>
      <c r="EJ11" s="16"/>
      <c r="EK11" s="16"/>
      <c r="EL11" s="16"/>
      <c r="EM11" s="16"/>
      <c r="EN11" s="16"/>
      <c r="EO11" s="16"/>
      <c r="EP11" s="16"/>
      <c r="EQ11" s="16"/>
      <c r="ER11" s="16"/>
      <c r="ES11" s="16"/>
      <c r="ET11" s="16"/>
      <c r="EU11" s="16"/>
      <c r="EV11" s="16"/>
      <c r="EW11" s="16"/>
      <c r="EX11" s="16"/>
      <c r="EY11" s="16"/>
      <c r="EZ11" s="16"/>
      <c r="FA11" s="16"/>
      <c r="FB11" s="16"/>
      <c r="FC11" s="16"/>
      <c r="FD11" s="16"/>
      <c r="FE11" s="16"/>
      <c r="FF11" s="16"/>
      <c r="FG11" s="16"/>
      <c r="FH11" s="16"/>
      <c r="FI11" s="16"/>
      <c r="FJ11" s="16"/>
      <c r="FK11" s="16"/>
      <c r="FL11" s="16"/>
      <c r="FM11" s="16"/>
      <c r="FN11" s="16"/>
      <c r="FO11" s="16"/>
      <c r="FP11" s="16"/>
      <c r="FQ11" s="16"/>
      <c r="FR11" s="16"/>
      <c r="FS11" s="16"/>
      <c r="FT11" s="16"/>
      <c r="FU11" s="16"/>
      <c r="FV11" s="16"/>
      <c r="FW11" s="16"/>
      <c r="FX11" s="16"/>
      <c r="FY11" s="16"/>
      <c r="FZ11" s="16"/>
      <c r="GA11" s="16"/>
      <c r="GB11" s="16"/>
      <c r="GC11" s="16"/>
      <c r="GD11" s="16"/>
      <c r="GE11" s="16"/>
      <c r="GF11" s="16"/>
      <c r="GG11" s="16"/>
      <c r="GH11" s="16"/>
      <c r="GI11" s="16"/>
      <c r="GJ11" s="16"/>
      <c r="GK11" s="16"/>
      <c r="GL11" s="16"/>
      <c r="GM11" s="16"/>
      <c r="GN11" s="16"/>
      <c r="GO11" s="16"/>
      <c r="GP11" s="16"/>
      <c r="GQ11" s="16"/>
      <c r="GR11" s="16"/>
      <c r="GS11" s="16"/>
      <c r="GT11" s="16"/>
      <c r="GU11" s="16"/>
      <c r="GV11" s="16"/>
      <c r="GW11" s="16"/>
      <c r="GX11" s="16"/>
      <c r="GY11" s="16"/>
      <c r="GZ11" s="16"/>
      <c r="HA11" s="16"/>
      <c r="HB11" s="16"/>
      <c r="HC11" s="16"/>
      <c r="HD11" s="16"/>
      <c r="HE11" s="16"/>
      <c r="HF11" s="16"/>
      <c r="HG11" s="16"/>
      <c r="HH11" s="16"/>
      <c r="HI11" s="16"/>
      <c r="HJ11" s="16"/>
      <c r="HK11" s="16"/>
      <c r="HL11" s="16"/>
      <c r="HM11" s="16"/>
      <c r="HN11" s="16"/>
      <c r="HO11" s="16"/>
      <c r="HP11" s="16"/>
      <c r="HQ11" s="16"/>
      <c r="HR11" s="16"/>
      <c r="HS11" s="16"/>
      <c r="HT11" s="16"/>
      <c r="HU11" s="16"/>
      <c r="HV11" s="16"/>
      <c r="HW11" s="16"/>
      <c r="HX11" s="16"/>
      <c r="HY11" s="16"/>
      <c r="HZ11" s="16"/>
      <c r="IA11" s="16"/>
      <c r="IB11" s="16"/>
      <c r="IC11" s="16"/>
      <c r="ID11" s="16"/>
      <c r="IE11" s="16"/>
      <c r="IF11" s="16"/>
      <c r="IG11" s="16"/>
      <c r="IH11" s="16"/>
      <c r="II11" s="16"/>
      <c r="IJ11" s="16"/>
      <c r="IK11" s="16"/>
      <c r="IL11" s="16"/>
      <c r="IM11" s="16"/>
      <c r="IN11" s="16"/>
      <c r="IO11" s="16"/>
      <c r="IP11" s="16"/>
      <c r="IQ11" s="16"/>
      <c r="IR11" s="16"/>
      <c r="IS11" s="16"/>
      <c r="IT11" s="16"/>
      <c r="IU11" s="16"/>
      <c r="IV11" s="16"/>
      <c r="IW11" s="16"/>
      <c r="IX11" s="16"/>
      <c r="IY11" s="16"/>
      <c r="IZ11" s="16"/>
      <c r="JA11" s="16"/>
      <c r="JB11" s="16"/>
      <c r="JC11" s="16"/>
      <c r="JD11" s="16"/>
      <c r="JE11" s="16"/>
      <c r="JF11" s="16"/>
      <c r="JG11" s="16"/>
      <c r="JH11" s="16"/>
      <c r="JI11" s="16"/>
      <c r="JJ11" s="16"/>
      <c r="JK11" s="16"/>
      <c r="JL11" s="16"/>
      <c r="JM11" s="16"/>
      <c r="JN11" s="16"/>
      <c r="JO11" s="16"/>
      <c r="JP11" s="16"/>
      <c r="JQ11" s="16"/>
      <c r="JR11" s="16"/>
      <c r="JS11" s="16"/>
      <c r="JT11" s="16"/>
      <c r="JU11" s="16"/>
      <c r="JV11" s="16"/>
      <c r="JW11" s="16"/>
      <c r="JX11" s="16"/>
      <c r="JY11" s="16"/>
      <c r="JZ11" s="16"/>
      <c r="KA11" s="16"/>
      <c r="KB11" s="16"/>
      <c r="KC11" s="16"/>
      <c r="KD11" s="16"/>
      <c r="KE11" s="16"/>
      <c r="KF11" s="16"/>
      <c r="KG11" s="16"/>
      <c r="KH11" s="16"/>
      <c r="KI11" s="16"/>
      <c r="KJ11" s="16"/>
      <c r="KK11" s="16"/>
      <c r="KL11" s="16"/>
      <c r="KM11" s="16"/>
      <c r="KN11" s="16"/>
      <c r="KO11" s="16"/>
      <c r="KP11" s="16"/>
      <c r="KQ11" s="16"/>
      <c r="KR11" s="16"/>
      <c r="KS11" s="16"/>
      <c r="KT11" s="16"/>
      <c r="KU11" s="16"/>
      <c r="KV11" s="16"/>
      <c r="KW11" s="16"/>
      <c r="KX11" s="16"/>
      <c r="KY11" s="16"/>
      <c r="KZ11" s="16"/>
      <c r="LA11" s="16"/>
      <c r="LB11" s="16"/>
      <c r="LC11" s="16"/>
      <c r="LD11" s="16"/>
      <c r="LE11" s="16"/>
      <c r="LF11" s="16"/>
      <c r="LG11" s="16"/>
      <c r="LH11" s="16"/>
      <c r="LI11" s="16"/>
      <c r="LJ11" s="16"/>
      <c r="LK11" s="16"/>
      <c r="LL11" s="16"/>
      <c r="LM11" s="16"/>
      <c r="LN11" s="16"/>
      <c r="LO11" s="16"/>
      <c r="LP11" s="16"/>
      <c r="LQ11" s="16"/>
      <c r="LR11" s="16"/>
      <c r="LS11" s="16"/>
      <c r="LT11" s="16"/>
      <c r="LU11" s="16"/>
      <c r="LV11" s="16"/>
      <c r="LW11" s="16"/>
      <c r="LX11" s="16"/>
      <c r="LY11" s="16"/>
      <c r="LZ11" s="16"/>
      <c r="MA11" s="16"/>
      <c r="MB11" s="16"/>
      <c r="MC11" s="16"/>
      <c r="MD11" s="16"/>
      <c r="ME11" s="16"/>
      <c r="MF11" s="16"/>
      <c r="MG11" s="16"/>
      <c r="MH11" s="16"/>
      <c r="MI11" s="16"/>
      <c r="MJ11" s="16"/>
      <c r="MK11" s="16"/>
      <c r="ML11" s="16"/>
      <c r="MM11" s="16"/>
      <c r="MN11" s="16"/>
      <c r="MO11" s="16"/>
      <c r="MP11" s="16"/>
      <c r="MQ11" s="16"/>
      <c r="MR11" s="16"/>
      <c r="MS11" s="16"/>
      <c r="MT11" s="16"/>
      <c r="MU11" s="16"/>
      <c r="MV11" s="16"/>
      <c r="MW11" s="16"/>
      <c r="MX11" s="16"/>
      <c r="MY11" s="16"/>
      <c r="MZ11" s="16"/>
      <c r="NA11" s="16"/>
      <c r="NB11" s="16"/>
      <c r="NC11" s="16"/>
      <c r="ND11" s="16"/>
      <c r="NE11" s="16"/>
      <c r="NF11" s="16"/>
      <c r="NG11" s="16"/>
      <c r="NH11" s="16"/>
      <c r="NI11" s="16"/>
      <c r="NJ11" s="16"/>
      <c r="NK11" s="16"/>
      <c r="NL11" s="16"/>
      <c r="NM11" s="16"/>
      <c r="NN11" s="16"/>
      <c r="NO11" s="16"/>
      <c r="NP11" s="16"/>
      <c r="NQ11" s="16"/>
      <c r="NR11" s="16"/>
      <c r="NS11" s="16"/>
      <c r="NT11" s="16"/>
      <c r="NU11" s="16"/>
      <c r="NV11" s="16"/>
      <c r="NW11" s="16"/>
      <c r="NX11" s="16"/>
      <c r="NY11" s="16"/>
      <c r="NZ11" s="16"/>
      <c r="OA11" s="16"/>
      <c r="OB11" s="16"/>
      <c r="OC11" s="16"/>
      <c r="OD11" s="16"/>
      <c r="OE11" s="16"/>
      <c r="OF11" s="16"/>
      <c r="OG11" s="16"/>
      <c r="OH11" s="16"/>
      <c r="OI11" s="16"/>
      <c r="OJ11" s="16"/>
      <c r="OK11" s="16"/>
      <c r="OL11" s="16"/>
      <c r="OM11" s="16"/>
      <c r="ON11" s="16"/>
      <c r="OO11" s="16"/>
      <c r="OP11" s="16"/>
      <c r="OQ11" s="16"/>
      <c r="OR11" s="16"/>
      <c r="OS11" s="16"/>
      <c r="OT11" s="16"/>
      <c r="OU11" s="16"/>
      <c r="OV11" s="16"/>
      <c r="OW11" s="16"/>
      <c r="OX11" s="16"/>
      <c r="OY11" s="16"/>
      <c r="OZ11" s="16"/>
      <c r="PA11" s="16"/>
      <c r="PB11" s="16"/>
      <c r="PC11" s="16"/>
      <c r="PD11" s="16"/>
      <c r="PE11" s="16"/>
      <c r="PF11" s="16"/>
      <c r="PG11" s="16"/>
      <c r="PH11" s="16"/>
      <c r="PI11" s="16"/>
      <c r="PJ11" s="16"/>
      <c r="PK11" s="16"/>
      <c r="PL11" s="16"/>
      <c r="PM11" s="16"/>
      <c r="PN11" s="16"/>
      <c r="PO11" s="16"/>
      <c r="PP11" s="16"/>
      <c r="PQ11" s="16"/>
      <c r="PR11" s="16"/>
      <c r="PS11" s="16"/>
      <c r="PT11" s="16"/>
      <c r="PU11" s="16"/>
      <c r="PV11" s="16"/>
      <c r="PW11" s="16"/>
      <c r="PX11" s="16"/>
      <c r="PY11" s="16"/>
      <c r="PZ11" s="16"/>
      <c r="QA11" s="16"/>
      <c r="QB11" s="16"/>
      <c r="QC11" s="16"/>
      <c r="QD11" s="16"/>
      <c r="QE11" s="16"/>
      <c r="QF11" s="16"/>
      <c r="QG11" s="16"/>
      <c r="QH11" s="16"/>
      <c r="QI11" s="16"/>
      <c r="QJ11" s="16"/>
      <c r="QK11" s="16"/>
      <c r="QL11" s="16"/>
      <c r="QM11" s="16"/>
      <c r="QN11" s="16"/>
      <c r="QO11" s="16"/>
      <c r="QP11" s="16"/>
      <c r="QQ11" s="16"/>
      <c r="QR11" s="16"/>
      <c r="QS11" s="16"/>
      <c r="QT11" s="16"/>
      <c r="QU11" s="16"/>
      <c r="QV11" s="16"/>
      <c r="QW11" s="16"/>
      <c r="QX11" s="16"/>
      <c r="QY11" s="16"/>
      <c r="QZ11" s="16"/>
      <c r="RA11" s="16"/>
      <c r="RB11" s="16"/>
      <c r="RC11" s="16"/>
      <c r="RD11" s="16"/>
      <c r="RE11" s="16"/>
      <c r="RF11" s="16"/>
      <c r="RG11" s="16"/>
      <c r="RH11" s="16"/>
      <c r="RI11" s="16"/>
      <c r="RJ11" s="16"/>
      <c r="RK11" s="16"/>
      <c r="RL11" s="16"/>
      <c r="RM11" s="16"/>
      <c r="RN11" s="16"/>
      <c r="RO11" s="16"/>
      <c r="RP11" s="16"/>
      <c r="RQ11" s="16"/>
      <c r="RR11" s="16"/>
      <c r="RS11" s="16"/>
      <c r="RT11" s="16"/>
      <c r="RU11" s="16"/>
      <c r="RV11" s="16"/>
      <c r="RW11" s="16"/>
      <c r="RX11" s="16"/>
      <c r="RY11" s="16"/>
      <c r="RZ11" s="16"/>
      <c r="SA11" s="16"/>
      <c r="SB11" s="16"/>
      <c r="SC11" s="16"/>
      <c r="SD11" s="16"/>
      <c r="SE11" s="16"/>
      <c r="SF11" s="16"/>
      <c r="SG11" s="16"/>
      <c r="SH11" s="16"/>
      <c r="SI11" s="16"/>
      <c r="SJ11" s="16"/>
      <c r="SK11" s="16"/>
      <c r="SL11" s="16"/>
      <c r="SM11" s="16"/>
      <c r="SN11" s="16"/>
      <c r="SO11" s="16"/>
      <c r="SP11" s="16"/>
      <c r="SQ11" s="16"/>
      <c r="SR11" s="16"/>
      <c r="SS11" s="16"/>
      <c r="ST11" s="16"/>
      <c r="SU11" s="16"/>
      <c r="SV11" s="16"/>
      <c r="SW11" s="16"/>
      <c r="SX11" s="16"/>
      <c r="SY11" s="16"/>
      <c r="SZ11" s="16"/>
      <c r="TA11" s="16"/>
      <c r="TB11" s="16"/>
      <c r="TC11" s="16"/>
      <c r="TD11" s="16"/>
      <c r="TE11" s="16"/>
      <c r="TF11" s="16"/>
      <c r="TG11" s="16"/>
      <c r="TH11" s="16"/>
      <c r="TI11" s="16"/>
      <c r="TJ11" s="16"/>
      <c r="TK11" s="16"/>
      <c r="TL11" s="16"/>
      <c r="TM11" s="16"/>
      <c r="TN11" s="16"/>
      <c r="TO11" s="16"/>
      <c r="TP11" s="16"/>
      <c r="TQ11" s="16"/>
      <c r="TR11" s="16"/>
      <c r="TS11" s="16"/>
      <c r="TT11" s="16"/>
      <c r="TU11" s="16"/>
      <c r="TV11" s="16"/>
      <c r="TW11" s="16"/>
      <c r="TX11" s="16"/>
      <c r="TY11" s="16"/>
      <c r="TZ11" s="16"/>
      <c r="UA11" s="16"/>
      <c r="UB11" s="16"/>
      <c r="UC11" s="16"/>
      <c r="UD11" s="16"/>
      <c r="UE11" s="16"/>
      <c r="UF11" s="16"/>
      <c r="UG11" s="16"/>
      <c r="UH11" s="16"/>
      <c r="UI11" s="16"/>
      <c r="UJ11" s="16"/>
      <c r="UK11" s="16"/>
      <c r="UL11" s="16"/>
      <c r="UM11" s="16"/>
      <c r="UN11" s="16"/>
      <c r="UO11" s="16"/>
      <c r="UP11" s="16"/>
      <c r="UQ11" s="16"/>
      <c r="UR11" s="16"/>
      <c r="US11" s="16"/>
      <c r="UT11" s="16"/>
      <c r="UU11" s="16"/>
      <c r="UV11" s="16"/>
      <c r="UW11" s="16"/>
      <c r="UX11" s="16"/>
      <c r="UY11" s="16"/>
      <c r="UZ11" s="16"/>
      <c r="VA11" s="16"/>
      <c r="VB11" s="16"/>
      <c r="VC11" s="16"/>
      <c r="VD11" s="16"/>
      <c r="VE11" s="16"/>
      <c r="VF11" s="16"/>
      <c r="VG11" s="16"/>
      <c r="VH11" s="16"/>
      <c r="VI11" s="16"/>
      <c r="VJ11" s="16"/>
      <c r="VK11" s="16"/>
      <c r="VL11" s="16"/>
      <c r="VM11" s="16"/>
      <c r="VN11" s="16"/>
      <c r="VO11" s="16"/>
      <c r="VP11" s="16"/>
      <c r="VQ11" s="16"/>
      <c r="VR11" s="16"/>
      <c r="VS11" s="16"/>
      <c r="VT11" s="16"/>
      <c r="VU11" s="16"/>
      <c r="VV11" s="16"/>
      <c r="VW11" s="16"/>
      <c r="VX11" s="16"/>
      <c r="VY11" s="16"/>
      <c r="VZ11" s="16"/>
      <c r="WA11" s="16"/>
      <c r="WB11" s="16"/>
      <c r="WC11" s="16"/>
      <c r="WD11" s="16"/>
      <c r="WE11" s="16"/>
      <c r="WF11" s="16"/>
      <c r="WG11" s="16"/>
      <c r="WH11" s="16"/>
      <c r="WI11" s="16"/>
      <c r="WJ11" s="16"/>
      <c r="WK11" s="16"/>
      <c r="WL11" s="16"/>
      <c r="WM11" s="16"/>
      <c r="WN11" s="16"/>
      <c r="WO11" s="16"/>
      <c r="WP11" s="16"/>
      <c r="WQ11" s="16"/>
      <c r="WR11" s="16"/>
      <c r="WS11" s="16"/>
      <c r="WT11" s="16"/>
      <c r="WU11" s="16"/>
      <c r="WV11" s="16"/>
      <c r="WW11" s="16"/>
      <c r="WX11" s="16"/>
      <c r="WY11" s="16"/>
      <c r="WZ11" s="16"/>
      <c r="XA11" s="16"/>
      <c r="XB11" s="16"/>
      <c r="XC11" s="16"/>
      <c r="XD11" s="16"/>
      <c r="XE11" s="16"/>
      <c r="XF11" s="16"/>
      <c r="XG11" s="16"/>
      <c r="XH11" s="16"/>
      <c r="XI11" s="16"/>
      <c r="XJ11" s="16"/>
      <c r="XK11" s="16"/>
      <c r="XL11" s="16"/>
      <c r="XM11" s="16"/>
      <c r="XN11" s="16"/>
      <c r="XO11" s="16"/>
      <c r="XP11" s="16"/>
      <c r="XQ11" s="16"/>
      <c r="XR11" s="16"/>
      <c r="XS11" s="16"/>
      <c r="XT11" s="16"/>
      <c r="XU11" s="16"/>
      <c r="XV11" s="16"/>
      <c r="XW11" s="16"/>
      <c r="XX11" s="16"/>
      <c r="XY11" s="16"/>
      <c r="XZ11" s="16"/>
      <c r="YA11" s="16"/>
      <c r="YB11" s="16"/>
      <c r="YC11" s="16"/>
      <c r="YD11" s="16"/>
      <c r="YE11" s="16"/>
      <c r="YF11" s="16"/>
      <c r="YG11" s="16"/>
      <c r="YH11" s="16"/>
      <c r="YI11" s="16"/>
      <c r="YJ11" s="16"/>
      <c r="YK11" s="16"/>
      <c r="YL11" s="16"/>
      <c r="YM11" s="16"/>
      <c r="YN11" s="16"/>
      <c r="YO11" s="16"/>
      <c r="YP11" s="16"/>
      <c r="YQ11" s="16"/>
      <c r="YR11" s="16"/>
      <c r="YS11" s="16"/>
      <c r="YT11" s="16"/>
      <c r="YU11" s="16"/>
      <c r="YV11" s="16"/>
      <c r="YW11" s="16"/>
      <c r="YX11" s="16"/>
      <c r="YY11" s="16"/>
      <c r="YZ11" s="16"/>
      <c r="ZA11" s="16"/>
      <c r="ZB11" s="16"/>
      <c r="ZC11" s="16"/>
      <c r="ZD11" s="16"/>
      <c r="ZE11" s="16"/>
      <c r="ZF11" s="16"/>
      <c r="ZG11" s="16"/>
      <c r="ZH11" s="16"/>
      <c r="ZI11" s="16"/>
      <c r="ZJ11" s="16"/>
      <c r="ZK11" s="16"/>
      <c r="ZL11" s="16"/>
      <c r="ZM11" s="16"/>
      <c r="ZN11" s="16"/>
      <c r="ZO11" s="16"/>
      <c r="ZP11" s="16"/>
      <c r="ZQ11" s="16"/>
      <c r="ZR11" s="16"/>
      <c r="ZS11" s="16"/>
      <c r="ZT11" s="16"/>
      <c r="ZU11" s="16"/>
      <c r="ZV11" s="16"/>
      <c r="ZW11" s="16"/>
      <c r="ZX11" s="16"/>
      <c r="ZY11" s="16"/>
      <c r="ZZ11" s="16"/>
      <c r="AAA11" s="16"/>
      <c r="AAB11" s="16"/>
      <c r="AAC11" s="16"/>
      <c r="AAD11" s="16"/>
      <c r="AAE11" s="16"/>
      <c r="AAF11" s="16"/>
      <c r="AAG11" s="16"/>
      <c r="AAH11" s="16"/>
      <c r="AAI11" s="16"/>
      <c r="AAJ11" s="16"/>
      <c r="AAK11" s="16"/>
      <c r="AAL11" s="16"/>
      <c r="AAM11" s="16"/>
      <c r="AAN11" s="16"/>
      <c r="AAO11" s="16"/>
      <c r="AAP11" s="16"/>
      <c r="AAQ11" s="16"/>
      <c r="AAR11" s="16"/>
      <c r="AAS11" s="16"/>
      <c r="AAT11" s="16"/>
      <c r="AAU11" s="16"/>
      <c r="AAV11" s="16"/>
      <c r="AAW11" s="16"/>
      <c r="AAX11" s="16"/>
      <c r="AAY11" s="16"/>
      <c r="AAZ11" s="16"/>
      <c r="ABA11" s="16"/>
      <c r="ABB11" s="16"/>
      <c r="ABC11" s="16"/>
      <c r="ABD11" s="16"/>
      <c r="ABE11" s="16"/>
      <c r="ABF11" s="16"/>
      <c r="ABG11" s="16"/>
      <c r="ABH11" s="16"/>
      <c r="ABI11" s="16"/>
      <c r="ABJ11" s="16"/>
      <c r="ABK11" s="16"/>
      <c r="ABL11" s="16"/>
      <c r="ABM11" s="16"/>
      <c r="ABN11" s="16"/>
      <c r="ABO11" s="16"/>
      <c r="ABP11" s="16"/>
      <c r="ABQ11" s="16"/>
      <c r="ABR11" s="16"/>
      <c r="ABS11" s="16"/>
      <c r="ABT11" s="16"/>
      <c r="ABU11" s="16"/>
      <c r="ABV11" s="16"/>
      <c r="ABW11" s="16"/>
      <c r="ABX11" s="16"/>
      <c r="ABY11" s="16"/>
      <c r="ABZ11" s="16"/>
      <c r="ACA11" s="16"/>
      <c r="ACB11" s="16"/>
      <c r="ACC11" s="16"/>
      <c r="ACD11" s="16"/>
      <c r="ACE11" s="16"/>
      <c r="ACF11" s="16"/>
      <c r="ACG11" s="16"/>
      <c r="ACH11" s="16"/>
      <c r="ACI11" s="16"/>
      <c r="ACJ11" s="16"/>
      <c r="ACK11" s="16"/>
      <c r="ACL11" s="16"/>
      <c r="ACM11" s="16"/>
      <c r="ACN11" s="16"/>
      <c r="ACO11" s="16"/>
      <c r="ACP11" s="16"/>
      <c r="ACQ11" s="16"/>
      <c r="ACR11" s="16"/>
      <c r="ACS11" s="16"/>
      <c r="ACT11" s="16"/>
      <c r="ACU11" s="16"/>
      <c r="ACV11" s="16"/>
      <c r="ACW11" s="16"/>
      <c r="ACX11" s="16"/>
      <c r="ACY11" s="16"/>
      <c r="ACZ11" s="16"/>
      <c r="ADA11" s="16"/>
      <c r="ADB11" s="16"/>
      <c r="ADC11" s="16"/>
      <c r="ADD11" s="16"/>
      <c r="ADE11" s="16"/>
      <c r="ADF11" s="16"/>
      <c r="ADG11" s="16"/>
      <c r="ADH11" s="16"/>
      <c r="ADI11" s="16"/>
      <c r="ADJ11" s="16"/>
      <c r="ADK11" s="16"/>
      <c r="ADL11" s="16"/>
      <c r="ADM11" s="16"/>
      <c r="ADN11" s="16"/>
      <c r="ADO11" s="16"/>
      <c r="ADP11" s="16"/>
      <c r="ADQ11" s="16"/>
      <c r="ADR11" s="16"/>
      <c r="ADS11" s="16"/>
      <c r="ADT11" s="16"/>
      <c r="ADU11" s="16"/>
      <c r="ADV11" s="16"/>
      <c r="ADW11" s="16"/>
      <c r="ADX11" s="16"/>
      <c r="ADY11" s="16"/>
      <c r="ADZ11" s="16"/>
      <c r="AEA11" s="16"/>
      <c r="AEB11" s="16"/>
      <c r="AEC11" s="16"/>
      <c r="AED11" s="16"/>
      <c r="AEE11" s="16"/>
      <c r="AEF11" s="16"/>
      <c r="AEG11" s="16"/>
      <c r="AEH11" s="16"/>
      <c r="AEI11" s="16"/>
      <c r="AEJ11" s="16"/>
      <c r="AEK11" s="16"/>
      <c r="AEL11" s="16"/>
      <c r="AEM11" s="16"/>
      <c r="AEN11" s="16"/>
      <c r="AEO11" s="16"/>
      <c r="AEP11" s="16"/>
      <c r="AEQ11" s="16"/>
      <c r="AER11" s="16"/>
      <c r="AES11" s="16"/>
      <c r="AET11" s="16"/>
      <c r="AEU11" s="16"/>
      <c r="AEV11" s="16"/>
      <c r="AEW11" s="16"/>
      <c r="AEX11" s="16"/>
      <c r="AEY11" s="16"/>
      <c r="AEZ11" s="16"/>
      <c r="AFA11" s="16"/>
      <c r="AFB11" s="16"/>
      <c r="AFC11" s="16"/>
      <c r="AFD11" s="16"/>
      <c r="AFE11" s="16"/>
      <c r="AFF11" s="16"/>
      <c r="AFG11" s="16"/>
      <c r="AFH11" s="16"/>
      <c r="AFI11" s="16"/>
      <c r="AFJ11" s="16"/>
      <c r="AFK11" s="16"/>
      <c r="AFL11" s="16"/>
      <c r="AFM11" s="16"/>
      <c r="AFN11" s="16"/>
      <c r="AFO11" s="16"/>
      <c r="AFP11" s="16"/>
      <c r="AFQ11" s="16"/>
      <c r="AFR11" s="16"/>
      <c r="AFS11" s="16"/>
      <c r="AFT11" s="16"/>
      <c r="AFU11" s="16"/>
      <c r="AFV11" s="16"/>
      <c r="AFW11" s="16"/>
      <c r="AFX11" s="16"/>
      <c r="AFY11" s="16"/>
      <c r="AFZ11" s="16"/>
      <c r="AGA11" s="16"/>
      <c r="AGB11" s="16"/>
      <c r="AGC11" s="16"/>
      <c r="AGD11" s="16"/>
      <c r="AGE11" s="16"/>
      <c r="AGF11" s="16"/>
      <c r="AGG11" s="16"/>
      <c r="AGH11" s="16"/>
      <c r="AGI11" s="16"/>
      <c r="AGJ11" s="16"/>
      <c r="AGK11" s="16"/>
      <c r="AGL11" s="16"/>
      <c r="AGM11" s="16"/>
      <c r="AGN11" s="16"/>
      <c r="AGO11" s="16"/>
      <c r="AGP11" s="16"/>
      <c r="AGQ11" s="16"/>
      <c r="AGR11" s="16"/>
      <c r="AGS11" s="16"/>
      <c r="AGT11" s="16"/>
      <c r="AGU11" s="16"/>
      <c r="AGV11" s="16"/>
      <c r="AGW11" s="16"/>
      <c r="AGX11" s="16"/>
      <c r="AGY11" s="16"/>
      <c r="AGZ11" s="16"/>
      <c r="AHA11" s="16"/>
      <c r="AHB11" s="16"/>
      <c r="AHC11" s="16"/>
      <c r="AHD11" s="16"/>
      <c r="AHE11" s="16"/>
      <c r="AHF11" s="16"/>
      <c r="AHG11" s="16"/>
      <c r="AHH11" s="16"/>
      <c r="AHI11" s="16"/>
      <c r="AHJ11" s="16"/>
      <c r="AHK11" s="16"/>
      <c r="AHL11" s="16"/>
      <c r="AHM11" s="16"/>
      <c r="AHN11" s="16"/>
      <c r="AHO11" s="16"/>
      <c r="AHP11" s="16"/>
      <c r="AHQ11" s="16"/>
      <c r="AHR11" s="16"/>
      <c r="AHS11" s="16"/>
      <c r="AHT11" s="16"/>
      <c r="AHU11" s="16"/>
      <c r="AHV11" s="16"/>
      <c r="AHW11" s="16"/>
      <c r="AHX11" s="16"/>
      <c r="AHY11" s="16"/>
      <c r="AHZ11" s="16"/>
      <c r="AIA11" s="16"/>
      <c r="AIB11" s="16"/>
      <c r="AIC11" s="16"/>
      <c r="AID11" s="16"/>
      <c r="AIE11" s="16"/>
      <c r="AIF11" s="16"/>
      <c r="AIG11" s="16"/>
      <c r="AIH11" s="16"/>
      <c r="AII11" s="16"/>
      <c r="AIJ11" s="16"/>
      <c r="AIK11" s="16"/>
      <c r="AIL11" s="16"/>
      <c r="AIM11" s="16"/>
      <c r="AIN11" s="16"/>
      <c r="AIO11" s="16"/>
      <c r="AIP11" s="16"/>
      <c r="AIQ11" s="16"/>
      <c r="AIR11" s="16"/>
      <c r="AIS11" s="16"/>
      <c r="AIT11" s="16"/>
      <c r="AIU11" s="16"/>
      <c r="AIV11" s="16"/>
      <c r="AIW11" s="16"/>
      <c r="AIX11" s="16"/>
      <c r="AIY11" s="16"/>
      <c r="AIZ11" s="16"/>
      <c r="AJA11" s="16"/>
      <c r="AJB11" s="16"/>
      <c r="AJC11" s="16"/>
      <c r="AJD11" s="16"/>
      <c r="AJE11" s="16"/>
      <c r="AJF11" s="16"/>
      <c r="AJG11" s="16"/>
      <c r="AJH11" s="16"/>
      <c r="AJI11" s="16"/>
      <c r="AJJ11" s="16"/>
      <c r="AJK11" s="16"/>
      <c r="AJL11" s="16"/>
      <c r="AJM11" s="16"/>
      <c r="AJN11" s="16"/>
      <c r="AJO11" s="16"/>
      <c r="AJP11" s="16"/>
      <c r="AJQ11" s="16"/>
      <c r="AJR11" s="16"/>
      <c r="AJS11" s="16"/>
      <c r="AJT11" s="16"/>
      <c r="AJU11" s="16"/>
      <c r="AJV11" s="16"/>
      <c r="AJW11" s="16"/>
      <c r="AJX11" s="16"/>
      <c r="AJY11" s="16"/>
      <c r="AJZ11" s="16"/>
      <c r="AKA11" s="16"/>
      <c r="AKB11" s="16"/>
      <c r="AKC11" s="16"/>
      <c r="AKD11" s="16"/>
      <c r="AKE11" s="16"/>
      <c r="AKF11" s="16"/>
      <c r="AKG11" s="16"/>
      <c r="AKH11" s="16"/>
      <c r="AKI11" s="16"/>
      <c r="AKJ11" s="16"/>
      <c r="AKK11" s="16"/>
      <c r="AKL11" s="16"/>
      <c r="AKM11" s="16"/>
      <c r="AKN11" s="16"/>
      <c r="AKO11" s="16"/>
      <c r="AKP11" s="16"/>
      <c r="AKQ11" s="16"/>
      <c r="AKR11" s="16"/>
      <c r="AKS11" s="16"/>
      <c r="AKT11" s="16"/>
      <c r="AKU11" s="16"/>
      <c r="AKV11" s="16"/>
      <c r="AKW11" s="16"/>
      <c r="AKX11" s="16"/>
      <c r="AKY11" s="16"/>
      <c r="AKZ11" s="16"/>
      <c r="ALA11" s="16"/>
      <c r="ALB11" s="16"/>
      <c r="ALC11" s="16"/>
      <c r="ALD11" s="16"/>
      <c r="ALE11" s="16"/>
      <c r="ALF11" s="16"/>
      <c r="ALG11" s="16"/>
      <c r="ALH11" s="16"/>
      <c r="ALI11" s="16"/>
      <c r="ALJ11" s="16"/>
      <c r="ALK11" s="16"/>
      <c r="ALL11" s="16"/>
      <c r="ALM11" s="16"/>
      <c r="ALN11" s="16"/>
      <c r="ALO11" s="16"/>
      <c r="ALP11" s="16"/>
      <c r="ALQ11" s="16"/>
      <c r="ALR11" s="16"/>
      <c r="ALS11" s="16"/>
      <c r="ALT11" s="16"/>
      <c r="ALU11" s="16"/>
      <c r="ALV11" s="16"/>
      <c r="ALW11" s="16"/>
      <c r="ALX11" s="16"/>
      <c r="ALY11" s="16"/>
      <c r="ALZ11" s="16"/>
      <c r="AMA11" s="16"/>
      <c r="AMB11" s="16"/>
      <c r="AMC11" s="16"/>
      <c r="AMD11" s="16"/>
      <c r="AME11" s="16"/>
      <c r="AMF11" s="16"/>
      <c r="AMG11" s="16"/>
      <c r="AMH11" s="16"/>
      <c r="AMI11" s="16"/>
      <c r="AMJ11" s="16"/>
      <c r="AMK11" s="16"/>
      <c r="AML11" s="16"/>
      <c r="AMM11" s="16"/>
      <c r="AMN11" s="16"/>
      <c r="AMO11" s="16"/>
      <c r="AMP11" s="16"/>
      <c r="AMQ11" s="16"/>
      <c r="AMR11" s="16"/>
      <c r="AMS11" s="16"/>
      <c r="AMT11" s="16"/>
      <c r="AMU11" s="16"/>
      <c r="AMV11" s="16"/>
      <c r="AMW11" s="16"/>
      <c r="AMX11" s="16"/>
      <c r="AMY11" s="16"/>
      <c r="AMZ11" s="16"/>
      <c r="ANA11" s="16"/>
      <c r="ANB11" s="16"/>
      <c r="ANC11" s="16"/>
      <c r="AND11" s="16"/>
      <c r="ANE11" s="16"/>
      <c r="ANF11" s="16"/>
      <c r="ANG11" s="16"/>
      <c r="ANH11" s="16"/>
      <c r="ANI11" s="16"/>
      <c r="ANJ11" s="16"/>
      <c r="ANK11" s="16"/>
      <c r="ANL11" s="16"/>
      <c r="ANM11" s="16"/>
      <c r="ANN11" s="16"/>
      <c r="ANO11" s="16"/>
      <c r="ANP11" s="16"/>
      <c r="ANQ11" s="16"/>
      <c r="ANR11" s="16"/>
      <c r="ANS11" s="16"/>
      <c r="ANT11" s="16"/>
      <c r="ANU11" s="16"/>
      <c r="ANV11" s="16"/>
      <c r="ANW11" s="16"/>
      <c r="ANX11" s="16"/>
      <c r="ANY11" s="16"/>
      <c r="ANZ11" s="16"/>
      <c r="AOA11" s="16"/>
      <c r="AOB11" s="16"/>
      <c r="AOC11" s="16"/>
      <c r="AOD11" s="16"/>
      <c r="AOE11" s="16"/>
      <c r="AOF11" s="16"/>
      <c r="AOG11" s="16"/>
      <c r="AOH11" s="16"/>
      <c r="AOI11" s="16"/>
      <c r="AOJ11" s="16"/>
      <c r="AOK11" s="16"/>
      <c r="AOL11" s="16"/>
      <c r="AOM11" s="16"/>
      <c r="AON11" s="16"/>
      <c r="AOO11" s="16"/>
      <c r="AOP11" s="16"/>
      <c r="AOQ11" s="16"/>
      <c r="AOR11" s="16"/>
      <c r="AOS11" s="16"/>
      <c r="AOT11" s="16"/>
      <c r="AOU11" s="16"/>
      <c r="AOV11" s="16"/>
      <c r="AOW11" s="16"/>
      <c r="AOX11" s="16"/>
      <c r="AOY11" s="16"/>
      <c r="AOZ11" s="16"/>
      <c r="APA11" s="16"/>
      <c r="APB11" s="16"/>
      <c r="APC11" s="16"/>
      <c r="APD11" s="16"/>
      <c r="APE11" s="16"/>
      <c r="APF11" s="16"/>
      <c r="APG11" s="16"/>
      <c r="APH11" s="16"/>
      <c r="API11" s="16"/>
      <c r="APJ11" s="16"/>
      <c r="APK11" s="16"/>
      <c r="APL11" s="16"/>
      <c r="APM11" s="16"/>
      <c r="APN11" s="16"/>
      <c r="APO11" s="16"/>
      <c r="APP11" s="16"/>
      <c r="APQ11" s="16"/>
      <c r="APR11" s="16"/>
      <c r="APS11" s="16"/>
      <c r="APT11" s="16"/>
      <c r="APU11" s="16"/>
      <c r="APV11" s="16"/>
      <c r="APW11" s="16"/>
      <c r="APX11" s="16"/>
      <c r="APY11" s="16"/>
      <c r="APZ11" s="16"/>
      <c r="AQA11" s="16"/>
      <c r="AQB11" s="16"/>
      <c r="AQC11" s="16"/>
      <c r="AQD11" s="16"/>
      <c r="AQE11" s="16"/>
      <c r="AQF11" s="16"/>
      <c r="AQG11" s="16"/>
      <c r="AQH11" s="16"/>
      <c r="AQI11" s="16"/>
      <c r="AQJ11" s="16"/>
      <c r="AQK11" s="16"/>
      <c r="AQL11" s="16"/>
      <c r="AQM11" s="16"/>
      <c r="AQN11" s="16"/>
      <c r="AQO11" s="16"/>
      <c r="AQP11" s="16"/>
      <c r="AQQ11" s="16"/>
      <c r="AQR11" s="16"/>
      <c r="AQS11" s="16"/>
      <c r="AQT11" s="16"/>
      <c r="AQU11" s="16"/>
      <c r="AQV11" s="16"/>
      <c r="AQW11" s="16"/>
      <c r="AQX11" s="16"/>
      <c r="AQY11" s="16"/>
      <c r="AQZ11" s="16"/>
      <c r="ARA11" s="16"/>
      <c r="ARB11" s="16"/>
      <c r="ARC11" s="16"/>
      <c r="ARD11" s="16"/>
      <c r="ARE11" s="16"/>
      <c r="ARF11" s="16"/>
      <c r="ARG11" s="16"/>
      <c r="ARH11" s="16"/>
      <c r="ARI11" s="16"/>
      <c r="ARJ11" s="16"/>
      <c r="ARK11" s="16"/>
      <c r="ARL11" s="16"/>
      <c r="ARM11" s="16"/>
      <c r="ARN11" s="16"/>
      <c r="ARO11" s="16"/>
      <c r="ARP11" s="16"/>
      <c r="ARQ11" s="16"/>
      <c r="ARR11" s="16"/>
      <c r="ARS11" s="16"/>
      <c r="ART11" s="16"/>
      <c r="ARU11" s="16"/>
      <c r="ARV11" s="16"/>
      <c r="ARW11" s="16"/>
      <c r="ARX11" s="16"/>
      <c r="ARY11" s="16"/>
      <c r="ARZ11" s="16"/>
      <c r="ASA11" s="16"/>
      <c r="ASB11" s="16"/>
      <c r="ASC11" s="16"/>
      <c r="ASD11" s="16"/>
      <c r="ASE11" s="16"/>
      <c r="ASF11" s="16"/>
      <c r="ASG11" s="16"/>
      <c r="ASH11" s="16"/>
      <c r="ASI11" s="16"/>
      <c r="ASJ11" s="16"/>
      <c r="ASK11" s="16"/>
      <c r="ASL11" s="16"/>
      <c r="ASM11" s="16"/>
      <c r="ASN11" s="16"/>
      <c r="ASO11" s="16"/>
      <c r="ASP11" s="16"/>
      <c r="ASQ11" s="16"/>
      <c r="ASR11" s="16"/>
      <c r="ASS11" s="16"/>
      <c r="AST11" s="16"/>
      <c r="ASU11" s="16"/>
      <c r="ASV11" s="16"/>
      <c r="ASW11" s="16"/>
      <c r="ASX11" s="16"/>
      <c r="ASY11" s="16"/>
      <c r="ASZ11" s="16"/>
      <c r="ATA11" s="16"/>
      <c r="ATB11" s="16"/>
      <c r="ATC11" s="16"/>
      <c r="ATD11" s="16"/>
      <c r="ATE11" s="16"/>
      <c r="ATF11" s="16"/>
      <c r="ATG11" s="16"/>
      <c r="ATH11" s="16"/>
      <c r="ATI11" s="16"/>
      <c r="ATJ11" s="16"/>
      <c r="ATK11" s="16"/>
      <c r="ATL11" s="16"/>
      <c r="ATM11" s="16"/>
      <c r="ATN11" s="16"/>
      <c r="ATO11" s="16"/>
      <c r="ATP11" s="16"/>
      <c r="ATQ11" s="16"/>
      <c r="ATR11" s="16"/>
      <c r="ATS11" s="16"/>
      <c r="ATT11" s="16"/>
      <c r="ATU11" s="16"/>
      <c r="ATV11" s="16"/>
      <c r="ATW11" s="16"/>
      <c r="ATX11" s="16"/>
      <c r="ATY11" s="16"/>
      <c r="ATZ11" s="16"/>
      <c r="AUA11" s="16"/>
      <c r="AUB11" s="16"/>
      <c r="AUC11" s="16"/>
      <c r="AUD11" s="16"/>
      <c r="AUE11" s="16"/>
      <c r="AUF11" s="16"/>
      <c r="AUG11" s="16"/>
      <c r="AUH11" s="16"/>
      <c r="AUI11" s="16"/>
      <c r="AUJ11" s="16"/>
      <c r="AUK11" s="16"/>
      <c r="AUL11" s="16"/>
      <c r="AUM11" s="16"/>
      <c r="AUN11" s="16"/>
      <c r="AUO11" s="16"/>
      <c r="AUP11" s="16"/>
      <c r="AUQ11" s="16"/>
      <c r="AUR11" s="16"/>
      <c r="AUS11" s="16"/>
      <c r="AUT11" s="16"/>
      <c r="AUU11" s="16"/>
      <c r="AUV11" s="16"/>
      <c r="AUW11" s="16"/>
      <c r="AUX11" s="16"/>
      <c r="AUY11" s="16"/>
      <c r="AUZ11" s="16"/>
      <c r="AVA11" s="16"/>
      <c r="AVB11" s="16"/>
      <c r="AVC11" s="16"/>
      <c r="AVD11" s="16"/>
      <c r="AVE11" s="16"/>
      <c r="AVF11" s="16"/>
      <c r="AVG11" s="16"/>
      <c r="AVH11" s="16"/>
      <c r="AVI11" s="16"/>
      <c r="AVJ11" s="16"/>
      <c r="AVK11" s="16"/>
      <c r="AVL11" s="16"/>
      <c r="AVM11" s="16"/>
      <c r="AVN11" s="16"/>
      <c r="AVO11" s="16"/>
      <c r="AVP11" s="16"/>
      <c r="AVQ11" s="16"/>
      <c r="AVR11" s="16"/>
      <c r="AVS11" s="16"/>
      <c r="AVT11" s="16"/>
      <c r="AVU11" s="16"/>
      <c r="AVV11" s="16"/>
      <c r="AVW11" s="16"/>
      <c r="AVX11" s="16"/>
      <c r="AVY11" s="16"/>
      <c r="AVZ11" s="16"/>
      <c r="AWA11" s="16"/>
      <c r="AWB11" s="16"/>
      <c r="AWC11" s="16"/>
      <c r="AWD11" s="16"/>
      <c r="AWE11" s="16"/>
      <c r="AWF11" s="16"/>
      <c r="AWG11" s="16"/>
      <c r="AWH11" s="16"/>
      <c r="AWI11" s="16"/>
      <c r="AWJ11" s="16"/>
      <c r="AWK11" s="16"/>
      <c r="AWL11" s="16"/>
      <c r="AWM11" s="16"/>
      <c r="AWN11" s="16"/>
      <c r="AWO11" s="16"/>
      <c r="AWP11" s="16"/>
      <c r="AWQ11" s="16"/>
      <c r="AWR11" s="16"/>
      <c r="AWS11" s="16"/>
      <c r="AWT11" s="16"/>
      <c r="AWU11" s="16"/>
      <c r="AWV11" s="16"/>
      <c r="AWW11" s="16"/>
      <c r="AWX11" s="16"/>
      <c r="AWY11" s="16"/>
      <c r="AWZ11" s="16"/>
      <c r="AXA11" s="16"/>
      <c r="AXB11" s="16"/>
      <c r="AXC11" s="16"/>
      <c r="AXD11" s="16"/>
      <c r="AXE11" s="16"/>
      <c r="AXF11" s="16"/>
      <c r="AXG11" s="16"/>
      <c r="AXH11" s="16"/>
      <c r="AXI11" s="16"/>
      <c r="AXJ11" s="16"/>
      <c r="AXK11" s="16"/>
      <c r="AXL11" s="16"/>
      <c r="AXM11" s="16"/>
      <c r="AXN11" s="16"/>
      <c r="AXO11" s="16"/>
      <c r="AXP11" s="16"/>
      <c r="AXQ11" s="16"/>
      <c r="AXR11" s="16"/>
      <c r="AXS11" s="16"/>
      <c r="AXT11" s="16"/>
      <c r="AXU11" s="16"/>
      <c r="AXV11" s="16"/>
      <c r="AXW11" s="16"/>
      <c r="AXX11" s="16"/>
      <c r="AXY11" s="16"/>
      <c r="AXZ11" s="16"/>
      <c r="AYA11" s="16"/>
      <c r="AYB11" s="16"/>
      <c r="AYC11" s="16"/>
      <c r="AYD11" s="16"/>
      <c r="AYE11" s="16"/>
      <c r="AYF11" s="16"/>
      <c r="AYG11" s="16"/>
      <c r="AYH11" s="16"/>
      <c r="AYI11" s="16"/>
      <c r="AYJ11" s="16"/>
      <c r="AYK11" s="16"/>
      <c r="AYL11" s="16"/>
      <c r="AYM11" s="16"/>
      <c r="AYN11" s="16"/>
      <c r="AYO11" s="16"/>
      <c r="AYP11" s="16"/>
      <c r="AYQ11" s="16"/>
      <c r="AYR11" s="16"/>
      <c r="AYS11" s="16"/>
      <c r="AYT11" s="16"/>
      <c r="AYU11" s="16"/>
      <c r="AYV11" s="16"/>
      <c r="AYW11" s="16"/>
      <c r="AYX11" s="16"/>
      <c r="AYY11" s="16"/>
      <c r="AYZ11" s="16"/>
      <c r="AZA11" s="16"/>
      <c r="AZB11" s="16"/>
      <c r="AZC11" s="16"/>
      <c r="AZD11" s="16"/>
      <c r="AZE11" s="16"/>
      <c r="AZF11" s="16"/>
      <c r="AZG11" s="16"/>
      <c r="AZH11" s="16"/>
      <c r="AZI11" s="16"/>
      <c r="AZJ11" s="16"/>
      <c r="AZK11" s="16"/>
      <c r="AZL11" s="16"/>
      <c r="AZM11" s="16"/>
      <c r="AZN11" s="16"/>
      <c r="AZO11" s="16"/>
      <c r="AZP11" s="16"/>
      <c r="AZQ11" s="16"/>
      <c r="AZR11" s="16"/>
      <c r="AZS11" s="16"/>
      <c r="AZT11" s="16"/>
      <c r="AZU11" s="16"/>
      <c r="AZV11" s="16"/>
      <c r="AZW11" s="16"/>
      <c r="AZX11" s="16"/>
      <c r="AZY11" s="16"/>
      <c r="AZZ11" s="16"/>
      <c r="BAA11" s="16"/>
      <c r="BAB11" s="16"/>
      <c r="BAC11" s="16"/>
      <c r="BAD11" s="16"/>
      <c r="BAE11" s="16"/>
      <c r="BAF11" s="16"/>
      <c r="BAG11" s="16"/>
      <c r="BAH11" s="16"/>
      <c r="BAI11" s="16"/>
      <c r="BAJ11" s="16"/>
      <c r="BAK11" s="16"/>
      <c r="BAL11" s="16"/>
      <c r="BAM11" s="16"/>
      <c r="BAN11" s="16"/>
      <c r="BAO11" s="16"/>
      <c r="BAP11" s="16"/>
      <c r="BAQ11" s="16"/>
      <c r="BAR11" s="16"/>
      <c r="BAS11" s="16"/>
      <c r="BAT11" s="16"/>
      <c r="BAU11" s="16"/>
      <c r="BAV11" s="16"/>
      <c r="BAW11" s="16"/>
      <c r="BAX11" s="16"/>
      <c r="BAY11" s="16"/>
      <c r="BAZ11" s="16"/>
      <c r="BBA11" s="16"/>
      <c r="BBB11" s="16"/>
      <c r="BBC11" s="16"/>
      <c r="BBD11" s="16"/>
      <c r="BBE11" s="16"/>
      <c r="BBF11" s="16"/>
      <c r="BBG11" s="16"/>
      <c r="BBH11" s="16"/>
      <c r="BBI11" s="16"/>
      <c r="BBJ11" s="16"/>
      <c r="BBK11" s="16"/>
      <c r="BBL11" s="16"/>
      <c r="BBM11" s="16"/>
      <c r="BBN11" s="16"/>
      <c r="BBO11" s="16"/>
      <c r="BBP11" s="16"/>
      <c r="BBQ11" s="16"/>
      <c r="BBR11" s="16"/>
      <c r="BBS11" s="16"/>
      <c r="BBT11" s="16"/>
      <c r="BBU11" s="16"/>
      <c r="BBV11" s="16"/>
      <c r="BBW11" s="16"/>
      <c r="BBX11" s="16"/>
      <c r="BBY11" s="16"/>
      <c r="BBZ11" s="16"/>
      <c r="BCA11" s="16"/>
      <c r="BCB11" s="16"/>
      <c r="BCC11" s="16"/>
      <c r="BCD11" s="16"/>
      <c r="BCE11" s="16"/>
      <c r="BCF11" s="16"/>
      <c r="BCG11" s="16"/>
      <c r="BCH11" s="16"/>
      <c r="BCI11" s="16"/>
      <c r="BCJ11" s="16"/>
      <c r="BCK11" s="16"/>
      <c r="BCL11" s="16"/>
      <c r="BCM11" s="16"/>
      <c r="BCN11" s="16"/>
      <c r="BCO11" s="16"/>
      <c r="BCP11" s="16"/>
      <c r="BCQ11" s="16"/>
      <c r="BCR11" s="16"/>
      <c r="BCS11" s="16"/>
      <c r="BCT11" s="16"/>
      <c r="BCU11" s="16"/>
      <c r="BCV11" s="16"/>
      <c r="BCW11" s="16"/>
      <c r="BCX11" s="16"/>
      <c r="BCY11" s="16"/>
      <c r="BCZ11" s="16"/>
      <c r="BDA11" s="16"/>
      <c r="BDB11" s="16"/>
      <c r="BDC11" s="16"/>
      <c r="BDD11" s="16"/>
      <c r="BDE11" s="16"/>
      <c r="BDF11" s="16"/>
      <c r="BDG11" s="16"/>
      <c r="BDH11" s="16"/>
      <c r="BDI11" s="16"/>
      <c r="BDJ11" s="16"/>
      <c r="BDK11" s="16"/>
      <c r="BDL11" s="16"/>
      <c r="BDM11" s="16"/>
      <c r="BDN11" s="16"/>
      <c r="BDO11" s="16"/>
      <c r="BDP11" s="16"/>
      <c r="BDQ11" s="16"/>
      <c r="BDR11" s="16"/>
      <c r="BDS11" s="16"/>
      <c r="BDT11" s="16"/>
      <c r="BDU11" s="16"/>
      <c r="BDV11" s="16"/>
      <c r="BDW11" s="16"/>
      <c r="BDX11" s="16"/>
      <c r="BDY11" s="16"/>
      <c r="BDZ11" s="16"/>
      <c r="BEA11" s="16"/>
      <c r="BEB11" s="16"/>
      <c r="BEC11" s="16"/>
      <c r="BED11" s="16"/>
      <c r="BEE11" s="16"/>
      <c r="BEF11" s="16"/>
      <c r="BEG11" s="16"/>
      <c r="BEH11" s="16"/>
      <c r="BEI11" s="16"/>
      <c r="BEJ11" s="16"/>
      <c r="BEK11" s="16"/>
      <c r="BEL11" s="16"/>
      <c r="BEM11" s="16"/>
      <c r="BEN11" s="16"/>
      <c r="BEO11" s="16"/>
      <c r="BEP11" s="16"/>
      <c r="BEQ11" s="16"/>
      <c r="BER11" s="16"/>
      <c r="BES11" s="16"/>
      <c r="BET11" s="16"/>
      <c r="BEU11" s="16"/>
      <c r="BEV11" s="16"/>
      <c r="BEW11" s="16"/>
      <c r="BEX11" s="16"/>
      <c r="BEY11" s="16"/>
      <c r="BEZ11" s="16"/>
      <c r="BFA11" s="16"/>
      <c r="BFB11" s="16"/>
      <c r="BFC11" s="16"/>
      <c r="BFD11" s="16"/>
      <c r="BFE11" s="16"/>
      <c r="BFF11" s="16"/>
      <c r="BFG11" s="16"/>
      <c r="BFH11" s="16"/>
      <c r="BFI11" s="16"/>
      <c r="BFJ11" s="16"/>
      <c r="BFK11" s="16"/>
      <c r="BFL11" s="16"/>
      <c r="BFM11" s="16"/>
      <c r="BFN11" s="16"/>
      <c r="BFO11" s="16"/>
      <c r="BFP11" s="16"/>
      <c r="BFQ11" s="16"/>
      <c r="BFR11" s="16"/>
      <c r="BFS11" s="16"/>
      <c r="BFT11" s="16"/>
      <c r="BFU11" s="16"/>
      <c r="BFV11" s="16"/>
      <c r="BFW11" s="16"/>
      <c r="BFX11" s="16"/>
      <c r="BFY11" s="16"/>
      <c r="BFZ11" s="16"/>
      <c r="BGA11" s="16"/>
      <c r="BGB11" s="16"/>
      <c r="BGC11" s="16"/>
      <c r="BGD11" s="16"/>
      <c r="BGE11" s="16"/>
      <c r="BGF11" s="16"/>
      <c r="BGG11" s="16"/>
      <c r="BGH11" s="16"/>
      <c r="BGI11" s="16"/>
      <c r="BGJ11" s="16"/>
      <c r="BGK11" s="16"/>
      <c r="BGL11" s="16"/>
      <c r="BGM11" s="16"/>
      <c r="BGN11" s="16"/>
      <c r="BGO11" s="16"/>
      <c r="BGP11" s="16"/>
      <c r="BGQ11" s="16"/>
      <c r="BGR11" s="16"/>
      <c r="BGS11" s="16"/>
      <c r="BGT11" s="16"/>
      <c r="BGU11" s="16"/>
      <c r="BGV11" s="16"/>
      <c r="BGW11" s="16"/>
      <c r="BGX11" s="16"/>
      <c r="BGY11" s="16"/>
      <c r="BGZ11" s="16"/>
      <c r="BHA11" s="16"/>
      <c r="BHB11" s="16"/>
      <c r="BHC11" s="16"/>
      <c r="BHD11" s="16"/>
      <c r="BHE11" s="16"/>
      <c r="BHF11" s="16"/>
      <c r="BHG11" s="16"/>
      <c r="BHH11" s="16"/>
      <c r="BHI11" s="16"/>
      <c r="BHJ11" s="16"/>
      <c r="BHK11" s="16"/>
      <c r="BHL11" s="16"/>
      <c r="BHM11" s="16"/>
      <c r="BHN11" s="16"/>
      <c r="BHO11" s="16"/>
      <c r="BHP11" s="16"/>
      <c r="BHQ11" s="16"/>
    </row>
    <row r="12" spans="1:1577" s="3" customFormat="1" ht="108" x14ac:dyDescent="0.25">
      <c r="A12" s="10" t="s">
        <v>98</v>
      </c>
      <c r="B12" s="10" t="s">
        <v>100</v>
      </c>
      <c r="C12" s="10" t="s">
        <v>99</v>
      </c>
      <c r="D12" s="7" t="s">
        <v>1144</v>
      </c>
      <c r="E12" s="7" t="s">
        <v>289</v>
      </c>
      <c r="F12" s="10" t="s">
        <v>290</v>
      </c>
      <c r="G12" s="1032" t="s">
        <v>115</v>
      </c>
      <c r="H12" s="1032" t="s">
        <v>114</v>
      </c>
      <c r="I12" s="1032" t="s">
        <v>116</v>
      </c>
      <c r="J12" s="333"/>
      <c r="K12" s="1039"/>
      <c r="L12" s="188"/>
      <c r="M12" s="10" t="s">
        <v>1098</v>
      </c>
      <c r="N12" s="10" t="s">
        <v>1098</v>
      </c>
      <c r="O12" s="10" t="s">
        <v>1169</v>
      </c>
      <c r="P12" s="9" t="s">
        <v>1170</v>
      </c>
      <c r="Q12" s="7" t="s">
        <v>51</v>
      </c>
      <c r="R12" s="7">
        <v>0</v>
      </c>
      <c r="S12" s="7">
        <v>50</v>
      </c>
      <c r="T12" s="297"/>
      <c r="U12" s="297"/>
      <c r="V12" s="297"/>
      <c r="W12" s="297"/>
      <c r="X12" s="297"/>
      <c r="Y12" s="297"/>
      <c r="Z12" s="1031"/>
      <c r="AA12" s="150"/>
      <c r="AB12" s="10">
        <v>0</v>
      </c>
      <c r="AC12" s="10">
        <v>46</v>
      </c>
      <c r="AD12" s="1040">
        <f>((AB12/AC12)-1)</f>
        <v>-1</v>
      </c>
      <c r="AE12" s="18" t="s">
        <v>1171</v>
      </c>
      <c r="AF12" s="7"/>
      <c r="AG12" s="7"/>
      <c r="AH12" s="300"/>
      <c r="AI12" s="18"/>
      <c r="AJ12" s="10">
        <v>3</v>
      </c>
      <c r="AK12" s="10">
        <v>46</v>
      </c>
      <c r="AL12" s="1040">
        <f>((AJ12/AK12)-1)</f>
        <v>-0.93478260869565222</v>
      </c>
      <c r="AM12" s="18" t="s">
        <v>1172</v>
      </c>
      <c r="AN12" s="7"/>
      <c r="AO12" s="7"/>
      <c r="AP12" s="300"/>
      <c r="AQ12" s="18"/>
      <c r="AR12" s="10">
        <v>4</v>
      </c>
      <c r="AS12" s="10">
        <v>46</v>
      </c>
      <c r="AT12" s="1040">
        <f>((AR12/AS12)-1)</f>
        <v>-0.91304347826086962</v>
      </c>
      <c r="AU12" s="18" t="s">
        <v>1173</v>
      </c>
      <c r="AV12" s="7"/>
      <c r="AW12" s="7"/>
      <c r="AX12" s="300"/>
      <c r="AY12" s="18"/>
      <c r="AZ12" s="10">
        <v>4</v>
      </c>
      <c r="BA12" s="10">
        <v>46</v>
      </c>
      <c r="BB12" s="1040">
        <f>((AZ12/BA12)-1)</f>
        <v>-0.91304347826086962</v>
      </c>
      <c r="BC12" s="18" t="s">
        <v>1174</v>
      </c>
      <c r="BD12" s="7"/>
      <c r="BE12" s="7"/>
      <c r="BF12" s="300"/>
      <c r="BG12" s="18"/>
      <c r="BH12" s="10">
        <v>6</v>
      </c>
      <c r="BI12" s="10">
        <v>46</v>
      </c>
      <c r="BJ12" s="1040">
        <f>((BH12/BI12)-1)</f>
        <v>-0.86956521739130432</v>
      </c>
      <c r="BK12" s="18" t="s">
        <v>1175</v>
      </c>
      <c r="BL12" s="7"/>
      <c r="BM12" s="7"/>
      <c r="BN12" s="300"/>
      <c r="BO12" s="18"/>
      <c r="BP12" s="10">
        <v>6</v>
      </c>
      <c r="BQ12" s="10">
        <v>46</v>
      </c>
      <c r="BR12" s="1040">
        <f>+BP12/BQ12</f>
        <v>0.13043478260869565</v>
      </c>
      <c r="BS12" s="18" t="s">
        <v>1176</v>
      </c>
      <c r="BT12" s="7"/>
      <c r="BU12" s="7"/>
      <c r="BV12" s="300"/>
      <c r="BW12" s="18"/>
      <c r="BX12" s="10">
        <v>7</v>
      </c>
      <c r="BY12" s="10">
        <v>46</v>
      </c>
      <c r="BZ12" s="1040">
        <f>((BX12/BY12)-1)</f>
        <v>-0.84782608695652173</v>
      </c>
      <c r="CA12" s="18" t="s">
        <v>1177</v>
      </c>
      <c r="CB12" s="7"/>
      <c r="CC12" s="7"/>
      <c r="CD12" s="300"/>
      <c r="CE12" s="18"/>
      <c r="CF12" s="10">
        <v>7</v>
      </c>
      <c r="CG12" s="10">
        <v>46</v>
      </c>
      <c r="CH12" s="1040">
        <f>((CF12/CG12)-1)</f>
        <v>-0.84782608695652173</v>
      </c>
      <c r="CI12" s="18" t="s">
        <v>1178</v>
      </c>
      <c r="CJ12" s="7"/>
      <c r="CK12" s="7"/>
      <c r="CL12" s="300"/>
      <c r="CM12" s="18"/>
      <c r="CN12" s="10">
        <v>8</v>
      </c>
      <c r="CO12" s="10">
        <v>46</v>
      </c>
      <c r="CP12" s="1040">
        <f>((CN12/CO12)-1)</f>
        <v>-0.82608695652173914</v>
      </c>
      <c r="CQ12" s="18" t="s">
        <v>1179</v>
      </c>
      <c r="CR12" s="7"/>
      <c r="CS12" s="7"/>
      <c r="CT12" s="300"/>
      <c r="CU12" s="18"/>
      <c r="CV12" s="1041"/>
      <c r="CX12" s="16"/>
      <c r="CY12" s="16"/>
      <c r="CZ12" s="16"/>
      <c r="DA12" s="16"/>
      <c r="DB12" s="16"/>
      <c r="DC12" s="16"/>
      <c r="DD12" s="16"/>
      <c r="DE12" s="16"/>
      <c r="DF12" s="16"/>
      <c r="DG12" s="16"/>
      <c r="DH12" s="16"/>
      <c r="DI12" s="16"/>
      <c r="DJ12" s="16"/>
      <c r="DK12" s="16"/>
      <c r="DL12" s="16"/>
      <c r="DM12" s="16"/>
      <c r="DN12" s="16"/>
      <c r="DO12" s="16"/>
      <c r="DP12" s="16"/>
      <c r="DQ12" s="16"/>
      <c r="DR12" s="16"/>
      <c r="DS12" s="16"/>
      <c r="DT12" s="16"/>
      <c r="DU12" s="16"/>
      <c r="DV12" s="16"/>
      <c r="DW12" s="16"/>
      <c r="DX12" s="16"/>
      <c r="DY12" s="16"/>
      <c r="DZ12" s="16"/>
      <c r="EA12" s="16"/>
      <c r="EB12" s="16"/>
      <c r="EC12" s="16"/>
      <c r="ED12" s="16"/>
      <c r="EE12" s="16"/>
      <c r="EF12" s="16"/>
      <c r="EG12" s="16"/>
      <c r="EH12" s="16"/>
      <c r="EI12" s="16"/>
      <c r="EJ12" s="16"/>
      <c r="EK12" s="16"/>
      <c r="EL12" s="16"/>
      <c r="EM12" s="16"/>
      <c r="EN12" s="16"/>
      <c r="EO12" s="16"/>
      <c r="EP12" s="16"/>
      <c r="EQ12" s="16"/>
      <c r="ER12" s="16"/>
      <c r="ES12" s="16"/>
      <c r="ET12" s="16"/>
      <c r="EU12" s="16"/>
      <c r="EV12" s="16"/>
      <c r="EW12" s="16"/>
      <c r="EX12" s="16"/>
      <c r="EY12" s="16"/>
      <c r="EZ12" s="16"/>
      <c r="FA12" s="16"/>
      <c r="FB12" s="16"/>
      <c r="FC12" s="16"/>
      <c r="FD12" s="16"/>
      <c r="FE12" s="16"/>
      <c r="FF12" s="16"/>
      <c r="FG12" s="16"/>
      <c r="FH12" s="16"/>
      <c r="FI12" s="16"/>
      <c r="FJ12" s="16"/>
      <c r="FK12" s="16"/>
      <c r="FL12" s="16"/>
      <c r="FM12" s="16"/>
      <c r="FN12" s="16"/>
      <c r="FO12" s="16"/>
      <c r="FP12" s="16"/>
      <c r="FQ12" s="16"/>
      <c r="FR12" s="16"/>
      <c r="FS12" s="16"/>
      <c r="FT12" s="16"/>
      <c r="FU12" s="16"/>
      <c r="FV12" s="16"/>
      <c r="FW12" s="16"/>
      <c r="FX12" s="16"/>
      <c r="FY12" s="16"/>
      <c r="FZ12" s="16"/>
      <c r="GA12" s="16"/>
      <c r="GB12" s="16"/>
      <c r="GC12" s="16"/>
      <c r="GD12" s="16"/>
      <c r="GE12" s="16"/>
      <c r="GF12" s="16"/>
      <c r="GG12" s="16"/>
      <c r="GH12" s="16"/>
      <c r="GI12" s="16"/>
      <c r="GJ12" s="16"/>
      <c r="GK12" s="16"/>
      <c r="GL12" s="16"/>
      <c r="GM12" s="16"/>
      <c r="GN12" s="16"/>
      <c r="GO12" s="16"/>
      <c r="GP12" s="16"/>
      <c r="GQ12" s="16"/>
      <c r="GR12" s="16"/>
      <c r="GS12" s="16"/>
      <c r="GT12" s="16"/>
      <c r="GU12" s="16"/>
      <c r="GV12" s="16"/>
      <c r="GW12" s="16"/>
      <c r="GX12" s="16"/>
      <c r="GY12" s="16"/>
      <c r="GZ12" s="16"/>
      <c r="HA12" s="16"/>
      <c r="HB12" s="16"/>
      <c r="HC12" s="16"/>
      <c r="HD12" s="16"/>
      <c r="HE12" s="16"/>
      <c r="HF12" s="16"/>
      <c r="HG12" s="16"/>
      <c r="HH12" s="16"/>
      <c r="HI12" s="16"/>
      <c r="HJ12" s="16"/>
      <c r="HK12" s="16"/>
      <c r="HL12" s="16"/>
      <c r="HM12" s="16"/>
      <c r="HN12" s="16"/>
      <c r="HO12" s="16"/>
      <c r="HP12" s="16"/>
      <c r="HQ12" s="16"/>
      <c r="HR12" s="16"/>
      <c r="HS12" s="16"/>
      <c r="HT12" s="16"/>
      <c r="HU12" s="16"/>
      <c r="HV12" s="16"/>
      <c r="HW12" s="16"/>
      <c r="HX12" s="16"/>
      <c r="HY12" s="16"/>
      <c r="HZ12" s="16"/>
      <c r="IA12" s="16"/>
      <c r="IB12" s="16"/>
      <c r="IC12" s="16"/>
      <c r="ID12" s="16"/>
      <c r="IE12" s="16"/>
      <c r="IF12" s="16"/>
      <c r="IG12" s="16"/>
      <c r="IH12" s="16"/>
      <c r="II12" s="16"/>
      <c r="IJ12" s="16"/>
      <c r="IK12" s="16"/>
      <c r="IL12" s="16"/>
      <c r="IM12" s="16"/>
      <c r="IN12" s="16"/>
      <c r="IO12" s="16"/>
      <c r="IP12" s="16"/>
      <c r="IQ12" s="16"/>
      <c r="IR12" s="16"/>
      <c r="IS12" s="16"/>
      <c r="IT12" s="16"/>
      <c r="IU12" s="16"/>
      <c r="IV12" s="16"/>
      <c r="IW12" s="16"/>
      <c r="IX12" s="16"/>
      <c r="IY12" s="16"/>
      <c r="IZ12" s="16"/>
      <c r="JA12" s="16"/>
      <c r="JB12" s="16"/>
      <c r="JC12" s="16"/>
      <c r="JD12" s="16"/>
      <c r="JE12" s="16"/>
      <c r="JF12" s="16"/>
      <c r="JG12" s="16"/>
      <c r="JH12" s="16"/>
      <c r="JI12" s="16"/>
      <c r="JJ12" s="16"/>
      <c r="JK12" s="16"/>
      <c r="JL12" s="16"/>
      <c r="JM12" s="16"/>
      <c r="JN12" s="16"/>
      <c r="JO12" s="16"/>
      <c r="JP12" s="16"/>
      <c r="JQ12" s="16"/>
      <c r="JR12" s="16"/>
      <c r="JS12" s="16"/>
      <c r="JT12" s="16"/>
      <c r="JU12" s="16"/>
      <c r="JV12" s="16"/>
      <c r="JW12" s="16"/>
      <c r="JX12" s="16"/>
      <c r="JY12" s="16"/>
      <c r="JZ12" s="16"/>
      <c r="KA12" s="16"/>
      <c r="KB12" s="16"/>
      <c r="KC12" s="16"/>
      <c r="KD12" s="16"/>
      <c r="KE12" s="16"/>
      <c r="KF12" s="16"/>
      <c r="KG12" s="16"/>
      <c r="KH12" s="16"/>
      <c r="KI12" s="16"/>
      <c r="KJ12" s="16"/>
      <c r="KK12" s="16"/>
      <c r="KL12" s="16"/>
      <c r="KM12" s="16"/>
      <c r="KN12" s="16"/>
      <c r="KO12" s="16"/>
      <c r="KP12" s="16"/>
      <c r="KQ12" s="16"/>
      <c r="KR12" s="16"/>
      <c r="KS12" s="16"/>
      <c r="KT12" s="16"/>
      <c r="KU12" s="16"/>
      <c r="KV12" s="16"/>
      <c r="KW12" s="16"/>
      <c r="KX12" s="16"/>
      <c r="KY12" s="16"/>
      <c r="KZ12" s="16"/>
      <c r="LA12" s="16"/>
      <c r="LB12" s="16"/>
      <c r="LC12" s="16"/>
      <c r="LD12" s="16"/>
      <c r="LE12" s="16"/>
      <c r="LF12" s="16"/>
      <c r="LG12" s="16"/>
      <c r="LH12" s="16"/>
      <c r="LI12" s="16"/>
      <c r="LJ12" s="16"/>
      <c r="LK12" s="16"/>
      <c r="LL12" s="16"/>
      <c r="LM12" s="16"/>
      <c r="LN12" s="16"/>
      <c r="LO12" s="16"/>
      <c r="LP12" s="16"/>
      <c r="LQ12" s="16"/>
      <c r="LR12" s="16"/>
      <c r="LS12" s="16"/>
      <c r="LT12" s="16"/>
      <c r="LU12" s="16"/>
      <c r="LV12" s="16"/>
      <c r="LW12" s="16"/>
      <c r="LX12" s="16"/>
      <c r="LY12" s="16"/>
      <c r="LZ12" s="16"/>
      <c r="MA12" s="16"/>
      <c r="MB12" s="16"/>
      <c r="MC12" s="16"/>
      <c r="MD12" s="16"/>
      <c r="ME12" s="16"/>
      <c r="MF12" s="16"/>
      <c r="MG12" s="16"/>
      <c r="MH12" s="16"/>
      <c r="MI12" s="16"/>
      <c r="MJ12" s="16"/>
      <c r="MK12" s="16"/>
      <c r="ML12" s="16"/>
      <c r="MM12" s="16"/>
      <c r="MN12" s="16"/>
      <c r="MO12" s="16"/>
      <c r="MP12" s="16"/>
      <c r="MQ12" s="16"/>
      <c r="MR12" s="16"/>
      <c r="MS12" s="16"/>
      <c r="MT12" s="16"/>
      <c r="MU12" s="16"/>
      <c r="MV12" s="16"/>
      <c r="MW12" s="16"/>
      <c r="MX12" s="16"/>
      <c r="MY12" s="16"/>
      <c r="MZ12" s="16"/>
      <c r="NA12" s="16"/>
      <c r="NB12" s="16"/>
      <c r="NC12" s="16"/>
      <c r="ND12" s="16"/>
      <c r="NE12" s="16"/>
      <c r="NF12" s="16"/>
      <c r="NG12" s="16"/>
      <c r="NH12" s="16"/>
      <c r="NI12" s="16"/>
      <c r="NJ12" s="16"/>
      <c r="NK12" s="16"/>
      <c r="NL12" s="16"/>
      <c r="NM12" s="16"/>
      <c r="NN12" s="16"/>
      <c r="NO12" s="16"/>
      <c r="NP12" s="16"/>
      <c r="NQ12" s="16"/>
      <c r="NR12" s="16"/>
      <c r="NS12" s="16"/>
      <c r="NT12" s="16"/>
      <c r="NU12" s="16"/>
      <c r="NV12" s="16"/>
      <c r="NW12" s="16"/>
      <c r="NX12" s="16"/>
      <c r="NY12" s="16"/>
      <c r="NZ12" s="16"/>
      <c r="OA12" s="16"/>
      <c r="OB12" s="16"/>
      <c r="OC12" s="16"/>
      <c r="OD12" s="16"/>
      <c r="OE12" s="16"/>
      <c r="OF12" s="16"/>
      <c r="OG12" s="16"/>
      <c r="OH12" s="16"/>
      <c r="OI12" s="16"/>
      <c r="OJ12" s="16"/>
      <c r="OK12" s="16"/>
      <c r="OL12" s="16"/>
      <c r="OM12" s="16"/>
      <c r="ON12" s="16"/>
      <c r="OO12" s="16"/>
      <c r="OP12" s="16"/>
      <c r="OQ12" s="16"/>
      <c r="OR12" s="16"/>
      <c r="OS12" s="16"/>
      <c r="OT12" s="16"/>
      <c r="OU12" s="16"/>
      <c r="OV12" s="16"/>
      <c r="OW12" s="16"/>
      <c r="OX12" s="16"/>
      <c r="OY12" s="16"/>
      <c r="OZ12" s="16"/>
      <c r="PA12" s="16"/>
      <c r="PB12" s="16"/>
      <c r="PC12" s="16"/>
      <c r="PD12" s="16"/>
      <c r="PE12" s="16"/>
      <c r="PF12" s="16"/>
      <c r="PG12" s="16"/>
      <c r="PH12" s="16"/>
      <c r="PI12" s="16"/>
      <c r="PJ12" s="16"/>
      <c r="PK12" s="16"/>
      <c r="PL12" s="16"/>
      <c r="PM12" s="16"/>
      <c r="PN12" s="16"/>
      <c r="PO12" s="16"/>
      <c r="PP12" s="16"/>
      <c r="PQ12" s="16"/>
      <c r="PR12" s="16"/>
      <c r="PS12" s="16"/>
      <c r="PT12" s="16"/>
      <c r="PU12" s="16"/>
      <c r="PV12" s="16"/>
      <c r="PW12" s="16"/>
      <c r="PX12" s="16"/>
      <c r="PY12" s="16"/>
      <c r="PZ12" s="16"/>
      <c r="QA12" s="16"/>
      <c r="QB12" s="16"/>
      <c r="QC12" s="16"/>
      <c r="QD12" s="16"/>
      <c r="QE12" s="16"/>
      <c r="QF12" s="16"/>
      <c r="QG12" s="16"/>
      <c r="QH12" s="16"/>
      <c r="QI12" s="16"/>
      <c r="QJ12" s="16"/>
      <c r="QK12" s="16"/>
      <c r="QL12" s="16"/>
      <c r="QM12" s="16"/>
      <c r="QN12" s="16"/>
      <c r="QO12" s="16"/>
      <c r="QP12" s="16"/>
      <c r="QQ12" s="16"/>
      <c r="QR12" s="16"/>
      <c r="QS12" s="16"/>
      <c r="QT12" s="16"/>
      <c r="QU12" s="16"/>
      <c r="QV12" s="16"/>
      <c r="QW12" s="16"/>
      <c r="QX12" s="16"/>
      <c r="QY12" s="16"/>
      <c r="QZ12" s="16"/>
      <c r="RA12" s="16"/>
      <c r="RB12" s="16"/>
      <c r="RC12" s="16"/>
      <c r="RD12" s="16"/>
      <c r="RE12" s="16"/>
      <c r="RF12" s="16"/>
      <c r="RG12" s="16"/>
      <c r="RH12" s="16"/>
      <c r="RI12" s="16"/>
      <c r="RJ12" s="16"/>
      <c r="RK12" s="16"/>
      <c r="RL12" s="16"/>
      <c r="RM12" s="16"/>
      <c r="RN12" s="16"/>
      <c r="RO12" s="16"/>
      <c r="RP12" s="16"/>
      <c r="RQ12" s="16"/>
      <c r="RR12" s="16"/>
      <c r="RS12" s="16"/>
      <c r="RT12" s="16"/>
      <c r="RU12" s="16"/>
      <c r="RV12" s="16"/>
      <c r="RW12" s="16"/>
      <c r="RX12" s="16"/>
      <c r="RY12" s="16"/>
      <c r="RZ12" s="16"/>
      <c r="SA12" s="16"/>
      <c r="SB12" s="16"/>
      <c r="SC12" s="16"/>
      <c r="SD12" s="16"/>
      <c r="SE12" s="16"/>
      <c r="SF12" s="16"/>
      <c r="SG12" s="16"/>
      <c r="SH12" s="16"/>
      <c r="SI12" s="16"/>
      <c r="SJ12" s="16"/>
      <c r="SK12" s="16"/>
      <c r="SL12" s="16"/>
      <c r="SM12" s="16"/>
      <c r="SN12" s="16"/>
      <c r="SO12" s="16"/>
      <c r="SP12" s="16"/>
      <c r="SQ12" s="16"/>
      <c r="SR12" s="16"/>
      <c r="SS12" s="16"/>
      <c r="ST12" s="16"/>
      <c r="SU12" s="16"/>
      <c r="SV12" s="16"/>
      <c r="SW12" s="16"/>
      <c r="SX12" s="16"/>
      <c r="SY12" s="16"/>
      <c r="SZ12" s="16"/>
      <c r="TA12" s="16"/>
      <c r="TB12" s="16"/>
      <c r="TC12" s="16"/>
      <c r="TD12" s="16"/>
      <c r="TE12" s="16"/>
      <c r="TF12" s="16"/>
      <c r="TG12" s="16"/>
      <c r="TH12" s="16"/>
      <c r="TI12" s="16"/>
      <c r="TJ12" s="16"/>
      <c r="TK12" s="16"/>
      <c r="TL12" s="16"/>
      <c r="TM12" s="16"/>
      <c r="TN12" s="16"/>
      <c r="TO12" s="16"/>
      <c r="TP12" s="16"/>
      <c r="TQ12" s="16"/>
      <c r="TR12" s="16"/>
      <c r="TS12" s="16"/>
      <c r="TT12" s="16"/>
      <c r="TU12" s="16"/>
      <c r="TV12" s="16"/>
      <c r="TW12" s="16"/>
      <c r="TX12" s="16"/>
      <c r="TY12" s="16"/>
      <c r="TZ12" s="16"/>
      <c r="UA12" s="16"/>
      <c r="UB12" s="16"/>
      <c r="UC12" s="16"/>
      <c r="UD12" s="16"/>
      <c r="UE12" s="16"/>
      <c r="UF12" s="16"/>
      <c r="UG12" s="16"/>
      <c r="UH12" s="16"/>
      <c r="UI12" s="16"/>
      <c r="UJ12" s="16"/>
      <c r="UK12" s="16"/>
      <c r="UL12" s="16"/>
      <c r="UM12" s="16"/>
      <c r="UN12" s="16"/>
      <c r="UO12" s="16"/>
      <c r="UP12" s="16"/>
      <c r="UQ12" s="16"/>
      <c r="UR12" s="16"/>
      <c r="US12" s="16"/>
      <c r="UT12" s="16"/>
      <c r="UU12" s="16"/>
      <c r="UV12" s="16"/>
      <c r="UW12" s="16"/>
      <c r="UX12" s="16"/>
      <c r="UY12" s="16"/>
      <c r="UZ12" s="16"/>
      <c r="VA12" s="16"/>
      <c r="VB12" s="16"/>
      <c r="VC12" s="16"/>
      <c r="VD12" s="16"/>
      <c r="VE12" s="16"/>
      <c r="VF12" s="16"/>
      <c r="VG12" s="16"/>
      <c r="VH12" s="16"/>
      <c r="VI12" s="16"/>
      <c r="VJ12" s="16"/>
      <c r="VK12" s="16"/>
      <c r="VL12" s="16"/>
      <c r="VM12" s="16"/>
      <c r="VN12" s="16"/>
      <c r="VO12" s="16"/>
      <c r="VP12" s="16"/>
      <c r="VQ12" s="16"/>
      <c r="VR12" s="16"/>
      <c r="VS12" s="16"/>
      <c r="VT12" s="16"/>
      <c r="VU12" s="16"/>
      <c r="VV12" s="16"/>
      <c r="VW12" s="16"/>
      <c r="VX12" s="16"/>
      <c r="VY12" s="16"/>
      <c r="VZ12" s="16"/>
      <c r="WA12" s="16"/>
      <c r="WB12" s="16"/>
      <c r="WC12" s="16"/>
      <c r="WD12" s="16"/>
      <c r="WE12" s="16"/>
      <c r="WF12" s="16"/>
      <c r="WG12" s="16"/>
      <c r="WH12" s="16"/>
      <c r="WI12" s="16"/>
      <c r="WJ12" s="16"/>
      <c r="WK12" s="16"/>
      <c r="WL12" s="16"/>
      <c r="WM12" s="16"/>
      <c r="WN12" s="16"/>
      <c r="WO12" s="16"/>
      <c r="WP12" s="16"/>
      <c r="WQ12" s="16"/>
      <c r="WR12" s="16"/>
      <c r="WS12" s="16"/>
      <c r="WT12" s="16"/>
      <c r="WU12" s="16"/>
      <c r="WV12" s="16"/>
      <c r="WW12" s="16"/>
      <c r="WX12" s="16"/>
      <c r="WY12" s="16"/>
      <c r="WZ12" s="16"/>
      <c r="XA12" s="16"/>
      <c r="XB12" s="16"/>
      <c r="XC12" s="16"/>
      <c r="XD12" s="16"/>
      <c r="XE12" s="16"/>
      <c r="XF12" s="16"/>
      <c r="XG12" s="16"/>
      <c r="XH12" s="16"/>
      <c r="XI12" s="16"/>
      <c r="XJ12" s="16"/>
      <c r="XK12" s="16"/>
      <c r="XL12" s="16"/>
      <c r="XM12" s="16"/>
      <c r="XN12" s="16"/>
      <c r="XO12" s="16"/>
      <c r="XP12" s="16"/>
      <c r="XQ12" s="16"/>
      <c r="XR12" s="16"/>
      <c r="XS12" s="16"/>
      <c r="XT12" s="16"/>
      <c r="XU12" s="16"/>
      <c r="XV12" s="16"/>
      <c r="XW12" s="16"/>
      <c r="XX12" s="16"/>
      <c r="XY12" s="16"/>
      <c r="XZ12" s="16"/>
      <c r="YA12" s="16"/>
      <c r="YB12" s="16"/>
      <c r="YC12" s="16"/>
      <c r="YD12" s="16"/>
      <c r="YE12" s="16"/>
      <c r="YF12" s="16"/>
      <c r="YG12" s="16"/>
      <c r="YH12" s="16"/>
      <c r="YI12" s="16"/>
      <c r="YJ12" s="16"/>
      <c r="YK12" s="16"/>
      <c r="YL12" s="16"/>
      <c r="YM12" s="16"/>
      <c r="YN12" s="16"/>
      <c r="YO12" s="16"/>
      <c r="YP12" s="16"/>
      <c r="YQ12" s="16"/>
      <c r="YR12" s="16"/>
      <c r="YS12" s="16"/>
      <c r="YT12" s="16"/>
      <c r="YU12" s="16"/>
      <c r="YV12" s="16"/>
      <c r="YW12" s="16"/>
      <c r="YX12" s="16"/>
      <c r="YY12" s="16"/>
      <c r="YZ12" s="16"/>
      <c r="ZA12" s="16"/>
      <c r="ZB12" s="16"/>
      <c r="ZC12" s="16"/>
      <c r="ZD12" s="16"/>
      <c r="ZE12" s="16"/>
      <c r="ZF12" s="16"/>
      <c r="ZG12" s="16"/>
      <c r="ZH12" s="16"/>
      <c r="ZI12" s="16"/>
      <c r="ZJ12" s="16"/>
      <c r="ZK12" s="16"/>
      <c r="ZL12" s="16"/>
      <c r="ZM12" s="16"/>
      <c r="ZN12" s="16"/>
      <c r="ZO12" s="16"/>
      <c r="ZP12" s="16"/>
      <c r="ZQ12" s="16"/>
      <c r="ZR12" s="16"/>
      <c r="ZS12" s="16"/>
      <c r="ZT12" s="16"/>
      <c r="ZU12" s="16"/>
      <c r="ZV12" s="16"/>
      <c r="ZW12" s="16"/>
      <c r="ZX12" s="16"/>
      <c r="ZY12" s="16"/>
      <c r="ZZ12" s="16"/>
      <c r="AAA12" s="16"/>
      <c r="AAB12" s="16"/>
      <c r="AAC12" s="16"/>
      <c r="AAD12" s="16"/>
      <c r="AAE12" s="16"/>
      <c r="AAF12" s="16"/>
      <c r="AAG12" s="16"/>
      <c r="AAH12" s="16"/>
      <c r="AAI12" s="16"/>
      <c r="AAJ12" s="16"/>
      <c r="AAK12" s="16"/>
      <c r="AAL12" s="16"/>
      <c r="AAM12" s="16"/>
      <c r="AAN12" s="16"/>
      <c r="AAO12" s="16"/>
      <c r="AAP12" s="16"/>
      <c r="AAQ12" s="16"/>
      <c r="AAR12" s="16"/>
      <c r="AAS12" s="16"/>
      <c r="AAT12" s="16"/>
      <c r="AAU12" s="16"/>
      <c r="AAV12" s="16"/>
      <c r="AAW12" s="16"/>
      <c r="AAX12" s="16"/>
      <c r="AAY12" s="16"/>
      <c r="AAZ12" s="16"/>
      <c r="ABA12" s="16"/>
      <c r="ABB12" s="16"/>
      <c r="ABC12" s="16"/>
      <c r="ABD12" s="16"/>
      <c r="ABE12" s="16"/>
      <c r="ABF12" s="16"/>
      <c r="ABG12" s="16"/>
      <c r="ABH12" s="16"/>
      <c r="ABI12" s="16"/>
      <c r="ABJ12" s="16"/>
      <c r="ABK12" s="16"/>
      <c r="ABL12" s="16"/>
      <c r="ABM12" s="16"/>
      <c r="ABN12" s="16"/>
      <c r="ABO12" s="16"/>
      <c r="ABP12" s="16"/>
      <c r="ABQ12" s="16"/>
      <c r="ABR12" s="16"/>
      <c r="ABS12" s="16"/>
      <c r="ABT12" s="16"/>
      <c r="ABU12" s="16"/>
      <c r="ABV12" s="16"/>
      <c r="ABW12" s="16"/>
      <c r="ABX12" s="16"/>
      <c r="ABY12" s="16"/>
      <c r="ABZ12" s="16"/>
      <c r="ACA12" s="16"/>
      <c r="ACB12" s="16"/>
      <c r="ACC12" s="16"/>
      <c r="ACD12" s="16"/>
      <c r="ACE12" s="16"/>
      <c r="ACF12" s="16"/>
      <c r="ACG12" s="16"/>
      <c r="ACH12" s="16"/>
      <c r="ACI12" s="16"/>
      <c r="ACJ12" s="16"/>
      <c r="ACK12" s="16"/>
      <c r="ACL12" s="16"/>
      <c r="ACM12" s="16"/>
      <c r="ACN12" s="16"/>
      <c r="ACO12" s="16"/>
      <c r="ACP12" s="16"/>
      <c r="ACQ12" s="16"/>
      <c r="ACR12" s="16"/>
      <c r="ACS12" s="16"/>
      <c r="ACT12" s="16"/>
      <c r="ACU12" s="16"/>
      <c r="ACV12" s="16"/>
      <c r="ACW12" s="16"/>
      <c r="ACX12" s="16"/>
      <c r="ACY12" s="16"/>
      <c r="ACZ12" s="16"/>
      <c r="ADA12" s="16"/>
      <c r="ADB12" s="16"/>
      <c r="ADC12" s="16"/>
      <c r="ADD12" s="16"/>
      <c r="ADE12" s="16"/>
      <c r="ADF12" s="16"/>
      <c r="ADG12" s="16"/>
      <c r="ADH12" s="16"/>
      <c r="ADI12" s="16"/>
      <c r="ADJ12" s="16"/>
      <c r="ADK12" s="16"/>
      <c r="ADL12" s="16"/>
      <c r="ADM12" s="16"/>
      <c r="ADN12" s="16"/>
      <c r="ADO12" s="16"/>
      <c r="ADP12" s="16"/>
      <c r="ADQ12" s="16"/>
      <c r="ADR12" s="16"/>
      <c r="ADS12" s="16"/>
      <c r="ADT12" s="16"/>
      <c r="ADU12" s="16"/>
      <c r="ADV12" s="16"/>
      <c r="ADW12" s="16"/>
      <c r="ADX12" s="16"/>
      <c r="ADY12" s="16"/>
      <c r="ADZ12" s="16"/>
      <c r="AEA12" s="16"/>
      <c r="AEB12" s="16"/>
      <c r="AEC12" s="16"/>
      <c r="AED12" s="16"/>
      <c r="AEE12" s="16"/>
      <c r="AEF12" s="16"/>
      <c r="AEG12" s="16"/>
      <c r="AEH12" s="16"/>
      <c r="AEI12" s="16"/>
      <c r="AEJ12" s="16"/>
      <c r="AEK12" s="16"/>
      <c r="AEL12" s="16"/>
      <c r="AEM12" s="16"/>
      <c r="AEN12" s="16"/>
      <c r="AEO12" s="16"/>
      <c r="AEP12" s="16"/>
      <c r="AEQ12" s="16"/>
      <c r="AER12" s="16"/>
      <c r="AES12" s="16"/>
      <c r="AET12" s="16"/>
      <c r="AEU12" s="16"/>
      <c r="AEV12" s="16"/>
      <c r="AEW12" s="16"/>
      <c r="AEX12" s="16"/>
      <c r="AEY12" s="16"/>
      <c r="AEZ12" s="16"/>
      <c r="AFA12" s="16"/>
      <c r="AFB12" s="16"/>
      <c r="AFC12" s="16"/>
      <c r="AFD12" s="16"/>
      <c r="AFE12" s="16"/>
      <c r="AFF12" s="16"/>
      <c r="AFG12" s="16"/>
      <c r="AFH12" s="16"/>
      <c r="AFI12" s="16"/>
      <c r="AFJ12" s="16"/>
      <c r="AFK12" s="16"/>
      <c r="AFL12" s="16"/>
      <c r="AFM12" s="16"/>
      <c r="AFN12" s="16"/>
      <c r="AFO12" s="16"/>
      <c r="AFP12" s="16"/>
      <c r="AFQ12" s="16"/>
      <c r="AFR12" s="16"/>
      <c r="AFS12" s="16"/>
      <c r="AFT12" s="16"/>
      <c r="AFU12" s="16"/>
      <c r="AFV12" s="16"/>
      <c r="AFW12" s="16"/>
      <c r="AFX12" s="16"/>
      <c r="AFY12" s="16"/>
      <c r="AFZ12" s="16"/>
      <c r="AGA12" s="16"/>
      <c r="AGB12" s="16"/>
      <c r="AGC12" s="16"/>
      <c r="AGD12" s="16"/>
      <c r="AGE12" s="16"/>
      <c r="AGF12" s="16"/>
      <c r="AGG12" s="16"/>
      <c r="AGH12" s="16"/>
      <c r="AGI12" s="16"/>
      <c r="AGJ12" s="16"/>
      <c r="AGK12" s="16"/>
      <c r="AGL12" s="16"/>
      <c r="AGM12" s="16"/>
      <c r="AGN12" s="16"/>
      <c r="AGO12" s="16"/>
      <c r="AGP12" s="16"/>
      <c r="AGQ12" s="16"/>
      <c r="AGR12" s="16"/>
      <c r="AGS12" s="16"/>
      <c r="AGT12" s="16"/>
      <c r="AGU12" s="16"/>
      <c r="AGV12" s="16"/>
      <c r="AGW12" s="16"/>
      <c r="AGX12" s="16"/>
      <c r="AGY12" s="16"/>
      <c r="AGZ12" s="16"/>
      <c r="AHA12" s="16"/>
      <c r="AHB12" s="16"/>
      <c r="AHC12" s="16"/>
      <c r="AHD12" s="16"/>
      <c r="AHE12" s="16"/>
      <c r="AHF12" s="16"/>
      <c r="AHG12" s="16"/>
      <c r="AHH12" s="16"/>
      <c r="AHI12" s="16"/>
      <c r="AHJ12" s="16"/>
      <c r="AHK12" s="16"/>
      <c r="AHL12" s="16"/>
      <c r="AHM12" s="16"/>
      <c r="AHN12" s="16"/>
      <c r="AHO12" s="16"/>
      <c r="AHP12" s="16"/>
      <c r="AHQ12" s="16"/>
      <c r="AHR12" s="16"/>
      <c r="AHS12" s="16"/>
      <c r="AHT12" s="16"/>
      <c r="AHU12" s="16"/>
      <c r="AHV12" s="16"/>
      <c r="AHW12" s="16"/>
      <c r="AHX12" s="16"/>
      <c r="AHY12" s="16"/>
      <c r="AHZ12" s="16"/>
      <c r="AIA12" s="16"/>
      <c r="AIB12" s="16"/>
      <c r="AIC12" s="16"/>
      <c r="AID12" s="16"/>
      <c r="AIE12" s="16"/>
      <c r="AIF12" s="16"/>
      <c r="AIG12" s="16"/>
      <c r="AIH12" s="16"/>
      <c r="AII12" s="16"/>
      <c r="AIJ12" s="16"/>
      <c r="AIK12" s="16"/>
      <c r="AIL12" s="16"/>
      <c r="AIM12" s="16"/>
      <c r="AIN12" s="16"/>
      <c r="AIO12" s="16"/>
      <c r="AIP12" s="16"/>
      <c r="AIQ12" s="16"/>
      <c r="AIR12" s="16"/>
      <c r="AIS12" s="16"/>
      <c r="AIT12" s="16"/>
      <c r="AIU12" s="16"/>
      <c r="AIV12" s="16"/>
      <c r="AIW12" s="16"/>
      <c r="AIX12" s="16"/>
      <c r="AIY12" s="16"/>
      <c r="AIZ12" s="16"/>
      <c r="AJA12" s="16"/>
      <c r="AJB12" s="16"/>
      <c r="AJC12" s="16"/>
      <c r="AJD12" s="16"/>
      <c r="AJE12" s="16"/>
      <c r="AJF12" s="16"/>
      <c r="AJG12" s="16"/>
      <c r="AJH12" s="16"/>
      <c r="AJI12" s="16"/>
      <c r="AJJ12" s="16"/>
      <c r="AJK12" s="16"/>
      <c r="AJL12" s="16"/>
      <c r="AJM12" s="16"/>
      <c r="AJN12" s="16"/>
      <c r="AJO12" s="16"/>
      <c r="AJP12" s="16"/>
      <c r="AJQ12" s="16"/>
      <c r="AJR12" s="16"/>
      <c r="AJS12" s="16"/>
      <c r="AJT12" s="16"/>
      <c r="AJU12" s="16"/>
      <c r="AJV12" s="16"/>
      <c r="AJW12" s="16"/>
      <c r="AJX12" s="16"/>
      <c r="AJY12" s="16"/>
      <c r="AJZ12" s="16"/>
      <c r="AKA12" s="16"/>
      <c r="AKB12" s="16"/>
      <c r="AKC12" s="16"/>
      <c r="AKD12" s="16"/>
      <c r="AKE12" s="16"/>
      <c r="AKF12" s="16"/>
      <c r="AKG12" s="16"/>
      <c r="AKH12" s="16"/>
      <c r="AKI12" s="16"/>
      <c r="AKJ12" s="16"/>
      <c r="AKK12" s="16"/>
      <c r="AKL12" s="16"/>
      <c r="AKM12" s="16"/>
      <c r="AKN12" s="16"/>
      <c r="AKO12" s="16"/>
      <c r="AKP12" s="16"/>
      <c r="AKQ12" s="16"/>
      <c r="AKR12" s="16"/>
      <c r="AKS12" s="16"/>
      <c r="AKT12" s="16"/>
      <c r="AKU12" s="16"/>
      <c r="AKV12" s="16"/>
      <c r="AKW12" s="16"/>
      <c r="AKX12" s="16"/>
      <c r="AKY12" s="16"/>
      <c r="AKZ12" s="16"/>
      <c r="ALA12" s="16"/>
      <c r="ALB12" s="16"/>
      <c r="ALC12" s="16"/>
      <c r="ALD12" s="16"/>
      <c r="ALE12" s="16"/>
      <c r="ALF12" s="16"/>
      <c r="ALG12" s="16"/>
      <c r="ALH12" s="16"/>
      <c r="ALI12" s="16"/>
      <c r="ALJ12" s="16"/>
      <c r="ALK12" s="16"/>
      <c r="ALL12" s="16"/>
      <c r="ALM12" s="16"/>
      <c r="ALN12" s="16"/>
      <c r="ALO12" s="16"/>
      <c r="ALP12" s="16"/>
      <c r="ALQ12" s="16"/>
      <c r="ALR12" s="16"/>
      <c r="ALS12" s="16"/>
      <c r="ALT12" s="16"/>
      <c r="ALU12" s="16"/>
      <c r="ALV12" s="16"/>
      <c r="ALW12" s="16"/>
      <c r="ALX12" s="16"/>
      <c r="ALY12" s="16"/>
      <c r="ALZ12" s="16"/>
      <c r="AMA12" s="16"/>
      <c r="AMB12" s="16"/>
      <c r="AMC12" s="16"/>
      <c r="AMD12" s="16"/>
      <c r="AME12" s="16"/>
      <c r="AMF12" s="16"/>
      <c r="AMG12" s="16"/>
      <c r="AMH12" s="16"/>
      <c r="AMI12" s="16"/>
      <c r="AMJ12" s="16"/>
      <c r="AMK12" s="16"/>
      <c r="AML12" s="16"/>
      <c r="AMM12" s="16"/>
      <c r="AMN12" s="16"/>
      <c r="AMO12" s="16"/>
      <c r="AMP12" s="16"/>
      <c r="AMQ12" s="16"/>
      <c r="AMR12" s="16"/>
      <c r="AMS12" s="16"/>
      <c r="AMT12" s="16"/>
      <c r="AMU12" s="16"/>
      <c r="AMV12" s="16"/>
      <c r="AMW12" s="16"/>
      <c r="AMX12" s="16"/>
      <c r="AMY12" s="16"/>
      <c r="AMZ12" s="16"/>
      <c r="ANA12" s="16"/>
      <c r="ANB12" s="16"/>
      <c r="ANC12" s="16"/>
      <c r="AND12" s="16"/>
      <c r="ANE12" s="16"/>
      <c r="ANF12" s="16"/>
      <c r="ANG12" s="16"/>
      <c r="ANH12" s="16"/>
      <c r="ANI12" s="16"/>
      <c r="ANJ12" s="16"/>
      <c r="ANK12" s="16"/>
      <c r="ANL12" s="16"/>
      <c r="ANM12" s="16"/>
      <c r="ANN12" s="16"/>
      <c r="ANO12" s="16"/>
      <c r="ANP12" s="16"/>
      <c r="ANQ12" s="16"/>
      <c r="ANR12" s="16"/>
      <c r="ANS12" s="16"/>
      <c r="ANT12" s="16"/>
      <c r="ANU12" s="16"/>
      <c r="ANV12" s="16"/>
      <c r="ANW12" s="16"/>
      <c r="ANX12" s="16"/>
      <c r="ANY12" s="16"/>
      <c r="ANZ12" s="16"/>
      <c r="AOA12" s="16"/>
      <c r="AOB12" s="16"/>
      <c r="AOC12" s="16"/>
      <c r="AOD12" s="16"/>
      <c r="AOE12" s="16"/>
      <c r="AOF12" s="16"/>
      <c r="AOG12" s="16"/>
      <c r="AOH12" s="16"/>
      <c r="AOI12" s="16"/>
      <c r="AOJ12" s="16"/>
      <c r="AOK12" s="16"/>
      <c r="AOL12" s="16"/>
      <c r="AOM12" s="16"/>
      <c r="AON12" s="16"/>
      <c r="AOO12" s="16"/>
      <c r="AOP12" s="16"/>
      <c r="AOQ12" s="16"/>
      <c r="AOR12" s="16"/>
      <c r="AOS12" s="16"/>
      <c r="AOT12" s="16"/>
      <c r="AOU12" s="16"/>
      <c r="AOV12" s="16"/>
      <c r="AOW12" s="16"/>
      <c r="AOX12" s="16"/>
      <c r="AOY12" s="16"/>
      <c r="AOZ12" s="16"/>
      <c r="APA12" s="16"/>
      <c r="APB12" s="16"/>
      <c r="APC12" s="16"/>
      <c r="APD12" s="16"/>
      <c r="APE12" s="16"/>
      <c r="APF12" s="16"/>
      <c r="APG12" s="16"/>
      <c r="APH12" s="16"/>
      <c r="API12" s="16"/>
      <c r="APJ12" s="16"/>
      <c r="APK12" s="16"/>
      <c r="APL12" s="16"/>
      <c r="APM12" s="16"/>
      <c r="APN12" s="16"/>
      <c r="APO12" s="16"/>
      <c r="APP12" s="16"/>
      <c r="APQ12" s="16"/>
      <c r="APR12" s="16"/>
      <c r="APS12" s="16"/>
      <c r="APT12" s="16"/>
      <c r="APU12" s="16"/>
      <c r="APV12" s="16"/>
      <c r="APW12" s="16"/>
      <c r="APX12" s="16"/>
      <c r="APY12" s="16"/>
      <c r="APZ12" s="16"/>
      <c r="AQA12" s="16"/>
      <c r="AQB12" s="16"/>
      <c r="AQC12" s="16"/>
      <c r="AQD12" s="16"/>
      <c r="AQE12" s="16"/>
      <c r="AQF12" s="16"/>
      <c r="AQG12" s="16"/>
      <c r="AQH12" s="16"/>
      <c r="AQI12" s="16"/>
      <c r="AQJ12" s="16"/>
      <c r="AQK12" s="16"/>
      <c r="AQL12" s="16"/>
      <c r="AQM12" s="16"/>
      <c r="AQN12" s="16"/>
      <c r="AQO12" s="16"/>
      <c r="AQP12" s="16"/>
      <c r="AQQ12" s="16"/>
      <c r="AQR12" s="16"/>
      <c r="AQS12" s="16"/>
      <c r="AQT12" s="16"/>
      <c r="AQU12" s="16"/>
      <c r="AQV12" s="16"/>
      <c r="AQW12" s="16"/>
      <c r="AQX12" s="16"/>
      <c r="AQY12" s="16"/>
      <c r="AQZ12" s="16"/>
      <c r="ARA12" s="16"/>
      <c r="ARB12" s="16"/>
      <c r="ARC12" s="16"/>
      <c r="ARD12" s="16"/>
      <c r="ARE12" s="16"/>
      <c r="ARF12" s="16"/>
      <c r="ARG12" s="16"/>
      <c r="ARH12" s="16"/>
      <c r="ARI12" s="16"/>
      <c r="ARJ12" s="16"/>
      <c r="ARK12" s="16"/>
      <c r="ARL12" s="16"/>
      <c r="ARM12" s="16"/>
      <c r="ARN12" s="16"/>
      <c r="ARO12" s="16"/>
      <c r="ARP12" s="16"/>
      <c r="ARQ12" s="16"/>
      <c r="ARR12" s="16"/>
      <c r="ARS12" s="16"/>
      <c r="ART12" s="16"/>
      <c r="ARU12" s="16"/>
      <c r="ARV12" s="16"/>
      <c r="ARW12" s="16"/>
      <c r="ARX12" s="16"/>
      <c r="ARY12" s="16"/>
      <c r="ARZ12" s="16"/>
      <c r="ASA12" s="16"/>
      <c r="ASB12" s="16"/>
      <c r="ASC12" s="16"/>
      <c r="ASD12" s="16"/>
      <c r="ASE12" s="16"/>
      <c r="ASF12" s="16"/>
      <c r="ASG12" s="16"/>
      <c r="ASH12" s="16"/>
      <c r="ASI12" s="16"/>
      <c r="ASJ12" s="16"/>
      <c r="ASK12" s="16"/>
      <c r="ASL12" s="16"/>
      <c r="ASM12" s="16"/>
      <c r="ASN12" s="16"/>
      <c r="ASO12" s="16"/>
      <c r="ASP12" s="16"/>
      <c r="ASQ12" s="16"/>
      <c r="ASR12" s="16"/>
      <c r="ASS12" s="16"/>
      <c r="AST12" s="16"/>
      <c r="ASU12" s="16"/>
      <c r="ASV12" s="16"/>
      <c r="ASW12" s="16"/>
      <c r="ASX12" s="16"/>
      <c r="ASY12" s="16"/>
      <c r="ASZ12" s="16"/>
      <c r="ATA12" s="16"/>
      <c r="ATB12" s="16"/>
      <c r="ATC12" s="16"/>
      <c r="ATD12" s="16"/>
      <c r="ATE12" s="16"/>
      <c r="ATF12" s="16"/>
      <c r="ATG12" s="16"/>
      <c r="ATH12" s="16"/>
      <c r="ATI12" s="16"/>
      <c r="ATJ12" s="16"/>
      <c r="ATK12" s="16"/>
      <c r="ATL12" s="16"/>
      <c r="ATM12" s="16"/>
      <c r="ATN12" s="16"/>
      <c r="ATO12" s="16"/>
      <c r="ATP12" s="16"/>
      <c r="ATQ12" s="16"/>
      <c r="ATR12" s="16"/>
      <c r="ATS12" s="16"/>
      <c r="ATT12" s="16"/>
      <c r="ATU12" s="16"/>
      <c r="ATV12" s="16"/>
      <c r="ATW12" s="16"/>
      <c r="ATX12" s="16"/>
      <c r="ATY12" s="16"/>
      <c r="ATZ12" s="16"/>
      <c r="AUA12" s="16"/>
      <c r="AUB12" s="16"/>
      <c r="AUC12" s="16"/>
      <c r="AUD12" s="16"/>
      <c r="AUE12" s="16"/>
      <c r="AUF12" s="16"/>
      <c r="AUG12" s="16"/>
      <c r="AUH12" s="16"/>
      <c r="AUI12" s="16"/>
      <c r="AUJ12" s="16"/>
      <c r="AUK12" s="16"/>
      <c r="AUL12" s="16"/>
      <c r="AUM12" s="16"/>
      <c r="AUN12" s="16"/>
      <c r="AUO12" s="16"/>
      <c r="AUP12" s="16"/>
      <c r="AUQ12" s="16"/>
      <c r="AUR12" s="16"/>
      <c r="AUS12" s="16"/>
      <c r="AUT12" s="16"/>
      <c r="AUU12" s="16"/>
      <c r="AUV12" s="16"/>
      <c r="AUW12" s="16"/>
      <c r="AUX12" s="16"/>
      <c r="AUY12" s="16"/>
      <c r="AUZ12" s="16"/>
      <c r="AVA12" s="16"/>
      <c r="AVB12" s="16"/>
      <c r="AVC12" s="16"/>
      <c r="AVD12" s="16"/>
      <c r="AVE12" s="16"/>
      <c r="AVF12" s="16"/>
      <c r="AVG12" s="16"/>
      <c r="AVH12" s="16"/>
      <c r="AVI12" s="16"/>
      <c r="AVJ12" s="16"/>
      <c r="AVK12" s="16"/>
      <c r="AVL12" s="16"/>
      <c r="AVM12" s="16"/>
      <c r="AVN12" s="16"/>
      <c r="AVO12" s="16"/>
      <c r="AVP12" s="16"/>
      <c r="AVQ12" s="16"/>
      <c r="AVR12" s="16"/>
      <c r="AVS12" s="16"/>
      <c r="AVT12" s="16"/>
      <c r="AVU12" s="16"/>
      <c r="AVV12" s="16"/>
      <c r="AVW12" s="16"/>
      <c r="AVX12" s="16"/>
      <c r="AVY12" s="16"/>
      <c r="AVZ12" s="16"/>
      <c r="AWA12" s="16"/>
      <c r="AWB12" s="16"/>
      <c r="AWC12" s="16"/>
      <c r="AWD12" s="16"/>
      <c r="AWE12" s="16"/>
      <c r="AWF12" s="16"/>
      <c r="AWG12" s="16"/>
      <c r="AWH12" s="16"/>
      <c r="AWI12" s="16"/>
      <c r="AWJ12" s="16"/>
      <c r="AWK12" s="16"/>
      <c r="AWL12" s="16"/>
      <c r="AWM12" s="16"/>
      <c r="AWN12" s="16"/>
      <c r="AWO12" s="16"/>
      <c r="AWP12" s="16"/>
      <c r="AWQ12" s="16"/>
      <c r="AWR12" s="16"/>
      <c r="AWS12" s="16"/>
      <c r="AWT12" s="16"/>
      <c r="AWU12" s="16"/>
      <c r="AWV12" s="16"/>
      <c r="AWW12" s="16"/>
      <c r="AWX12" s="16"/>
      <c r="AWY12" s="16"/>
      <c r="AWZ12" s="16"/>
      <c r="AXA12" s="16"/>
      <c r="AXB12" s="16"/>
      <c r="AXC12" s="16"/>
      <c r="AXD12" s="16"/>
      <c r="AXE12" s="16"/>
      <c r="AXF12" s="16"/>
      <c r="AXG12" s="16"/>
      <c r="AXH12" s="16"/>
      <c r="AXI12" s="16"/>
      <c r="AXJ12" s="16"/>
      <c r="AXK12" s="16"/>
      <c r="AXL12" s="16"/>
      <c r="AXM12" s="16"/>
      <c r="AXN12" s="16"/>
      <c r="AXO12" s="16"/>
      <c r="AXP12" s="16"/>
      <c r="AXQ12" s="16"/>
      <c r="AXR12" s="16"/>
      <c r="AXS12" s="16"/>
      <c r="AXT12" s="16"/>
      <c r="AXU12" s="16"/>
      <c r="AXV12" s="16"/>
      <c r="AXW12" s="16"/>
      <c r="AXX12" s="16"/>
      <c r="AXY12" s="16"/>
      <c r="AXZ12" s="16"/>
      <c r="AYA12" s="16"/>
      <c r="AYB12" s="16"/>
      <c r="AYC12" s="16"/>
      <c r="AYD12" s="16"/>
      <c r="AYE12" s="16"/>
      <c r="AYF12" s="16"/>
      <c r="AYG12" s="16"/>
      <c r="AYH12" s="16"/>
      <c r="AYI12" s="16"/>
      <c r="AYJ12" s="16"/>
      <c r="AYK12" s="16"/>
      <c r="AYL12" s="16"/>
      <c r="AYM12" s="16"/>
      <c r="AYN12" s="16"/>
      <c r="AYO12" s="16"/>
      <c r="AYP12" s="16"/>
      <c r="AYQ12" s="16"/>
      <c r="AYR12" s="16"/>
      <c r="AYS12" s="16"/>
      <c r="AYT12" s="16"/>
      <c r="AYU12" s="16"/>
      <c r="AYV12" s="16"/>
      <c r="AYW12" s="16"/>
      <c r="AYX12" s="16"/>
      <c r="AYY12" s="16"/>
      <c r="AYZ12" s="16"/>
      <c r="AZA12" s="16"/>
      <c r="AZB12" s="16"/>
      <c r="AZC12" s="16"/>
      <c r="AZD12" s="16"/>
      <c r="AZE12" s="16"/>
      <c r="AZF12" s="16"/>
      <c r="AZG12" s="16"/>
      <c r="AZH12" s="16"/>
      <c r="AZI12" s="16"/>
      <c r="AZJ12" s="16"/>
      <c r="AZK12" s="16"/>
      <c r="AZL12" s="16"/>
      <c r="AZM12" s="16"/>
      <c r="AZN12" s="16"/>
      <c r="AZO12" s="16"/>
      <c r="AZP12" s="16"/>
      <c r="AZQ12" s="16"/>
      <c r="AZR12" s="16"/>
      <c r="AZS12" s="16"/>
      <c r="AZT12" s="16"/>
      <c r="AZU12" s="16"/>
      <c r="AZV12" s="16"/>
      <c r="AZW12" s="16"/>
      <c r="AZX12" s="16"/>
      <c r="AZY12" s="16"/>
      <c r="AZZ12" s="16"/>
      <c r="BAA12" s="16"/>
      <c r="BAB12" s="16"/>
      <c r="BAC12" s="16"/>
      <c r="BAD12" s="16"/>
      <c r="BAE12" s="16"/>
      <c r="BAF12" s="16"/>
      <c r="BAG12" s="16"/>
      <c r="BAH12" s="16"/>
      <c r="BAI12" s="16"/>
      <c r="BAJ12" s="16"/>
      <c r="BAK12" s="16"/>
      <c r="BAL12" s="16"/>
      <c r="BAM12" s="16"/>
      <c r="BAN12" s="16"/>
      <c r="BAO12" s="16"/>
      <c r="BAP12" s="16"/>
      <c r="BAQ12" s="16"/>
      <c r="BAR12" s="16"/>
      <c r="BAS12" s="16"/>
      <c r="BAT12" s="16"/>
      <c r="BAU12" s="16"/>
      <c r="BAV12" s="16"/>
      <c r="BAW12" s="16"/>
      <c r="BAX12" s="16"/>
      <c r="BAY12" s="16"/>
      <c r="BAZ12" s="16"/>
      <c r="BBA12" s="16"/>
      <c r="BBB12" s="16"/>
      <c r="BBC12" s="16"/>
      <c r="BBD12" s="16"/>
      <c r="BBE12" s="16"/>
      <c r="BBF12" s="16"/>
      <c r="BBG12" s="16"/>
      <c r="BBH12" s="16"/>
      <c r="BBI12" s="16"/>
      <c r="BBJ12" s="16"/>
      <c r="BBK12" s="16"/>
      <c r="BBL12" s="16"/>
      <c r="BBM12" s="16"/>
      <c r="BBN12" s="16"/>
      <c r="BBO12" s="16"/>
      <c r="BBP12" s="16"/>
      <c r="BBQ12" s="16"/>
      <c r="BBR12" s="16"/>
      <c r="BBS12" s="16"/>
      <c r="BBT12" s="16"/>
      <c r="BBU12" s="16"/>
      <c r="BBV12" s="16"/>
      <c r="BBW12" s="16"/>
      <c r="BBX12" s="16"/>
      <c r="BBY12" s="16"/>
      <c r="BBZ12" s="16"/>
      <c r="BCA12" s="16"/>
      <c r="BCB12" s="16"/>
      <c r="BCC12" s="16"/>
      <c r="BCD12" s="16"/>
      <c r="BCE12" s="16"/>
      <c r="BCF12" s="16"/>
      <c r="BCG12" s="16"/>
      <c r="BCH12" s="16"/>
      <c r="BCI12" s="16"/>
      <c r="BCJ12" s="16"/>
      <c r="BCK12" s="16"/>
      <c r="BCL12" s="16"/>
      <c r="BCM12" s="16"/>
      <c r="BCN12" s="16"/>
      <c r="BCO12" s="16"/>
      <c r="BCP12" s="16"/>
      <c r="BCQ12" s="16"/>
      <c r="BCR12" s="16"/>
      <c r="BCS12" s="16"/>
      <c r="BCT12" s="16"/>
      <c r="BCU12" s="16"/>
      <c r="BCV12" s="16"/>
      <c r="BCW12" s="16"/>
      <c r="BCX12" s="16"/>
      <c r="BCY12" s="16"/>
      <c r="BCZ12" s="16"/>
      <c r="BDA12" s="16"/>
      <c r="BDB12" s="16"/>
      <c r="BDC12" s="16"/>
      <c r="BDD12" s="16"/>
      <c r="BDE12" s="16"/>
      <c r="BDF12" s="16"/>
      <c r="BDG12" s="16"/>
      <c r="BDH12" s="16"/>
      <c r="BDI12" s="16"/>
      <c r="BDJ12" s="16"/>
      <c r="BDK12" s="16"/>
      <c r="BDL12" s="16"/>
      <c r="BDM12" s="16"/>
      <c r="BDN12" s="16"/>
      <c r="BDO12" s="16"/>
      <c r="BDP12" s="16"/>
      <c r="BDQ12" s="16"/>
      <c r="BDR12" s="16"/>
      <c r="BDS12" s="16"/>
      <c r="BDT12" s="16"/>
      <c r="BDU12" s="16"/>
      <c r="BDV12" s="16"/>
      <c r="BDW12" s="16"/>
      <c r="BDX12" s="16"/>
      <c r="BDY12" s="16"/>
      <c r="BDZ12" s="16"/>
      <c r="BEA12" s="16"/>
      <c r="BEB12" s="16"/>
      <c r="BEC12" s="16"/>
      <c r="BED12" s="16"/>
      <c r="BEE12" s="16"/>
      <c r="BEF12" s="16"/>
      <c r="BEG12" s="16"/>
      <c r="BEH12" s="16"/>
      <c r="BEI12" s="16"/>
      <c r="BEJ12" s="16"/>
      <c r="BEK12" s="16"/>
      <c r="BEL12" s="16"/>
      <c r="BEM12" s="16"/>
      <c r="BEN12" s="16"/>
      <c r="BEO12" s="16"/>
      <c r="BEP12" s="16"/>
      <c r="BEQ12" s="16"/>
      <c r="BER12" s="16"/>
      <c r="BES12" s="16"/>
      <c r="BET12" s="16"/>
      <c r="BEU12" s="16"/>
      <c r="BEV12" s="16"/>
      <c r="BEW12" s="16"/>
      <c r="BEX12" s="16"/>
      <c r="BEY12" s="16"/>
      <c r="BEZ12" s="16"/>
      <c r="BFA12" s="16"/>
      <c r="BFB12" s="16"/>
      <c r="BFC12" s="16"/>
      <c r="BFD12" s="16"/>
      <c r="BFE12" s="16"/>
      <c r="BFF12" s="16"/>
      <c r="BFG12" s="16"/>
      <c r="BFH12" s="16"/>
      <c r="BFI12" s="16"/>
      <c r="BFJ12" s="16"/>
      <c r="BFK12" s="16"/>
      <c r="BFL12" s="16"/>
      <c r="BFM12" s="16"/>
      <c r="BFN12" s="16"/>
      <c r="BFO12" s="16"/>
      <c r="BFP12" s="16"/>
      <c r="BFQ12" s="16"/>
      <c r="BFR12" s="16"/>
      <c r="BFS12" s="16"/>
      <c r="BFT12" s="16"/>
      <c r="BFU12" s="16"/>
      <c r="BFV12" s="16"/>
      <c r="BFW12" s="16"/>
      <c r="BFX12" s="16"/>
      <c r="BFY12" s="16"/>
      <c r="BFZ12" s="16"/>
      <c r="BGA12" s="16"/>
      <c r="BGB12" s="16"/>
      <c r="BGC12" s="16"/>
      <c r="BGD12" s="16"/>
      <c r="BGE12" s="16"/>
      <c r="BGF12" s="16"/>
      <c r="BGG12" s="16"/>
      <c r="BGH12" s="16"/>
      <c r="BGI12" s="16"/>
      <c r="BGJ12" s="16"/>
      <c r="BGK12" s="16"/>
      <c r="BGL12" s="16"/>
      <c r="BGM12" s="16"/>
      <c r="BGN12" s="16"/>
      <c r="BGO12" s="16"/>
      <c r="BGP12" s="16"/>
      <c r="BGQ12" s="16"/>
      <c r="BGR12" s="16"/>
      <c r="BGS12" s="16"/>
      <c r="BGT12" s="16"/>
      <c r="BGU12" s="16"/>
      <c r="BGV12" s="16"/>
      <c r="BGW12" s="16"/>
      <c r="BGX12" s="16"/>
      <c r="BGY12" s="16"/>
      <c r="BGZ12" s="16"/>
      <c r="BHA12" s="16"/>
      <c r="BHB12" s="16"/>
      <c r="BHC12" s="16"/>
      <c r="BHD12" s="16"/>
      <c r="BHE12" s="16"/>
      <c r="BHF12" s="16"/>
      <c r="BHG12" s="16"/>
      <c r="BHH12" s="16"/>
      <c r="BHI12" s="16"/>
      <c r="BHJ12" s="16"/>
      <c r="BHK12" s="16"/>
      <c r="BHL12" s="16"/>
      <c r="BHM12" s="16"/>
      <c r="BHN12" s="16"/>
      <c r="BHO12" s="16"/>
      <c r="BHP12" s="16"/>
      <c r="BHQ12" s="16"/>
    </row>
    <row r="13" spans="1:1577" ht="22.5" customHeight="1" x14ac:dyDescent="0.25">
      <c r="BGZ13" s="16"/>
      <c r="BHA13" s="16"/>
      <c r="BHB13" s="16"/>
      <c r="BHC13" s="16"/>
      <c r="BHD13" s="16"/>
      <c r="BHE13" s="16"/>
      <c r="BHF13" s="16"/>
      <c r="BHG13" s="16"/>
      <c r="BHH13" s="16"/>
      <c r="BHI13" s="16"/>
      <c r="BHJ13" s="16"/>
      <c r="BHK13" s="16"/>
      <c r="BHL13" s="16"/>
      <c r="BHM13" s="16"/>
      <c r="BHN13" s="16"/>
      <c r="BHO13" s="16"/>
      <c r="BHP13" s="16"/>
      <c r="BHQ13" s="16"/>
    </row>
    <row r="14" spans="1:1577" ht="22.5" customHeight="1" x14ac:dyDescent="0.25">
      <c r="BGZ14" s="16"/>
      <c r="BHA14" s="16"/>
      <c r="BHB14" s="16"/>
      <c r="BHC14" s="16"/>
      <c r="BHD14" s="16"/>
      <c r="BHE14" s="16"/>
      <c r="BHF14" s="16"/>
      <c r="BHG14" s="16"/>
      <c r="BHH14" s="16"/>
      <c r="BHI14" s="16"/>
      <c r="BHJ14" s="16"/>
      <c r="BHK14" s="16"/>
      <c r="BHL14" s="16"/>
      <c r="BHM14" s="16"/>
      <c r="BHN14" s="16"/>
      <c r="BHO14" s="16"/>
      <c r="BHP14" s="16"/>
      <c r="BHQ14" s="16"/>
    </row>
    <row r="15" spans="1:1577" ht="12" x14ac:dyDescent="0.25">
      <c r="BI15" s="5">
        <v>13</v>
      </c>
      <c r="BGZ15" s="16"/>
      <c r="BHA15" s="16"/>
      <c r="BHB15" s="16"/>
      <c r="BHC15" s="16"/>
      <c r="BHD15" s="16"/>
      <c r="BHE15" s="16"/>
      <c r="BHF15" s="16"/>
      <c r="BHG15" s="16"/>
      <c r="BHH15" s="16"/>
      <c r="BHI15" s="16"/>
      <c r="BHJ15" s="16"/>
      <c r="BHK15" s="16"/>
      <c r="BHL15" s="16"/>
      <c r="BHM15" s="16"/>
      <c r="BHN15" s="16"/>
      <c r="BHO15" s="16"/>
      <c r="BHP15" s="16"/>
      <c r="BHQ15" s="16"/>
    </row>
    <row r="16" spans="1:1577" ht="12" x14ac:dyDescent="0.25">
      <c r="BI16" s="5">
        <v>23</v>
      </c>
      <c r="BGZ16" s="16"/>
      <c r="BHA16" s="16"/>
      <c r="BHB16" s="16"/>
      <c r="BHC16" s="16"/>
      <c r="BHD16" s="16"/>
      <c r="BHE16" s="16"/>
      <c r="BHF16" s="16"/>
      <c r="BHG16" s="16"/>
      <c r="BHH16" s="16"/>
      <c r="BHI16" s="16"/>
      <c r="BHJ16" s="16"/>
      <c r="BHK16" s="16"/>
      <c r="BHL16" s="16"/>
      <c r="BHM16" s="16"/>
      <c r="BHN16" s="16"/>
      <c r="BHO16" s="16"/>
      <c r="BHP16" s="16"/>
      <c r="BHQ16" s="16"/>
    </row>
    <row r="17" spans="61:61 1560:1577" ht="22.5" customHeight="1" x14ac:dyDescent="0.25">
      <c r="BGZ17" s="16"/>
      <c r="BHA17" s="16"/>
      <c r="BHB17" s="16"/>
      <c r="BHC17" s="16"/>
      <c r="BHD17" s="16"/>
      <c r="BHE17" s="16"/>
      <c r="BHF17" s="16"/>
      <c r="BHG17" s="16"/>
      <c r="BHH17" s="16"/>
      <c r="BHI17" s="16"/>
      <c r="BHJ17" s="16"/>
      <c r="BHK17" s="16"/>
      <c r="BHL17" s="16"/>
      <c r="BHM17" s="16"/>
      <c r="BHN17" s="16"/>
      <c r="BHO17" s="16"/>
      <c r="BHP17" s="16"/>
      <c r="BHQ17" s="16"/>
    </row>
    <row r="18" spans="61:61 1560:1577" ht="12" x14ac:dyDescent="0.25">
      <c r="BI18" s="5">
        <f>+BI15/BI16</f>
        <v>0.56521739130434778</v>
      </c>
      <c r="BGZ18" s="16"/>
      <c r="BHA18" s="16"/>
      <c r="BHB18" s="16"/>
      <c r="BHC18" s="16"/>
      <c r="BHD18" s="16"/>
      <c r="BHE18" s="16"/>
      <c r="BHF18" s="16"/>
      <c r="BHG18" s="16"/>
      <c r="BHH18" s="16"/>
      <c r="BHI18" s="16"/>
      <c r="BHJ18" s="16"/>
      <c r="BHK18" s="16"/>
      <c r="BHL18" s="16"/>
      <c r="BHM18" s="16"/>
      <c r="BHN18" s="16"/>
      <c r="BHO18" s="16"/>
      <c r="BHP18" s="16"/>
      <c r="BHQ18" s="16"/>
    </row>
    <row r="19" spans="61:61 1560:1577" ht="22.5" customHeight="1" x14ac:dyDescent="0.25">
      <c r="BGZ19" s="16"/>
      <c r="BHA19" s="16"/>
      <c r="BHB19" s="16"/>
      <c r="BHC19" s="16"/>
      <c r="BHD19" s="16"/>
      <c r="BHE19" s="16"/>
      <c r="BHF19" s="16"/>
      <c r="BHG19" s="16"/>
      <c r="BHH19" s="16"/>
      <c r="BHI19" s="16"/>
      <c r="BHJ19" s="16"/>
      <c r="BHK19" s="16"/>
      <c r="BHL19" s="16"/>
      <c r="BHM19" s="16"/>
      <c r="BHN19" s="16"/>
      <c r="BHO19" s="16"/>
      <c r="BHP19" s="16"/>
      <c r="BHQ19" s="16"/>
    </row>
    <row r="20" spans="61:61 1560:1577" ht="22.5" customHeight="1" x14ac:dyDescent="0.25">
      <c r="BGZ20" s="16"/>
      <c r="BHA20" s="16"/>
      <c r="BHB20" s="16"/>
      <c r="BHC20" s="16"/>
      <c r="BHD20" s="16"/>
      <c r="BHE20" s="16"/>
      <c r="BHF20" s="16"/>
      <c r="BHG20" s="16"/>
      <c r="BHH20" s="16"/>
      <c r="BHI20" s="16"/>
      <c r="BHJ20" s="16"/>
      <c r="BHK20" s="16"/>
      <c r="BHL20" s="16"/>
      <c r="BHM20" s="16"/>
      <c r="BHN20" s="16"/>
      <c r="BHO20" s="16"/>
      <c r="BHP20" s="16"/>
      <c r="BHQ20" s="16"/>
    </row>
    <row r="21" spans="61:61 1560:1577" ht="22.5" customHeight="1" x14ac:dyDescent="0.25">
      <c r="BGZ21" s="16"/>
      <c r="BHA21" s="16"/>
      <c r="BHB21" s="16"/>
      <c r="BHC21" s="16"/>
      <c r="BHD21" s="16"/>
      <c r="BHE21" s="16"/>
      <c r="BHF21" s="16"/>
      <c r="BHG21" s="16"/>
      <c r="BHH21" s="16"/>
      <c r="BHI21" s="16"/>
      <c r="BHJ21" s="16"/>
      <c r="BHK21" s="16"/>
      <c r="BHL21" s="16"/>
      <c r="BHM21" s="16"/>
      <c r="BHN21" s="16"/>
      <c r="BHO21" s="16"/>
      <c r="BHP21" s="16"/>
      <c r="BHQ21" s="16"/>
    </row>
    <row r="22" spans="61:61 1560:1577" ht="22.5" customHeight="1" x14ac:dyDescent="0.25">
      <c r="BGZ22" s="16"/>
      <c r="BHA22" s="16"/>
      <c r="BHB22" s="16"/>
      <c r="BHC22" s="16"/>
      <c r="BHD22" s="16"/>
      <c r="BHE22" s="16"/>
      <c r="BHF22" s="16"/>
      <c r="BHG22" s="16"/>
      <c r="BHH22" s="16"/>
      <c r="BHI22" s="16"/>
      <c r="BHJ22" s="16"/>
      <c r="BHK22" s="16"/>
      <c r="BHL22" s="16"/>
      <c r="BHM22" s="16"/>
      <c r="BHN22" s="16"/>
      <c r="BHO22" s="16"/>
      <c r="BHP22" s="16"/>
      <c r="BHQ22" s="16"/>
    </row>
    <row r="23" spans="61:61 1560:1577" ht="22.5" customHeight="1" x14ac:dyDescent="0.25">
      <c r="BGZ23" s="16"/>
      <c r="BHA23" s="16"/>
      <c r="BHB23" s="16"/>
      <c r="BHC23" s="16"/>
      <c r="BHD23" s="16"/>
      <c r="BHE23" s="16"/>
      <c r="BHF23" s="16"/>
      <c r="BHG23" s="16"/>
      <c r="BHH23" s="16"/>
      <c r="BHI23" s="16"/>
      <c r="BHJ23" s="16"/>
      <c r="BHK23" s="16"/>
      <c r="BHL23" s="16"/>
      <c r="BHM23" s="16"/>
      <c r="BHN23" s="16"/>
      <c r="BHO23" s="16"/>
      <c r="BHP23" s="16"/>
      <c r="BHQ23" s="16"/>
    </row>
    <row r="24" spans="61:61 1560:1577" ht="22.5" customHeight="1" x14ac:dyDescent="0.25">
      <c r="BGZ24" s="16"/>
      <c r="BHA24" s="16"/>
      <c r="BHB24" s="16"/>
      <c r="BHC24" s="16"/>
      <c r="BHD24" s="16"/>
      <c r="BHE24" s="16"/>
      <c r="BHF24" s="16"/>
      <c r="BHG24" s="16"/>
      <c r="BHH24" s="16"/>
      <c r="BHI24" s="16"/>
      <c r="BHJ24" s="16"/>
      <c r="BHK24" s="16"/>
      <c r="BHL24" s="16"/>
      <c r="BHM24" s="16"/>
      <c r="BHN24" s="16"/>
      <c r="BHO24" s="16"/>
      <c r="BHP24" s="16"/>
      <c r="BHQ24" s="16"/>
    </row>
    <row r="25" spans="61:61 1560:1577" ht="22.5" customHeight="1" x14ac:dyDescent="0.25">
      <c r="BGZ25" s="16"/>
      <c r="BHA25" s="16"/>
      <c r="BHB25" s="16"/>
      <c r="BHC25" s="16"/>
      <c r="BHD25" s="16"/>
      <c r="BHE25" s="16"/>
      <c r="BHF25" s="16"/>
      <c r="BHG25" s="16"/>
      <c r="BHH25" s="16"/>
      <c r="BHI25" s="16"/>
      <c r="BHJ25" s="16"/>
      <c r="BHK25" s="16"/>
      <c r="BHL25" s="16"/>
      <c r="BHM25" s="16"/>
      <c r="BHN25" s="16"/>
      <c r="BHO25" s="16"/>
      <c r="BHP25" s="16"/>
      <c r="BHQ25" s="16"/>
    </row>
    <row r="26" spans="61:61 1560:1577" ht="22.5" customHeight="1" x14ac:dyDescent="0.25">
      <c r="BGZ26" s="16"/>
      <c r="BHA26" s="16"/>
      <c r="BHB26" s="16"/>
      <c r="BHC26" s="16"/>
      <c r="BHD26" s="16"/>
      <c r="BHE26" s="16"/>
      <c r="BHF26" s="16"/>
      <c r="BHG26" s="16"/>
      <c r="BHH26" s="16"/>
      <c r="BHI26" s="16"/>
      <c r="BHJ26" s="16"/>
      <c r="BHK26" s="16"/>
      <c r="BHL26" s="16"/>
      <c r="BHM26" s="16"/>
      <c r="BHN26" s="16"/>
      <c r="BHO26" s="16"/>
      <c r="BHP26" s="16"/>
      <c r="BHQ26" s="16"/>
    </row>
    <row r="27" spans="61:61 1560:1577" ht="22.5" customHeight="1" x14ac:dyDescent="0.25">
      <c r="BGZ27" s="16"/>
      <c r="BHA27" s="16"/>
      <c r="BHB27" s="16"/>
      <c r="BHC27" s="16"/>
      <c r="BHD27" s="16"/>
      <c r="BHE27" s="16"/>
      <c r="BHF27" s="16"/>
      <c r="BHG27" s="16"/>
      <c r="BHH27" s="16"/>
      <c r="BHI27" s="16"/>
      <c r="BHJ27" s="16"/>
      <c r="BHK27" s="16"/>
      <c r="BHL27" s="16"/>
      <c r="BHM27" s="16"/>
      <c r="BHN27" s="16"/>
      <c r="BHO27" s="16"/>
      <c r="BHP27" s="16"/>
      <c r="BHQ27" s="16"/>
    </row>
    <row r="28" spans="61:61 1560:1577" ht="22.5" customHeight="1" x14ac:dyDescent="0.25">
      <c r="BGZ28" s="16"/>
      <c r="BHA28" s="16"/>
      <c r="BHB28" s="16"/>
      <c r="BHC28" s="16"/>
      <c r="BHD28" s="16"/>
      <c r="BHE28" s="16"/>
      <c r="BHF28" s="16"/>
      <c r="BHG28" s="16"/>
      <c r="BHH28" s="16"/>
      <c r="BHI28" s="16"/>
      <c r="BHJ28" s="16"/>
      <c r="BHK28" s="16"/>
      <c r="BHL28" s="16"/>
      <c r="BHM28" s="16"/>
      <c r="BHN28" s="16"/>
      <c r="BHO28" s="16"/>
      <c r="BHP28" s="16"/>
      <c r="BHQ28" s="16"/>
    </row>
    <row r="29" spans="61:61 1560:1577" ht="22.5" customHeight="1" x14ac:dyDescent="0.25">
      <c r="BGZ29" s="16"/>
      <c r="BHA29" s="16"/>
      <c r="BHB29" s="16"/>
      <c r="BHC29" s="16"/>
      <c r="BHD29" s="16"/>
      <c r="BHE29" s="16"/>
      <c r="BHF29" s="16"/>
      <c r="BHG29" s="16"/>
      <c r="BHH29" s="16"/>
      <c r="BHI29" s="16"/>
      <c r="BHJ29" s="16"/>
      <c r="BHK29" s="16"/>
      <c r="BHL29" s="16"/>
      <c r="BHM29" s="16"/>
      <c r="BHN29" s="16"/>
      <c r="BHO29" s="16"/>
      <c r="BHP29" s="16"/>
      <c r="BHQ29" s="16"/>
    </row>
    <row r="30" spans="61:61 1560:1577" ht="22.5" customHeight="1" x14ac:dyDescent="0.25">
      <c r="BGZ30" s="16"/>
      <c r="BHA30" s="16"/>
      <c r="BHB30" s="16"/>
      <c r="BHC30" s="16"/>
      <c r="BHD30" s="16"/>
      <c r="BHE30" s="16"/>
      <c r="BHF30" s="16"/>
      <c r="BHG30" s="16"/>
      <c r="BHH30" s="16"/>
      <c r="BHI30" s="16"/>
      <c r="BHJ30" s="16"/>
      <c r="BHK30" s="16"/>
      <c r="BHL30" s="16"/>
      <c r="BHM30" s="16"/>
      <c r="BHN30" s="16"/>
      <c r="BHO30" s="16"/>
      <c r="BHP30" s="16"/>
      <c r="BHQ30" s="16"/>
    </row>
    <row r="31" spans="61:61 1560:1577" ht="22.5" customHeight="1" x14ac:dyDescent="0.25">
      <c r="BGZ31" s="16"/>
      <c r="BHA31" s="16"/>
      <c r="BHB31" s="16"/>
      <c r="BHC31" s="16"/>
      <c r="BHD31" s="16"/>
      <c r="BHE31" s="16"/>
      <c r="BHF31" s="16"/>
      <c r="BHG31" s="16"/>
      <c r="BHH31" s="16"/>
      <c r="BHI31" s="16"/>
      <c r="BHJ31" s="16"/>
      <c r="BHK31" s="16"/>
      <c r="BHL31" s="16"/>
      <c r="BHM31" s="16"/>
      <c r="BHN31" s="16"/>
      <c r="BHO31" s="16"/>
      <c r="BHP31" s="16"/>
      <c r="BHQ31" s="16"/>
    </row>
    <row r="32" spans="61:61 1560:1577" ht="22.5" customHeight="1" x14ac:dyDescent="0.25">
      <c r="BGZ32" s="16"/>
      <c r="BHA32" s="16"/>
      <c r="BHB32" s="16"/>
      <c r="BHC32" s="16"/>
      <c r="BHD32" s="16"/>
      <c r="BHE32" s="16"/>
      <c r="BHF32" s="16"/>
      <c r="BHG32" s="16"/>
      <c r="BHH32" s="16"/>
      <c r="BHI32" s="16"/>
      <c r="BHJ32" s="16"/>
      <c r="BHK32" s="16"/>
      <c r="BHL32" s="16"/>
      <c r="BHM32" s="16"/>
      <c r="BHN32" s="16"/>
      <c r="BHO32" s="16"/>
      <c r="BHP32" s="16"/>
      <c r="BHQ32" s="16"/>
    </row>
  </sheetData>
  <sheetProtection algorithmName="SHA-512" hashValue="77kT59X1emW7WCG0Uqxa0kGopOkqUCOaPUvzXBHLdWD0Ycv3wQNhUH/1FeW3tOO28w3bvJB8C4DvLAikUxTg3A==" saltValue="qMj998trEXsawdfUybIJXg==" spinCount="100000" sheet="1" objects="1" scenarios="1" selectLockedCells="1" selectUnlockedCells="1"/>
  <mergeCells count="75">
    <mergeCell ref="CN7:CN9"/>
    <mergeCell ref="CO7:CO9"/>
    <mergeCell ref="CP7:CP9"/>
    <mergeCell ref="CQ7:CQ9"/>
    <mergeCell ref="J10:J12"/>
    <mergeCell ref="L11:L12"/>
    <mergeCell ref="BZ7:BZ9"/>
    <mergeCell ref="CA7:CA9"/>
    <mergeCell ref="CF7:CF9"/>
    <mergeCell ref="CG7:CG9"/>
    <mergeCell ref="CH7:CH9"/>
    <mergeCell ref="CI7:CI9"/>
    <mergeCell ref="BP7:BP9"/>
    <mergeCell ref="BQ7:BQ9"/>
    <mergeCell ref="BR7:BR9"/>
    <mergeCell ref="BS7:BS9"/>
    <mergeCell ref="BX7:BX9"/>
    <mergeCell ref="BY7:BY9"/>
    <mergeCell ref="BB7:BB9"/>
    <mergeCell ref="BC7:BC9"/>
    <mergeCell ref="BH7:BH9"/>
    <mergeCell ref="BI7:BI9"/>
    <mergeCell ref="BJ7:BJ9"/>
    <mergeCell ref="BK7:BK9"/>
    <mergeCell ref="AR7:AR9"/>
    <mergeCell ref="AS7:AS9"/>
    <mergeCell ref="AT7:AT9"/>
    <mergeCell ref="AU7:AU9"/>
    <mergeCell ref="AZ7:AZ9"/>
    <mergeCell ref="BA7:BA9"/>
    <mergeCell ref="AD7:AD9"/>
    <mergeCell ref="AE7:AE9"/>
    <mergeCell ref="AJ7:AJ9"/>
    <mergeCell ref="AK7:AK9"/>
    <mergeCell ref="AL7:AL9"/>
    <mergeCell ref="AM7:AM9"/>
    <mergeCell ref="S7:S9"/>
    <mergeCell ref="Y7:Y9"/>
    <mergeCell ref="Z7:Z12"/>
    <mergeCell ref="AA7:AA12"/>
    <mergeCell ref="AB7:AB9"/>
    <mergeCell ref="AC7:AC9"/>
    <mergeCell ref="M7:M9"/>
    <mergeCell ref="N7:N9"/>
    <mergeCell ref="O7:O9"/>
    <mergeCell ref="P7:P9"/>
    <mergeCell ref="Q7:Q9"/>
    <mergeCell ref="R7:R9"/>
    <mergeCell ref="G7:G9"/>
    <mergeCell ref="H7:H9"/>
    <mergeCell ref="I7:I9"/>
    <mergeCell ref="J7:J9"/>
    <mergeCell ref="K7:K12"/>
    <mergeCell ref="L7:L9"/>
    <mergeCell ref="A7:A9"/>
    <mergeCell ref="B7:B9"/>
    <mergeCell ref="C7:C9"/>
    <mergeCell ref="D7:D9"/>
    <mergeCell ref="E7:E9"/>
    <mergeCell ref="F7:F9"/>
    <mergeCell ref="BI4:BO4"/>
    <mergeCell ref="BQ4:BW4"/>
    <mergeCell ref="BY4:CE4"/>
    <mergeCell ref="CG4:CM4"/>
    <mergeCell ref="A5:C5"/>
    <mergeCell ref="D5:F5"/>
    <mergeCell ref="G5:I5"/>
    <mergeCell ref="J5:L5"/>
    <mergeCell ref="CN4:CU4"/>
    <mergeCell ref="C2:O2"/>
    <mergeCell ref="M4:M5"/>
    <mergeCell ref="AC4:AI4"/>
    <mergeCell ref="AK4:AQ4"/>
    <mergeCell ref="AS4:AY4"/>
    <mergeCell ref="BA4:BG4"/>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5F7EB-DF6A-4FD6-A574-D356B743E536}">
  <sheetPr>
    <tabColor rgb="FFFFC000"/>
  </sheetPr>
  <dimension ref="A1:BNE11"/>
  <sheetViews>
    <sheetView workbookViewId="0"/>
  </sheetViews>
  <sheetFormatPr baseColWidth="10" defaultRowHeight="22.5" customHeight="1" x14ac:dyDescent="0.25"/>
  <cols>
    <col min="1" max="1" width="22.42578125" style="5" customWidth="1"/>
    <col min="2" max="2" width="28.28515625" style="5" customWidth="1"/>
    <col min="3" max="3" width="51" style="5" customWidth="1"/>
    <col min="4" max="4" width="21.28515625" style="5" customWidth="1"/>
    <col min="5" max="5" width="16" style="5" customWidth="1"/>
    <col min="6" max="6" width="53" style="5" bestFit="1" customWidth="1"/>
    <col min="7" max="7" width="43.42578125" style="5" bestFit="1" customWidth="1"/>
    <col min="8" max="8" width="17.140625" style="5" customWidth="1"/>
    <col min="9" max="9" width="16.140625" style="5" customWidth="1"/>
    <col min="10" max="10" width="29.140625" style="5" bestFit="1" customWidth="1"/>
    <col min="11" max="11" width="25.5703125" style="5" customWidth="1"/>
    <col min="12" max="12" width="17.28515625" style="5" hidden="1" customWidth="1"/>
    <col min="13" max="13" width="16.85546875" style="5" hidden="1" customWidth="1"/>
    <col min="14" max="14" width="15.85546875" style="5" hidden="1" customWidth="1"/>
    <col min="15" max="15" width="56.42578125" style="5" hidden="1" customWidth="1"/>
    <col min="16" max="16" width="28.7109375" style="5" hidden="1" customWidth="1"/>
    <col min="17" max="17" width="16.28515625" style="5" hidden="1" customWidth="1"/>
    <col min="18" max="18" width="9.42578125" style="5" hidden="1" customWidth="1"/>
    <col min="19" max="19" width="16.28515625" style="5" hidden="1" customWidth="1"/>
    <col min="20" max="20" width="45.140625" style="5" hidden="1" customWidth="1"/>
    <col min="21" max="21" width="27.140625" style="5" hidden="1" customWidth="1"/>
    <col min="22" max="22" width="17.140625" style="5" hidden="1" customWidth="1"/>
    <col min="23" max="23" width="10.28515625" style="5" hidden="1" customWidth="1"/>
    <col min="24" max="24" width="14.5703125" style="5" hidden="1" customWidth="1"/>
    <col min="25" max="26" width="15" style="5" hidden="1" customWidth="1"/>
    <col min="27" max="27" width="20.28515625" style="5" hidden="1" customWidth="1"/>
    <col min="28" max="28" width="24.28515625" style="5" hidden="1" customWidth="1"/>
    <col min="29" max="29" width="15.7109375" style="1" hidden="1" customWidth="1"/>
    <col min="30" max="30" width="17.5703125" style="5" hidden="1" customWidth="1"/>
    <col min="31" max="31" width="28.28515625" style="5" hidden="1" customWidth="1"/>
    <col min="32" max="32" width="23.28515625" style="5" hidden="1" customWidth="1"/>
    <col min="33" max="33" width="10" style="5" hidden="1" customWidth="1"/>
    <col min="34" max="34" width="17.5703125" style="5" hidden="1" customWidth="1"/>
    <col min="35" max="35" width="37.140625" style="5" hidden="1" customWidth="1"/>
    <col min="36" max="36" width="22" style="5" hidden="1" customWidth="1"/>
    <col min="37" max="37" width="0" style="5" hidden="1" customWidth="1"/>
    <col min="38" max="38" width="16.140625" style="5" hidden="1" customWidth="1"/>
    <col min="39" max="39" width="38.85546875" style="5" hidden="1" customWidth="1"/>
    <col min="40" max="41" width="0" style="5" hidden="1" customWidth="1"/>
    <col min="42" max="42" width="16.140625" style="5" hidden="1" customWidth="1"/>
    <col min="43" max="43" width="44.85546875" style="5" hidden="1" customWidth="1"/>
    <col min="44" max="46" width="0" style="5" hidden="1" customWidth="1"/>
    <col min="47" max="47" width="31" style="5" hidden="1" customWidth="1"/>
    <col min="48" max="50" width="0" style="5" hidden="1" customWidth="1"/>
    <col min="51" max="51" width="38.42578125" style="5" hidden="1" customWidth="1"/>
    <col min="52" max="54" width="0" style="5" hidden="1" customWidth="1"/>
    <col min="55" max="55" width="28.28515625" style="5" hidden="1" customWidth="1"/>
    <col min="56" max="58" width="0" style="5" hidden="1" customWidth="1"/>
    <col min="59" max="59" width="41.42578125" style="5" hidden="1" customWidth="1"/>
    <col min="60" max="60" width="24.28515625" style="5" hidden="1" customWidth="1"/>
    <col min="61" max="61" width="15.7109375" style="1" hidden="1" customWidth="1"/>
    <col min="62" max="62" width="17.5703125" style="5" hidden="1" customWidth="1"/>
    <col min="63" max="63" width="28.28515625" style="5" hidden="1" customWidth="1"/>
    <col min="64" max="64" width="23.28515625" style="5" hidden="1" customWidth="1"/>
    <col min="65" max="65" width="10" style="5" hidden="1" customWidth="1"/>
    <col min="66" max="66" width="17.5703125" style="5" hidden="1" customWidth="1"/>
    <col min="67" max="67" width="53.42578125" style="5" hidden="1" customWidth="1"/>
    <col min="68" max="70" width="11.42578125" style="5"/>
    <col min="71" max="71" width="48.5703125" style="5" customWidth="1"/>
    <col min="72" max="74" width="11.42578125" style="5"/>
    <col min="75" max="75" width="43.7109375" style="5" customWidth="1"/>
    <col min="76" max="1721" width="11.42578125" style="16"/>
    <col min="1722" max="16384" width="11.42578125" style="5"/>
  </cols>
  <sheetData>
    <row r="1" spans="1:1721" s="273" customFormat="1" ht="22.5" customHeight="1" x14ac:dyDescent="0.25">
      <c r="A1" s="17"/>
      <c r="B1" s="17"/>
      <c r="C1" s="17"/>
      <c r="D1" s="17"/>
      <c r="E1" s="17"/>
      <c r="F1" s="17"/>
      <c r="G1" s="17"/>
      <c r="H1" s="17"/>
      <c r="I1" s="17"/>
      <c r="J1" s="17"/>
      <c r="K1" s="17"/>
      <c r="L1" s="17"/>
      <c r="M1" s="17"/>
      <c r="N1" s="17"/>
      <c r="O1" s="17"/>
      <c r="P1" s="17"/>
      <c r="Q1" s="17"/>
      <c r="R1" s="17"/>
      <c r="S1" s="39"/>
      <c r="T1" s="17"/>
      <c r="U1" s="17"/>
      <c r="V1" s="17"/>
      <c r="W1" s="17"/>
      <c r="X1" s="17"/>
      <c r="Y1" s="17"/>
      <c r="Z1" s="17"/>
      <c r="AA1" s="17"/>
      <c r="AB1" s="17"/>
      <c r="AC1" s="39"/>
      <c r="AD1" s="39"/>
      <c r="AE1" s="17"/>
      <c r="AF1" s="17"/>
      <c r="AG1" s="1160" t="s">
        <v>0</v>
      </c>
      <c r="AH1" s="1160"/>
      <c r="AI1" s="1161">
        <v>43458</v>
      </c>
    </row>
    <row r="2" spans="1:1721" s="273" customFormat="1" ht="33.75" customHeight="1" x14ac:dyDescent="0.25">
      <c r="A2" s="17"/>
      <c r="B2" s="17"/>
      <c r="C2" s="1162" t="s">
        <v>1</v>
      </c>
      <c r="D2" s="1162"/>
      <c r="E2" s="1162"/>
      <c r="F2" s="1162"/>
      <c r="G2" s="1162"/>
      <c r="H2" s="1162"/>
      <c r="I2" s="1162"/>
      <c r="J2" s="1162"/>
      <c r="K2" s="1162"/>
      <c r="L2" s="1162"/>
      <c r="M2" s="1162"/>
      <c r="N2" s="1162"/>
      <c r="O2" s="1162"/>
      <c r="P2" s="17"/>
      <c r="Q2" s="17"/>
      <c r="R2" s="17"/>
      <c r="S2" s="39"/>
      <c r="T2" s="17"/>
      <c r="U2" s="17"/>
      <c r="V2" s="17"/>
      <c r="W2" s="17"/>
      <c r="X2" s="17"/>
      <c r="Y2" s="17"/>
      <c r="Z2" s="17"/>
      <c r="AA2" s="17"/>
      <c r="AB2" s="17"/>
      <c r="AC2" s="39"/>
      <c r="AD2" s="39"/>
      <c r="AE2" s="17"/>
      <c r="AF2" s="17"/>
      <c r="AG2" s="1160" t="s">
        <v>2</v>
      </c>
      <c r="AH2" s="1160"/>
      <c r="AI2" s="274">
        <v>5</v>
      </c>
    </row>
    <row r="3" spans="1:1721" s="273" customFormat="1" ht="35.25" customHeight="1" x14ac:dyDescent="0.25">
      <c r="A3" s="17"/>
      <c r="B3" s="17"/>
      <c r="C3" s="17"/>
      <c r="D3" s="17"/>
      <c r="E3" s="17"/>
      <c r="F3" s="17"/>
      <c r="G3" s="17"/>
      <c r="H3" s="17"/>
      <c r="I3" s="17"/>
      <c r="J3" s="17"/>
      <c r="K3" s="17"/>
      <c r="L3" s="17"/>
      <c r="M3" s="17"/>
      <c r="N3" s="17"/>
      <c r="O3" s="17"/>
      <c r="P3" s="17"/>
      <c r="Q3" s="17"/>
      <c r="R3" s="17"/>
      <c r="S3" s="39"/>
      <c r="T3" s="17"/>
      <c r="U3" s="17"/>
      <c r="V3" s="17"/>
      <c r="W3" s="17"/>
      <c r="X3" s="17"/>
      <c r="Y3" s="17"/>
      <c r="Z3" s="17"/>
      <c r="AA3" s="17"/>
      <c r="AB3" s="17"/>
      <c r="AC3" s="39"/>
      <c r="AD3" s="39"/>
      <c r="AE3" s="17"/>
      <c r="AF3" s="17"/>
      <c r="AG3" s="1163" t="s">
        <v>3</v>
      </c>
      <c r="AH3" s="1163"/>
      <c r="AI3" s="1164" t="s">
        <v>4</v>
      </c>
    </row>
    <row r="4" spans="1:1721" s="383" customFormat="1" ht="12" x14ac:dyDescent="0.25">
      <c r="A4" s="351"/>
      <c r="B4" s="351"/>
      <c r="C4" s="351"/>
      <c r="D4" s="351"/>
      <c r="E4" s="351"/>
      <c r="F4" s="351"/>
      <c r="G4" s="351"/>
      <c r="H4" s="351"/>
      <c r="I4" s="351"/>
      <c r="J4" s="351"/>
      <c r="K4" s="351"/>
      <c r="L4" s="351"/>
      <c r="M4" s="259" t="s">
        <v>5</v>
      </c>
      <c r="N4" s="351"/>
      <c r="O4" s="351"/>
      <c r="P4" s="351"/>
      <c r="Q4" s="351"/>
      <c r="R4" s="351"/>
      <c r="S4" s="351"/>
      <c r="T4" s="351"/>
      <c r="U4" s="351"/>
      <c r="V4" s="351"/>
      <c r="W4" s="351"/>
      <c r="X4" s="351"/>
      <c r="Y4" s="351" t="s">
        <v>6</v>
      </c>
      <c r="Z4" s="351"/>
      <c r="AA4" s="351"/>
      <c r="AB4" s="351" t="s">
        <v>658</v>
      </c>
      <c r="AC4" s="351"/>
      <c r="AD4" s="351"/>
      <c r="AE4" s="351"/>
      <c r="AF4" s="351"/>
      <c r="AG4" s="351"/>
      <c r="AH4" s="351"/>
      <c r="AI4" s="351"/>
      <c r="AJ4" s="351" t="s">
        <v>658</v>
      </c>
      <c r="AK4" s="351"/>
      <c r="AL4" s="351"/>
      <c r="AM4" s="351"/>
      <c r="AN4" s="351"/>
      <c r="AO4" s="351"/>
      <c r="AP4" s="351"/>
      <c r="AQ4" s="351"/>
      <c r="AR4" s="351" t="s">
        <v>658</v>
      </c>
      <c r="AS4" s="351"/>
      <c r="AT4" s="351"/>
      <c r="AU4" s="351"/>
      <c r="AV4" s="351"/>
      <c r="AW4" s="351"/>
      <c r="AX4" s="351"/>
      <c r="AY4" s="351"/>
      <c r="BH4" s="351" t="s">
        <v>658</v>
      </c>
      <c r="BI4" s="351"/>
      <c r="BJ4" s="351"/>
      <c r="BK4" s="351"/>
      <c r="BL4" s="351"/>
      <c r="BM4" s="351"/>
      <c r="BN4" s="351"/>
      <c r="BO4" s="351"/>
      <c r="BP4" s="351" t="s">
        <v>658</v>
      </c>
      <c r="BQ4" s="351"/>
      <c r="BR4" s="351"/>
      <c r="BS4" s="351"/>
      <c r="BT4" s="351"/>
      <c r="BU4" s="351"/>
      <c r="BV4" s="351"/>
      <c r="BW4" s="351"/>
      <c r="BX4" s="1090"/>
      <c r="BY4" s="1090"/>
      <c r="BZ4" s="1090"/>
      <c r="CA4" s="1090"/>
      <c r="CB4" s="1090"/>
      <c r="CC4" s="1090"/>
      <c r="CD4" s="1090"/>
      <c r="CE4" s="1090"/>
      <c r="CF4" s="1090"/>
      <c r="CG4" s="1090"/>
      <c r="CH4" s="1090"/>
      <c r="CI4" s="1090"/>
      <c r="CJ4" s="1090"/>
      <c r="CK4" s="1090"/>
      <c r="CL4" s="1090"/>
      <c r="CM4" s="1090"/>
      <c r="CN4" s="1090"/>
      <c r="CO4" s="1090"/>
      <c r="CP4" s="1090"/>
      <c r="CQ4" s="1090"/>
      <c r="CR4" s="1090"/>
      <c r="CS4" s="1090"/>
      <c r="CT4" s="1090"/>
      <c r="CU4" s="1090"/>
      <c r="CV4" s="1090"/>
      <c r="CW4" s="1090"/>
      <c r="CX4" s="1090"/>
      <c r="CY4" s="1090"/>
      <c r="CZ4" s="1090"/>
      <c r="DA4" s="1090"/>
      <c r="DB4" s="1090"/>
      <c r="DC4" s="1090"/>
      <c r="DD4" s="1090"/>
      <c r="DE4" s="1090"/>
      <c r="DF4" s="1090"/>
      <c r="DG4" s="1090"/>
      <c r="DH4" s="1090"/>
      <c r="DI4" s="1090"/>
      <c r="DJ4" s="1090"/>
      <c r="DK4" s="1090"/>
      <c r="DL4" s="1090"/>
      <c r="DM4" s="1090"/>
      <c r="DN4" s="1090"/>
      <c r="DO4" s="1090"/>
      <c r="DP4" s="1090"/>
      <c r="DQ4" s="1090"/>
      <c r="DR4" s="1090"/>
      <c r="DS4" s="1090"/>
      <c r="DT4" s="1090"/>
      <c r="DU4" s="1090"/>
      <c r="DV4" s="1090"/>
      <c r="DW4" s="1090"/>
      <c r="DX4" s="1090"/>
      <c r="DY4" s="1090"/>
      <c r="DZ4" s="1090"/>
      <c r="EA4" s="1090"/>
      <c r="EB4" s="1090"/>
      <c r="EC4" s="1090"/>
      <c r="ED4" s="1090"/>
      <c r="EE4" s="1090"/>
      <c r="EF4" s="1090"/>
      <c r="EG4" s="1090"/>
      <c r="EH4" s="1090"/>
      <c r="EI4" s="1090"/>
      <c r="EJ4" s="1090"/>
      <c r="EK4" s="1090"/>
      <c r="EL4" s="1090"/>
      <c r="EM4" s="1090"/>
      <c r="EN4" s="1090"/>
      <c r="EO4" s="1090"/>
      <c r="EP4" s="1090"/>
      <c r="EQ4" s="1090"/>
      <c r="ER4" s="1090"/>
      <c r="ES4" s="1090"/>
      <c r="ET4" s="1090"/>
      <c r="EU4" s="1090"/>
      <c r="EV4" s="1090"/>
      <c r="EW4" s="1090"/>
      <c r="EX4" s="1090"/>
      <c r="EY4" s="1090"/>
      <c r="EZ4" s="1090"/>
      <c r="FA4" s="1090"/>
      <c r="FB4" s="1090"/>
      <c r="FC4" s="1090"/>
      <c r="FD4" s="1090"/>
      <c r="FE4" s="1090"/>
      <c r="FF4" s="1090"/>
      <c r="FG4" s="1090"/>
      <c r="FH4" s="1090"/>
      <c r="FI4" s="1090"/>
      <c r="FJ4" s="1090"/>
      <c r="FK4" s="1090"/>
      <c r="FL4" s="1090"/>
      <c r="FM4" s="1090"/>
      <c r="FN4" s="1090"/>
      <c r="FO4" s="1090"/>
      <c r="FP4" s="1090"/>
      <c r="FQ4" s="1090"/>
      <c r="FR4" s="1090"/>
      <c r="FS4" s="1090"/>
      <c r="FT4" s="1090"/>
      <c r="FU4" s="1090"/>
      <c r="FV4" s="1090"/>
      <c r="FW4" s="1090"/>
      <c r="FX4" s="1090"/>
      <c r="FY4" s="1090"/>
      <c r="FZ4" s="1090"/>
      <c r="GA4" s="1090"/>
      <c r="GB4" s="1090"/>
      <c r="GC4" s="1090"/>
      <c r="GD4" s="1090"/>
      <c r="GE4" s="1090"/>
      <c r="GF4" s="1090"/>
      <c r="GG4" s="1090"/>
      <c r="GH4" s="1090"/>
      <c r="GI4" s="1090"/>
      <c r="GJ4" s="1090"/>
      <c r="GK4" s="1090"/>
      <c r="GL4" s="1090"/>
      <c r="GM4" s="1090"/>
      <c r="GN4" s="1090"/>
      <c r="GO4" s="1090"/>
      <c r="GP4" s="1090"/>
      <c r="GQ4" s="1090"/>
      <c r="GR4" s="1090"/>
      <c r="GS4" s="1090"/>
      <c r="GT4" s="1090"/>
      <c r="GU4" s="1090"/>
      <c r="GV4" s="1090"/>
      <c r="GW4" s="1090"/>
      <c r="GX4" s="1090"/>
      <c r="GY4" s="1090"/>
      <c r="GZ4" s="1090"/>
      <c r="HA4" s="1090"/>
      <c r="HB4" s="1090"/>
      <c r="HC4" s="1090"/>
      <c r="HD4" s="1090"/>
      <c r="HE4" s="1090"/>
      <c r="HF4" s="1090"/>
      <c r="HG4" s="1090"/>
      <c r="HH4" s="1090"/>
      <c r="HI4" s="1090"/>
      <c r="HJ4" s="1090"/>
      <c r="HK4" s="1090"/>
      <c r="HL4" s="1090"/>
      <c r="HM4" s="1090"/>
      <c r="HN4" s="1090"/>
      <c r="HO4" s="1090"/>
      <c r="HP4" s="1090"/>
      <c r="HQ4" s="1090"/>
      <c r="HR4" s="1090"/>
      <c r="HS4" s="1090"/>
      <c r="HT4" s="1090"/>
      <c r="HU4" s="1090"/>
      <c r="HV4" s="1090"/>
      <c r="HW4" s="1090"/>
      <c r="HX4" s="1090"/>
      <c r="HY4" s="1090"/>
      <c r="HZ4" s="1090"/>
      <c r="IA4" s="1090"/>
      <c r="IB4" s="1090"/>
      <c r="IC4" s="1090"/>
      <c r="ID4" s="1090"/>
      <c r="IE4" s="1090"/>
      <c r="IF4" s="1090"/>
      <c r="IG4" s="1090"/>
      <c r="IH4" s="1090"/>
      <c r="II4" s="1090"/>
      <c r="IJ4" s="1090"/>
      <c r="IK4" s="1090"/>
      <c r="IL4" s="1090"/>
      <c r="IM4" s="1090"/>
      <c r="IN4" s="1090"/>
      <c r="IO4" s="1090"/>
      <c r="IP4" s="1090"/>
      <c r="IQ4" s="1090"/>
      <c r="IR4" s="1090"/>
      <c r="IS4" s="1090"/>
      <c r="IT4" s="1090"/>
      <c r="IU4" s="1090"/>
      <c r="IV4" s="1090"/>
      <c r="IW4" s="1090"/>
      <c r="IX4" s="1090"/>
      <c r="IY4" s="1090"/>
      <c r="IZ4" s="1090"/>
      <c r="JA4" s="1090"/>
      <c r="JB4" s="1090"/>
      <c r="JC4" s="1090"/>
      <c r="JD4" s="1090"/>
      <c r="JE4" s="1090"/>
      <c r="JF4" s="1090"/>
      <c r="JG4" s="1090"/>
      <c r="JH4" s="1090"/>
      <c r="JI4" s="1090"/>
      <c r="JJ4" s="1090"/>
      <c r="JK4" s="1090"/>
      <c r="JL4" s="1090"/>
      <c r="JM4" s="1090"/>
      <c r="JN4" s="1090"/>
      <c r="JO4" s="1090"/>
      <c r="JP4" s="1090"/>
      <c r="JQ4" s="1090"/>
      <c r="JR4" s="1090"/>
      <c r="JS4" s="1090"/>
      <c r="JT4" s="1090"/>
      <c r="JU4" s="1090"/>
      <c r="JV4" s="1090"/>
      <c r="JW4" s="1090"/>
      <c r="JX4" s="1090"/>
      <c r="JY4" s="1090"/>
      <c r="JZ4" s="1090"/>
      <c r="KA4" s="1090"/>
      <c r="KB4" s="1090"/>
      <c r="KC4" s="1090"/>
      <c r="KD4" s="1090"/>
      <c r="KE4" s="1090"/>
      <c r="KF4" s="1090"/>
      <c r="KG4" s="1090"/>
      <c r="KH4" s="1090"/>
      <c r="KI4" s="1090"/>
      <c r="KJ4" s="1090"/>
      <c r="KK4" s="1090"/>
      <c r="KL4" s="1090"/>
      <c r="KM4" s="1090"/>
      <c r="KN4" s="1090"/>
      <c r="KO4" s="1090"/>
      <c r="KP4" s="1090"/>
      <c r="KQ4" s="1090"/>
      <c r="KR4" s="1090"/>
      <c r="KS4" s="1090"/>
      <c r="KT4" s="1090"/>
      <c r="KU4" s="1090"/>
      <c r="KV4" s="1090"/>
      <c r="KW4" s="1090"/>
      <c r="KX4" s="1090"/>
      <c r="KY4" s="1090"/>
      <c r="KZ4" s="1090"/>
      <c r="LA4" s="1090"/>
      <c r="LB4" s="1090"/>
      <c r="LC4" s="1090"/>
      <c r="LD4" s="1090"/>
      <c r="LE4" s="1090"/>
      <c r="LF4" s="1090"/>
      <c r="LG4" s="1090"/>
      <c r="LH4" s="1090"/>
      <c r="LI4" s="1090"/>
      <c r="LJ4" s="1090"/>
      <c r="LK4" s="1090"/>
      <c r="LL4" s="1090"/>
      <c r="LM4" s="1090"/>
      <c r="LN4" s="1090"/>
      <c r="LO4" s="1090"/>
      <c r="LP4" s="1090"/>
      <c r="LQ4" s="1090"/>
      <c r="LR4" s="1090"/>
      <c r="LS4" s="1090"/>
      <c r="LT4" s="1090"/>
      <c r="LU4" s="1090"/>
      <c r="LV4" s="1090"/>
      <c r="LW4" s="1090"/>
      <c r="LX4" s="1090"/>
      <c r="LY4" s="1090"/>
      <c r="LZ4" s="1090"/>
      <c r="MA4" s="1090"/>
      <c r="MB4" s="1090"/>
      <c r="MC4" s="1090"/>
      <c r="MD4" s="1090"/>
      <c r="ME4" s="1090"/>
      <c r="MF4" s="1090"/>
      <c r="MG4" s="1090"/>
      <c r="MH4" s="1090"/>
      <c r="MI4" s="1090"/>
      <c r="MJ4" s="1090"/>
      <c r="MK4" s="1090"/>
      <c r="ML4" s="1090"/>
      <c r="MM4" s="1090"/>
      <c r="MN4" s="1090"/>
      <c r="MO4" s="1090"/>
      <c r="MP4" s="1090"/>
      <c r="MQ4" s="1090"/>
      <c r="MR4" s="1090"/>
      <c r="MS4" s="1090"/>
      <c r="MT4" s="1090"/>
      <c r="MU4" s="1090"/>
      <c r="MV4" s="1090"/>
      <c r="MW4" s="1090"/>
      <c r="MX4" s="1090"/>
      <c r="MY4" s="1090"/>
      <c r="MZ4" s="1090"/>
      <c r="NA4" s="1090"/>
      <c r="NB4" s="1090"/>
      <c r="NC4" s="1090"/>
      <c r="ND4" s="1090"/>
      <c r="NE4" s="1090"/>
      <c r="NF4" s="1090"/>
      <c r="NG4" s="1090"/>
      <c r="NH4" s="1090"/>
      <c r="NI4" s="1090"/>
      <c r="NJ4" s="1090"/>
      <c r="NK4" s="1090"/>
      <c r="NL4" s="1090"/>
      <c r="NM4" s="1090"/>
      <c r="NN4" s="1090"/>
      <c r="NO4" s="1090"/>
      <c r="NP4" s="1090"/>
      <c r="NQ4" s="1090"/>
      <c r="NR4" s="1090"/>
      <c r="NS4" s="1090"/>
      <c r="NT4" s="1090"/>
      <c r="NU4" s="1090"/>
      <c r="NV4" s="1090"/>
      <c r="NW4" s="1090"/>
      <c r="NX4" s="1090"/>
      <c r="NY4" s="1090"/>
      <c r="NZ4" s="1090"/>
      <c r="OA4" s="1090"/>
      <c r="OB4" s="1090"/>
      <c r="OC4" s="1090"/>
      <c r="OD4" s="1090"/>
      <c r="OE4" s="1090"/>
      <c r="OF4" s="1090"/>
      <c r="OG4" s="1090"/>
      <c r="OH4" s="1090"/>
      <c r="OI4" s="1090"/>
      <c r="OJ4" s="1090"/>
      <c r="OK4" s="1090"/>
      <c r="OL4" s="1090"/>
      <c r="OM4" s="1090"/>
      <c r="ON4" s="1090"/>
      <c r="OO4" s="1090"/>
      <c r="OP4" s="1090"/>
      <c r="OQ4" s="1090"/>
      <c r="OR4" s="1090"/>
      <c r="OS4" s="1090"/>
      <c r="OT4" s="1090"/>
      <c r="OU4" s="1090"/>
      <c r="OV4" s="1090"/>
      <c r="OW4" s="1090"/>
      <c r="OX4" s="1090"/>
      <c r="OY4" s="1090"/>
      <c r="OZ4" s="1090"/>
      <c r="PA4" s="1090"/>
      <c r="PB4" s="1090"/>
      <c r="PC4" s="1090"/>
      <c r="PD4" s="1090"/>
      <c r="PE4" s="1090"/>
      <c r="PF4" s="1090"/>
      <c r="PG4" s="1090"/>
      <c r="PH4" s="1090"/>
      <c r="PI4" s="1090"/>
      <c r="PJ4" s="1090"/>
      <c r="PK4" s="1090"/>
      <c r="PL4" s="1090"/>
      <c r="PM4" s="1090"/>
      <c r="PN4" s="1090"/>
      <c r="PO4" s="1090"/>
      <c r="PP4" s="1090"/>
      <c r="PQ4" s="1090"/>
      <c r="PR4" s="1090"/>
      <c r="PS4" s="1090"/>
      <c r="PT4" s="1090"/>
      <c r="PU4" s="1090"/>
      <c r="PV4" s="1090"/>
      <c r="PW4" s="1090"/>
      <c r="PX4" s="1090"/>
      <c r="PY4" s="1090"/>
      <c r="PZ4" s="1090"/>
      <c r="QA4" s="1090"/>
      <c r="QB4" s="1090"/>
      <c r="QC4" s="1090"/>
      <c r="QD4" s="1090"/>
      <c r="QE4" s="1090"/>
      <c r="QF4" s="1090"/>
      <c r="QG4" s="1090"/>
      <c r="QH4" s="1090"/>
      <c r="QI4" s="1090"/>
      <c r="QJ4" s="1090"/>
      <c r="QK4" s="1090"/>
      <c r="QL4" s="1090"/>
      <c r="QM4" s="1090"/>
      <c r="QN4" s="1090"/>
      <c r="QO4" s="1090"/>
      <c r="QP4" s="1090"/>
      <c r="QQ4" s="1090"/>
      <c r="QR4" s="1090"/>
      <c r="QS4" s="1090"/>
      <c r="QT4" s="1090"/>
      <c r="QU4" s="1090"/>
      <c r="QV4" s="1090"/>
      <c r="QW4" s="1090"/>
      <c r="QX4" s="1090"/>
      <c r="QY4" s="1090"/>
      <c r="QZ4" s="1090"/>
      <c r="RA4" s="1090"/>
      <c r="RB4" s="1090"/>
      <c r="RC4" s="1090"/>
      <c r="RD4" s="1090"/>
      <c r="RE4" s="1090"/>
      <c r="RF4" s="1090"/>
      <c r="RG4" s="1090"/>
      <c r="RH4" s="1090"/>
      <c r="RI4" s="1090"/>
      <c r="RJ4" s="1090"/>
      <c r="RK4" s="1090"/>
      <c r="RL4" s="1090"/>
      <c r="RM4" s="1090"/>
      <c r="RN4" s="1090"/>
      <c r="RO4" s="1090"/>
      <c r="RP4" s="1090"/>
      <c r="RQ4" s="1090"/>
      <c r="RR4" s="1090"/>
      <c r="RS4" s="1090"/>
      <c r="RT4" s="1090"/>
      <c r="RU4" s="1090"/>
      <c r="RV4" s="1090"/>
      <c r="RW4" s="1090"/>
      <c r="RX4" s="1090"/>
      <c r="RY4" s="1090"/>
      <c r="RZ4" s="1090"/>
      <c r="SA4" s="1090"/>
      <c r="SB4" s="1090"/>
      <c r="SC4" s="1090"/>
      <c r="SD4" s="1090"/>
      <c r="SE4" s="1090"/>
      <c r="SF4" s="1090"/>
      <c r="SG4" s="1090"/>
      <c r="SH4" s="1090"/>
      <c r="SI4" s="1090"/>
      <c r="SJ4" s="1090"/>
      <c r="SK4" s="1090"/>
      <c r="SL4" s="1090"/>
      <c r="SM4" s="1090"/>
      <c r="SN4" s="1090"/>
      <c r="SO4" s="1090"/>
      <c r="SP4" s="1090"/>
      <c r="SQ4" s="1090"/>
      <c r="SR4" s="1090"/>
      <c r="SS4" s="1090"/>
      <c r="ST4" s="1090"/>
      <c r="SU4" s="1090"/>
      <c r="SV4" s="1090"/>
      <c r="SW4" s="1090"/>
      <c r="SX4" s="1090"/>
      <c r="SY4" s="1090"/>
      <c r="SZ4" s="1090"/>
      <c r="TA4" s="1090"/>
      <c r="TB4" s="1090"/>
      <c r="TC4" s="1090"/>
      <c r="TD4" s="1090"/>
      <c r="TE4" s="1090"/>
      <c r="TF4" s="1090"/>
      <c r="TG4" s="1090"/>
      <c r="TH4" s="1090"/>
      <c r="TI4" s="1090"/>
      <c r="TJ4" s="1090"/>
      <c r="TK4" s="1090"/>
      <c r="TL4" s="1090"/>
      <c r="TM4" s="1090"/>
      <c r="TN4" s="1090"/>
      <c r="TO4" s="1090"/>
      <c r="TP4" s="1090"/>
      <c r="TQ4" s="1090"/>
      <c r="TR4" s="1090"/>
      <c r="TS4" s="1090"/>
      <c r="TT4" s="1090"/>
      <c r="TU4" s="1090"/>
      <c r="TV4" s="1090"/>
      <c r="TW4" s="1090"/>
      <c r="TX4" s="1090"/>
      <c r="TY4" s="1090"/>
      <c r="TZ4" s="1090"/>
      <c r="UA4" s="1090"/>
      <c r="UB4" s="1090"/>
      <c r="UC4" s="1090"/>
      <c r="UD4" s="1090"/>
      <c r="UE4" s="1090"/>
      <c r="UF4" s="1090"/>
      <c r="UG4" s="1090"/>
      <c r="UH4" s="1090"/>
      <c r="UI4" s="1090"/>
      <c r="UJ4" s="1090"/>
      <c r="UK4" s="1090"/>
      <c r="UL4" s="1090"/>
      <c r="UM4" s="1090"/>
      <c r="UN4" s="1090"/>
      <c r="UO4" s="1090"/>
      <c r="UP4" s="1090"/>
      <c r="UQ4" s="1090"/>
      <c r="UR4" s="1090"/>
      <c r="US4" s="1090"/>
      <c r="UT4" s="1090"/>
      <c r="UU4" s="1090"/>
      <c r="UV4" s="1090"/>
      <c r="UW4" s="1090"/>
      <c r="UX4" s="1090"/>
      <c r="UY4" s="1090"/>
      <c r="UZ4" s="1090"/>
      <c r="VA4" s="1090"/>
      <c r="VB4" s="1090"/>
      <c r="VC4" s="1090"/>
      <c r="VD4" s="1090"/>
      <c r="VE4" s="1090"/>
      <c r="VF4" s="1090"/>
      <c r="VG4" s="1090"/>
      <c r="VH4" s="1090"/>
      <c r="VI4" s="1090"/>
      <c r="VJ4" s="1090"/>
      <c r="VK4" s="1090"/>
      <c r="VL4" s="1090"/>
      <c r="VM4" s="1090"/>
      <c r="VN4" s="1090"/>
      <c r="VO4" s="1090"/>
      <c r="VP4" s="1090"/>
      <c r="VQ4" s="1090"/>
      <c r="VR4" s="1090"/>
      <c r="VS4" s="1090"/>
      <c r="VT4" s="1090"/>
      <c r="VU4" s="1090"/>
      <c r="VV4" s="1090"/>
      <c r="VW4" s="1090"/>
      <c r="VX4" s="1090"/>
      <c r="VY4" s="1090"/>
      <c r="VZ4" s="1090"/>
      <c r="WA4" s="1090"/>
      <c r="WB4" s="1090"/>
      <c r="WC4" s="1090"/>
      <c r="WD4" s="1090"/>
      <c r="WE4" s="1090"/>
      <c r="WF4" s="1090"/>
      <c r="WG4" s="1090"/>
      <c r="WH4" s="1090"/>
      <c r="WI4" s="1090"/>
      <c r="WJ4" s="1090"/>
      <c r="WK4" s="1090"/>
      <c r="WL4" s="1090"/>
      <c r="WM4" s="1090"/>
      <c r="WN4" s="1090"/>
      <c r="WO4" s="1090"/>
      <c r="WP4" s="1090"/>
      <c r="WQ4" s="1090"/>
      <c r="WR4" s="1090"/>
      <c r="WS4" s="1090"/>
      <c r="WT4" s="1090"/>
      <c r="WU4" s="1090"/>
      <c r="WV4" s="1090"/>
      <c r="WW4" s="1090"/>
      <c r="WX4" s="1090"/>
      <c r="WY4" s="1090"/>
      <c r="WZ4" s="1090"/>
      <c r="XA4" s="1090"/>
      <c r="XB4" s="1090"/>
      <c r="XC4" s="1090"/>
      <c r="XD4" s="1090"/>
      <c r="XE4" s="1090"/>
      <c r="XF4" s="1090"/>
      <c r="XG4" s="1090"/>
      <c r="XH4" s="1090"/>
      <c r="XI4" s="1090"/>
      <c r="XJ4" s="1090"/>
      <c r="XK4" s="1090"/>
      <c r="XL4" s="1090"/>
      <c r="XM4" s="1090"/>
      <c r="XN4" s="1090"/>
      <c r="XO4" s="1090"/>
      <c r="XP4" s="1090"/>
      <c r="XQ4" s="1090"/>
      <c r="XR4" s="1090"/>
      <c r="XS4" s="1090"/>
      <c r="XT4" s="1090"/>
      <c r="XU4" s="1090"/>
      <c r="XV4" s="1090"/>
      <c r="XW4" s="1090"/>
      <c r="XX4" s="1090"/>
      <c r="XY4" s="1090"/>
      <c r="XZ4" s="1090"/>
      <c r="YA4" s="1090"/>
      <c r="YB4" s="1090"/>
      <c r="YC4" s="1090"/>
      <c r="YD4" s="1090"/>
      <c r="YE4" s="1090"/>
      <c r="YF4" s="1090"/>
      <c r="YG4" s="1090"/>
      <c r="YH4" s="1090"/>
      <c r="YI4" s="1090"/>
      <c r="YJ4" s="1090"/>
      <c r="YK4" s="1090"/>
      <c r="YL4" s="1090"/>
      <c r="YM4" s="1090"/>
      <c r="YN4" s="1090"/>
      <c r="YO4" s="1090"/>
      <c r="YP4" s="1090"/>
      <c r="YQ4" s="1090"/>
      <c r="YR4" s="1090"/>
      <c r="YS4" s="1090"/>
      <c r="YT4" s="1090"/>
      <c r="YU4" s="1090"/>
      <c r="YV4" s="1090"/>
      <c r="YW4" s="1090"/>
      <c r="YX4" s="1090"/>
      <c r="YY4" s="1090"/>
      <c r="YZ4" s="1090"/>
      <c r="ZA4" s="1090"/>
      <c r="ZB4" s="1090"/>
      <c r="ZC4" s="1090"/>
      <c r="ZD4" s="1090"/>
      <c r="ZE4" s="1090"/>
      <c r="ZF4" s="1090"/>
      <c r="ZG4" s="1090"/>
      <c r="ZH4" s="1090"/>
      <c r="ZI4" s="1090"/>
      <c r="ZJ4" s="1090"/>
      <c r="ZK4" s="1090"/>
      <c r="ZL4" s="1090"/>
      <c r="ZM4" s="1090"/>
      <c r="ZN4" s="1090"/>
      <c r="ZO4" s="1090"/>
      <c r="ZP4" s="1090"/>
      <c r="ZQ4" s="1090"/>
      <c r="ZR4" s="1090"/>
      <c r="ZS4" s="1090"/>
      <c r="ZT4" s="1090"/>
      <c r="ZU4" s="1090"/>
      <c r="ZV4" s="1090"/>
      <c r="ZW4" s="1090"/>
      <c r="ZX4" s="1090"/>
      <c r="ZY4" s="1090"/>
      <c r="ZZ4" s="1090"/>
      <c r="AAA4" s="1090"/>
      <c r="AAB4" s="1090"/>
      <c r="AAC4" s="1090"/>
      <c r="AAD4" s="1090"/>
      <c r="AAE4" s="1090"/>
      <c r="AAF4" s="1090"/>
      <c r="AAG4" s="1090"/>
      <c r="AAH4" s="1090"/>
      <c r="AAI4" s="1090"/>
      <c r="AAJ4" s="1090"/>
      <c r="AAK4" s="1090"/>
      <c r="AAL4" s="1090"/>
      <c r="AAM4" s="1090"/>
      <c r="AAN4" s="1090"/>
      <c r="AAO4" s="1090"/>
      <c r="AAP4" s="1090"/>
      <c r="AAQ4" s="1090"/>
      <c r="AAR4" s="1090"/>
      <c r="AAS4" s="1090"/>
      <c r="AAT4" s="1090"/>
      <c r="AAU4" s="1090"/>
      <c r="AAV4" s="1090"/>
      <c r="AAW4" s="1090"/>
      <c r="AAX4" s="1090"/>
      <c r="AAY4" s="1090"/>
      <c r="AAZ4" s="1090"/>
      <c r="ABA4" s="1090"/>
      <c r="ABB4" s="1090"/>
      <c r="ABC4" s="1090"/>
      <c r="ABD4" s="1090"/>
      <c r="ABE4" s="1090"/>
      <c r="ABF4" s="1090"/>
      <c r="ABG4" s="1090"/>
      <c r="ABH4" s="1090"/>
      <c r="ABI4" s="1090"/>
      <c r="ABJ4" s="1090"/>
      <c r="ABK4" s="1090"/>
      <c r="ABL4" s="1090"/>
      <c r="ABM4" s="1090"/>
      <c r="ABN4" s="1090"/>
      <c r="ABO4" s="1090"/>
      <c r="ABP4" s="1090"/>
      <c r="ABQ4" s="1090"/>
      <c r="ABR4" s="1090"/>
      <c r="ABS4" s="1090"/>
      <c r="ABT4" s="1090"/>
      <c r="ABU4" s="1090"/>
      <c r="ABV4" s="1090"/>
      <c r="ABW4" s="1090"/>
      <c r="ABX4" s="1090"/>
      <c r="ABY4" s="1090"/>
      <c r="ABZ4" s="1090"/>
      <c r="ACA4" s="1090"/>
      <c r="ACB4" s="1090"/>
      <c r="ACC4" s="1090"/>
      <c r="ACD4" s="1090"/>
      <c r="ACE4" s="1090"/>
      <c r="ACF4" s="1090"/>
      <c r="ACG4" s="1090"/>
      <c r="ACH4" s="1090"/>
      <c r="ACI4" s="1090"/>
      <c r="ACJ4" s="1090"/>
      <c r="ACK4" s="1090"/>
      <c r="ACL4" s="1090"/>
      <c r="ACM4" s="1090"/>
      <c r="ACN4" s="1090"/>
      <c r="ACO4" s="1090"/>
      <c r="ACP4" s="1090"/>
      <c r="ACQ4" s="1090"/>
      <c r="ACR4" s="1090"/>
      <c r="ACS4" s="1090"/>
      <c r="ACT4" s="1090"/>
      <c r="ACU4" s="1090"/>
      <c r="ACV4" s="1090"/>
      <c r="ACW4" s="1090"/>
      <c r="ACX4" s="1090"/>
      <c r="ACY4" s="1090"/>
      <c r="ACZ4" s="1090"/>
      <c r="ADA4" s="1090"/>
      <c r="ADB4" s="1090"/>
      <c r="ADC4" s="1090"/>
      <c r="ADD4" s="1090"/>
      <c r="ADE4" s="1090"/>
      <c r="ADF4" s="1090"/>
      <c r="ADG4" s="1090"/>
      <c r="ADH4" s="1090"/>
      <c r="ADI4" s="1090"/>
      <c r="ADJ4" s="1090"/>
      <c r="ADK4" s="1090"/>
      <c r="ADL4" s="1090"/>
      <c r="ADM4" s="1090"/>
      <c r="ADN4" s="1090"/>
      <c r="ADO4" s="1090"/>
      <c r="ADP4" s="1090"/>
      <c r="ADQ4" s="1090"/>
      <c r="ADR4" s="1090"/>
      <c r="ADS4" s="1090"/>
      <c r="ADT4" s="1090"/>
      <c r="ADU4" s="1090"/>
      <c r="ADV4" s="1090"/>
      <c r="ADW4" s="1090"/>
      <c r="ADX4" s="1090"/>
      <c r="ADY4" s="1090"/>
      <c r="ADZ4" s="1090"/>
      <c r="AEA4" s="1090"/>
      <c r="AEB4" s="1090"/>
      <c r="AEC4" s="1090"/>
      <c r="AED4" s="1090"/>
      <c r="AEE4" s="1090"/>
      <c r="AEF4" s="1090"/>
      <c r="AEG4" s="1090"/>
      <c r="AEH4" s="1090"/>
      <c r="AEI4" s="1090"/>
      <c r="AEJ4" s="1090"/>
      <c r="AEK4" s="1090"/>
      <c r="AEL4" s="1090"/>
      <c r="AEM4" s="1090"/>
      <c r="AEN4" s="1090"/>
      <c r="AEO4" s="1090"/>
      <c r="AEP4" s="1090"/>
      <c r="AEQ4" s="1090"/>
      <c r="AER4" s="1090"/>
      <c r="AES4" s="1090"/>
      <c r="AET4" s="1090"/>
      <c r="AEU4" s="1090"/>
      <c r="AEV4" s="1090"/>
      <c r="AEW4" s="1090"/>
      <c r="AEX4" s="1090"/>
      <c r="AEY4" s="1090"/>
      <c r="AEZ4" s="1090"/>
      <c r="AFA4" s="1090"/>
      <c r="AFB4" s="1090"/>
      <c r="AFC4" s="1090"/>
      <c r="AFD4" s="1090"/>
      <c r="AFE4" s="1090"/>
      <c r="AFF4" s="1090"/>
      <c r="AFG4" s="1090"/>
      <c r="AFH4" s="1090"/>
      <c r="AFI4" s="1090"/>
      <c r="AFJ4" s="1090"/>
      <c r="AFK4" s="1090"/>
      <c r="AFL4" s="1090"/>
      <c r="AFM4" s="1090"/>
      <c r="AFN4" s="1090"/>
      <c r="AFO4" s="1090"/>
      <c r="AFP4" s="1090"/>
      <c r="AFQ4" s="1090"/>
      <c r="AFR4" s="1090"/>
      <c r="AFS4" s="1090"/>
      <c r="AFT4" s="1090"/>
      <c r="AFU4" s="1090"/>
      <c r="AFV4" s="1090"/>
      <c r="AFW4" s="1090"/>
      <c r="AFX4" s="1090"/>
      <c r="AFY4" s="1090"/>
      <c r="AFZ4" s="1090"/>
      <c r="AGA4" s="1090"/>
      <c r="AGB4" s="1090"/>
      <c r="AGC4" s="1090"/>
      <c r="AGD4" s="1090"/>
      <c r="AGE4" s="1090"/>
      <c r="AGF4" s="1090"/>
      <c r="AGG4" s="1090"/>
      <c r="AGH4" s="1090"/>
      <c r="AGI4" s="1090"/>
      <c r="AGJ4" s="1090"/>
      <c r="AGK4" s="1090"/>
      <c r="AGL4" s="1090"/>
      <c r="AGM4" s="1090"/>
      <c r="AGN4" s="1090"/>
      <c r="AGO4" s="1090"/>
      <c r="AGP4" s="1090"/>
      <c r="AGQ4" s="1090"/>
      <c r="AGR4" s="1090"/>
      <c r="AGS4" s="1090"/>
      <c r="AGT4" s="1090"/>
      <c r="AGU4" s="1090"/>
      <c r="AGV4" s="1090"/>
      <c r="AGW4" s="1090"/>
      <c r="AGX4" s="1090"/>
      <c r="AGY4" s="1090"/>
      <c r="AGZ4" s="1090"/>
      <c r="AHA4" s="1090"/>
      <c r="AHB4" s="1090"/>
      <c r="AHC4" s="1090"/>
      <c r="AHD4" s="1090"/>
      <c r="AHE4" s="1090"/>
      <c r="AHF4" s="1090"/>
      <c r="AHG4" s="1090"/>
      <c r="AHH4" s="1090"/>
      <c r="AHI4" s="1090"/>
      <c r="AHJ4" s="1090"/>
      <c r="AHK4" s="1090"/>
      <c r="AHL4" s="1090"/>
      <c r="AHM4" s="1090"/>
      <c r="AHN4" s="1090"/>
      <c r="AHO4" s="1090"/>
      <c r="AHP4" s="1090"/>
      <c r="AHQ4" s="1090"/>
      <c r="AHR4" s="1090"/>
      <c r="AHS4" s="1090"/>
      <c r="AHT4" s="1090"/>
      <c r="AHU4" s="1090"/>
      <c r="AHV4" s="1090"/>
      <c r="AHW4" s="1090"/>
      <c r="AHX4" s="1090"/>
      <c r="AHY4" s="1090"/>
      <c r="AHZ4" s="1090"/>
      <c r="AIA4" s="1090"/>
      <c r="AIB4" s="1090"/>
      <c r="AIC4" s="1090"/>
      <c r="AID4" s="1090"/>
      <c r="AIE4" s="1090"/>
      <c r="AIF4" s="1090"/>
      <c r="AIG4" s="1090"/>
      <c r="AIH4" s="1090"/>
      <c r="AII4" s="1090"/>
      <c r="AIJ4" s="1090"/>
      <c r="AIK4" s="1090"/>
      <c r="AIL4" s="1090"/>
      <c r="AIM4" s="1090"/>
      <c r="AIN4" s="1090"/>
      <c r="AIO4" s="1090"/>
      <c r="AIP4" s="1090"/>
      <c r="AIQ4" s="1090"/>
      <c r="AIR4" s="1090"/>
      <c r="AIS4" s="1090"/>
      <c r="AIT4" s="1090"/>
      <c r="AIU4" s="1090"/>
      <c r="AIV4" s="1090"/>
      <c r="AIW4" s="1090"/>
      <c r="AIX4" s="1090"/>
      <c r="AIY4" s="1090"/>
      <c r="AIZ4" s="1090"/>
      <c r="AJA4" s="1090"/>
      <c r="AJB4" s="1090"/>
      <c r="AJC4" s="1090"/>
      <c r="AJD4" s="1090"/>
      <c r="AJE4" s="1090"/>
      <c r="AJF4" s="1090"/>
      <c r="AJG4" s="1090"/>
      <c r="AJH4" s="1090"/>
      <c r="AJI4" s="1090"/>
      <c r="AJJ4" s="1090"/>
      <c r="AJK4" s="1090"/>
      <c r="AJL4" s="1090"/>
      <c r="AJM4" s="1090"/>
      <c r="AJN4" s="1090"/>
      <c r="AJO4" s="1090"/>
      <c r="AJP4" s="1090"/>
      <c r="AJQ4" s="1090"/>
      <c r="AJR4" s="1090"/>
      <c r="AJS4" s="1090"/>
      <c r="AJT4" s="1090"/>
      <c r="AJU4" s="1090"/>
      <c r="AJV4" s="1090"/>
      <c r="AJW4" s="1090"/>
      <c r="AJX4" s="1090"/>
      <c r="AJY4" s="1090"/>
      <c r="AJZ4" s="1090"/>
      <c r="AKA4" s="1090"/>
      <c r="AKB4" s="1090"/>
      <c r="AKC4" s="1090"/>
      <c r="AKD4" s="1090"/>
      <c r="AKE4" s="1090"/>
      <c r="AKF4" s="1090"/>
      <c r="AKG4" s="1090"/>
      <c r="AKH4" s="1090"/>
      <c r="AKI4" s="1090"/>
      <c r="AKJ4" s="1090"/>
      <c r="AKK4" s="1090"/>
      <c r="AKL4" s="1090"/>
      <c r="AKM4" s="1090"/>
      <c r="AKN4" s="1090"/>
      <c r="AKO4" s="1090"/>
      <c r="AKP4" s="1090"/>
      <c r="AKQ4" s="1090"/>
      <c r="AKR4" s="1090"/>
      <c r="AKS4" s="1090"/>
      <c r="AKT4" s="1090"/>
      <c r="AKU4" s="1090"/>
      <c r="AKV4" s="1090"/>
      <c r="AKW4" s="1090"/>
      <c r="AKX4" s="1090"/>
      <c r="AKY4" s="1090"/>
      <c r="AKZ4" s="1090"/>
      <c r="ALA4" s="1090"/>
      <c r="ALB4" s="1090"/>
      <c r="ALC4" s="1090"/>
      <c r="ALD4" s="1090"/>
      <c r="ALE4" s="1090"/>
      <c r="ALF4" s="1090"/>
      <c r="ALG4" s="1090"/>
      <c r="ALH4" s="1090"/>
      <c r="ALI4" s="1090"/>
      <c r="ALJ4" s="1090"/>
      <c r="ALK4" s="1090"/>
      <c r="ALL4" s="1090"/>
      <c r="ALM4" s="1090"/>
      <c r="ALN4" s="1090"/>
      <c r="ALO4" s="1090"/>
      <c r="ALP4" s="1090"/>
      <c r="ALQ4" s="1090"/>
      <c r="ALR4" s="1090"/>
      <c r="ALS4" s="1090"/>
      <c r="ALT4" s="1090"/>
      <c r="ALU4" s="1090"/>
      <c r="ALV4" s="1090"/>
      <c r="ALW4" s="1090"/>
      <c r="ALX4" s="1090"/>
      <c r="ALY4" s="1090"/>
      <c r="ALZ4" s="1090"/>
      <c r="AMA4" s="1090"/>
      <c r="AMB4" s="1090"/>
      <c r="AMC4" s="1090"/>
      <c r="AMD4" s="1090"/>
      <c r="AME4" s="1090"/>
      <c r="AMF4" s="1090"/>
      <c r="AMG4" s="1090"/>
      <c r="AMH4" s="1090"/>
      <c r="AMI4" s="1090"/>
      <c r="AMJ4" s="1090"/>
      <c r="AMK4" s="1090"/>
      <c r="AML4" s="1090"/>
      <c r="AMM4" s="1090"/>
      <c r="AMN4" s="1090"/>
      <c r="AMO4" s="1090"/>
      <c r="AMP4" s="1090"/>
      <c r="AMQ4" s="1090"/>
      <c r="AMR4" s="1090"/>
      <c r="AMS4" s="1090"/>
      <c r="AMT4" s="1090"/>
      <c r="AMU4" s="1090"/>
      <c r="AMV4" s="1090"/>
      <c r="AMW4" s="1090"/>
      <c r="AMX4" s="1090"/>
      <c r="AMY4" s="1090"/>
      <c r="AMZ4" s="1090"/>
      <c r="ANA4" s="1090"/>
      <c r="ANB4" s="1090"/>
      <c r="ANC4" s="1090"/>
      <c r="AND4" s="1090"/>
      <c r="ANE4" s="1090"/>
      <c r="ANF4" s="1090"/>
      <c r="ANG4" s="1090"/>
      <c r="ANH4" s="1090"/>
      <c r="ANI4" s="1090"/>
      <c r="ANJ4" s="1090"/>
      <c r="ANK4" s="1090"/>
      <c r="ANL4" s="1090"/>
      <c r="ANM4" s="1090"/>
      <c r="ANN4" s="1090"/>
      <c r="ANO4" s="1090"/>
      <c r="ANP4" s="1090"/>
      <c r="ANQ4" s="1090"/>
      <c r="ANR4" s="1090"/>
      <c r="ANS4" s="1090"/>
      <c r="ANT4" s="1090"/>
      <c r="ANU4" s="1090"/>
      <c r="ANV4" s="1090"/>
      <c r="ANW4" s="1090"/>
      <c r="ANX4" s="1090"/>
      <c r="ANY4" s="1090"/>
      <c r="ANZ4" s="1090"/>
      <c r="AOA4" s="1090"/>
      <c r="AOB4" s="1090"/>
      <c r="AOC4" s="1090"/>
      <c r="AOD4" s="1090"/>
      <c r="AOE4" s="1090"/>
      <c r="AOF4" s="1090"/>
      <c r="AOG4" s="1090"/>
      <c r="AOH4" s="1090"/>
      <c r="AOI4" s="1090"/>
      <c r="AOJ4" s="1090"/>
      <c r="AOK4" s="1090"/>
      <c r="AOL4" s="1090"/>
      <c r="AOM4" s="1090"/>
      <c r="AON4" s="1090"/>
      <c r="AOO4" s="1090"/>
      <c r="AOP4" s="1090"/>
      <c r="AOQ4" s="1090"/>
      <c r="AOR4" s="1090"/>
      <c r="AOS4" s="1090"/>
      <c r="AOT4" s="1090"/>
      <c r="AOU4" s="1090"/>
      <c r="AOV4" s="1090"/>
      <c r="AOW4" s="1090"/>
      <c r="AOX4" s="1090"/>
      <c r="AOY4" s="1090"/>
      <c r="AOZ4" s="1090"/>
      <c r="APA4" s="1090"/>
      <c r="APB4" s="1090"/>
      <c r="APC4" s="1090"/>
      <c r="APD4" s="1090"/>
      <c r="APE4" s="1090"/>
      <c r="APF4" s="1090"/>
      <c r="APG4" s="1090"/>
      <c r="APH4" s="1090"/>
      <c r="API4" s="1090"/>
      <c r="APJ4" s="1090"/>
      <c r="APK4" s="1090"/>
      <c r="APL4" s="1090"/>
      <c r="APM4" s="1090"/>
      <c r="APN4" s="1090"/>
      <c r="APO4" s="1090"/>
      <c r="APP4" s="1090"/>
      <c r="APQ4" s="1090"/>
      <c r="APR4" s="1090"/>
      <c r="APS4" s="1090"/>
      <c r="APT4" s="1090"/>
      <c r="APU4" s="1090"/>
      <c r="APV4" s="1090"/>
      <c r="APW4" s="1090"/>
      <c r="APX4" s="1090"/>
      <c r="APY4" s="1090"/>
      <c r="APZ4" s="1090"/>
      <c r="AQA4" s="1090"/>
      <c r="AQB4" s="1090"/>
      <c r="AQC4" s="1090"/>
      <c r="AQD4" s="1090"/>
      <c r="AQE4" s="1090"/>
      <c r="AQF4" s="1090"/>
      <c r="AQG4" s="1090"/>
      <c r="AQH4" s="1090"/>
      <c r="AQI4" s="1090"/>
      <c r="AQJ4" s="1090"/>
      <c r="AQK4" s="1090"/>
      <c r="AQL4" s="1090"/>
      <c r="AQM4" s="1090"/>
      <c r="AQN4" s="1090"/>
      <c r="AQO4" s="1090"/>
      <c r="AQP4" s="1090"/>
      <c r="AQQ4" s="1090"/>
      <c r="AQR4" s="1090"/>
      <c r="AQS4" s="1090"/>
      <c r="AQT4" s="1090"/>
      <c r="AQU4" s="1090"/>
      <c r="AQV4" s="1090"/>
      <c r="AQW4" s="1090"/>
      <c r="AQX4" s="1090"/>
      <c r="AQY4" s="1090"/>
      <c r="AQZ4" s="1090"/>
      <c r="ARA4" s="1090"/>
      <c r="ARB4" s="1090"/>
      <c r="ARC4" s="1090"/>
      <c r="ARD4" s="1090"/>
      <c r="ARE4" s="1090"/>
      <c r="ARF4" s="1090"/>
      <c r="ARG4" s="1090"/>
      <c r="ARH4" s="1090"/>
      <c r="ARI4" s="1090"/>
      <c r="ARJ4" s="1090"/>
      <c r="ARK4" s="1090"/>
      <c r="ARL4" s="1090"/>
      <c r="ARM4" s="1090"/>
      <c r="ARN4" s="1090"/>
      <c r="ARO4" s="1090"/>
      <c r="ARP4" s="1090"/>
      <c r="ARQ4" s="1090"/>
      <c r="ARR4" s="1090"/>
      <c r="ARS4" s="1090"/>
      <c r="ART4" s="1090"/>
      <c r="ARU4" s="1090"/>
      <c r="ARV4" s="1090"/>
      <c r="ARW4" s="1090"/>
      <c r="ARX4" s="1090"/>
      <c r="ARY4" s="1090"/>
      <c r="ARZ4" s="1090"/>
      <c r="ASA4" s="1090"/>
      <c r="ASB4" s="1090"/>
      <c r="ASC4" s="1090"/>
      <c r="ASD4" s="1090"/>
      <c r="ASE4" s="1090"/>
      <c r="ASF4" s="1090"/>
      <c r="ASG4" s="1090"/>
      <c r="ASH4" s="1090"/>
      <c r="ASI4" s="1090"/>
      <c r="ASJ4" s="1090"/>
      <c r="ASK4" s="1090"/>
      <c r="ASL4" s="1090"/>
      <c r="ASM4" s="1090"/>
      <c r="ASN4" s="1090"/>
      <c r="ASO4" s="1090"/>
      <c r="ASP4" s="1090"/>
      <c r="ASQ4" s="1090"/>
      <c r="ASR4" s="1090"/>
      <c r="ASS4" s="1090"/>
      <c r="AST4" s="1090"/>
      <c r="ASU4" s="1090"/>
      <c r="ASV4" s="1090"/>
      <c r="ASW4" s="1090"/>
      <c r="ASX4" s="1090"/>
      <c r="ASY4" s="1090"/>
      <c r="ASZ4" s="1090"/>
      <c r="ATA4" s="1090"/>
      <c r="ATB4" s="1090"/>
      <c r="ATC4" s="1090"/>
      <c r="ATD4" s="1090"/>
      <c r="ATE4" s="1090"/>
      <c r="ATF4" s="1090"/>
      <c r="ATG4" s="1090"/>
      <c r="ATH4" s="1090"/>
      <c r="ATI4" s="1090"/>
      <c r="ATJ4" s="1090"/>
      <c r="ATK4" s="1090"/>
      <c r="ATL4" s="1090"/>
      <c r="ATM4" s="1090"/>
      <c r="ATN4" s="1090"/>
      <c r="ATO4" s="1090"/>
      <c r="ATP4" s="1090"/>
      <c r="ATQ4" s="1090"/>
      <c r="ATR4" s="1090"/>
      <c r="ATS4" s="1090"/>
      <c r="ATT4" s="1090"/>
      <c r="ATU4" s="1090"/>
      <c r="ATV4" s="1090"/>
      <c r="ATW4" s="1090"/>
      <c r="ATX4" s="1090"/>
      <c r="ATY4" s="1090"/>
      <c r="ATZ4" s="1090"/>
      <c r="AUA4" s="1090"/>
      <c r="AUB4" s="1090"/>
      <c r="AUC4" s="1090"/>
      <c r="AUD4" s="1090"/>
      <c r="AUE4" s="1090"/>
      <c r="AUF4" s="1090"/>
      <c r="AUG4" s="1090"/>
      <c r="AUH4" s="1090"/>
      <c r="AUI4" s="1090"/>
      <c r="AUJ4" s="1090"/>
      <c r="AUK4" s="1090"/>
      <c r="AUL4" s="1090"/>
      <c r="AUM4" s="1090"/>
      <c r="AUN4" s="1090"/>
      <c r="AUO4" s="1090"/>
      <c r="AUP4" s="1090"/>
      <c r="AUQ4" s="1090"/>
      <c r="AUR4" s="1090"/>
      <c r="AUS4" s="1090"/>
      <c r="AUT4" s="1090"/>
      <c r="AUU4" s="1090"/>
      <c r="AUV4" s="1090"/>
      <c r="AUW4" s="1090"/>
      <c r="AUX4" s="1090"/>
      <c r="AUY4" s="1090"/>
      <c r="AUZ4" s="1090"/>
      <c r="AVA4" s="1090"/>
      <c r="AVB4" s="1090"/>
      <c r="AVC4" s="1090"/>
      <c r="AVD4" s="1090"/>
      <c r="AVE4" s="1090"/>
      <c r="AVF4" s="1090"/>
      <c r="AVG4" s="1090"/>
      <c r="AVH4" s="1090"/>
      <c r="AVI4" s="1090"/>
      <c r="AVJ4" s="1090"/>
      <c r="AVK4" s="1090"/>
      <c r="AVL4" s="1090"/>
      <c r="AVM4" s="1090"/>
      <c r="AVN4" s="1090"/>
      <c r="AVO4" s="1090"/>
      <c r="AVP4" s="1090"/>
      <c r="AVQ4" s="1090"/>
      <c r="AVR4" s="1090"/>
      <c r="AVS4" s="1090"/>
      <c r="AVT4" s="1090"/>
      <c r="AVU4" s="1090"/>
      <c r="AVV4" s="1090"/>
      <c r="AVW4" s="1090"/>
      <c r="AVX4" s="1090"/>
      <c r="AVY4" s="1090"/>
      <c r="AVZ4" s="1090"/>
      <c r="AWA4" s="1090"/>
      <c r="AWB4" s="1090"/>
      <c r="AWC4" s="1090"/>
      <c r="AWD4" s="1090"/>
      <c r="AWE4" s="1090"/>
      <c r="AWF4" s="1090"/>
      <c r="AWG4" s="1090"/>
      <c r="AWH4" s="1090"/>
      <c r="AWI4" s="1090"/>
      <c r="AWJ4" s="1090"/>
      <c r="AWK4" s="1090"/>
      <c r="AWL4" s="1090"/>
      <c r="AWM4" s="1090"/>
      <c r="AWN4" s="1090"/>
      <c r="AWO4" s="1090"/>
      <c r="AWP4" s="1090"/>
      <c r="AWQ4" s="1090"/>
      <c r="AWR4" s="1090"/>
      <c r="AWS4" s="1090"/>
      <c r="AWT4" s="1090"/>
      <c r="AWU4" s="1090"/>
      <c r="AWV4" s="1090"/>
      <c r="AWW4" s="1090"/>
      <c r="AWX4" s="1090"/>
      <c r="AWY4" s="1090"/>
      <c r="AWZ4" s="1090"/>
      <c r="AXA4" s="1090"/>
      <c r="AXB4" s="1090"/>
      <c r="AXC4" s="1090"/>
      <c r="AXD4" s="1090"/>
      <c r="AXE4" s="1090"/>
      <c r="AXF4" s="1090"/>
      <c r="AXG4" s="1090"/>
      <c r="AXH4" s="1090"/>
      <c r="AXI4" s="1090"/>
      <c r="AXJ4" s="1090"/>
      <c r="AXK4" s="1090"/>
      <c r="AXL4" s="1090"/>
      <c r="AXM4" s="1090"/>
      <c r="AXN4" s="1090"/>
      <c r="AXO4" s="1090"/>
      <c r="AXP4" s="1090"/>
      <c r="AXQ4" s="1090"/>
      <c r="AXR4" s="1090"/>
      <c r="AXS4" s="1090"/>
      <c r="AXT4" s="1090"/>
      <c r="AXU4" s="1090"/>
      <c r="AXV4" s="1090"/>
      <c r="AXW4" s="1090"/>
      <c r="AXX4" s="1090"/>
      <c r="AXY4" s="1090"/>
      <c r="AXZ4" s="1090"/>
      <c r="AYA4" s="1090"/>
      <c r="AYB4" s="1090"/>
      <c r="AYC4" s="1090"/>
      <c r="AYD4" s="1090"/>
      <c r="AYE4" s="1090"/>
      <c r="AYF4" s="1090"/>
      <c r="AYG4" s="1090"/>
      <c r="AYH4" s="1090"/>
      <c r="AYI4" s="1090"/>
      <c r="AYJ4" s="1090"/>
      <c r="AYK4" s="1090"/>
      <c r="AYL4" s="1090"/>
      <c r="AYM4" s="1090"/>
      <c r="AYN4" s="1090"/>
      <c r="AYO4" s="1090"/>
      <c r="AYP4" s="1090"/>
      <c r="AYQ4" s="1090"/>
      <c r="AYR4" s="1090"/>
      <c r="AYS4" s="1090"/>
      <c r="AYT4" s="1090"/>
      <c r="AYU4" s="1090"/>
      <c r="AYV4" s="1090"/>
      <c r="AYW4" s="1090"/>
      <c r="AYX4" s="1090"/>
      <c r="AYY4" s="1090"/>
      <c r="AYZ4" s="1090"/>
      <c r="AZA4" s="1090"/>
      <c r="AZB4" s="1090"/>
      <c r="AZC4" s="1090"/>
      <c r="AZD4" s="1090"/>
      <c r="AZE4" s="1090"/>
      <c r="AZF4" s="1090"/>
      <c r="AZG4" s="1090"/>
      <c r="AZH4" s="1090"/>
      <c r="AZI4" s="1090"/>
      <c r="AZJ4" s="1090"/>
      <c r="AZK4" s="1090"/>
      <c r="AZL4" s="1090"/>
      <c r="AZM4" s="1090"/>
      <c r="AZN4" s="1090"/>
      <c r="AZO4" s="1090"/>
      <c r="AZP4" s="1090"/>
      <c r="AZQ4" s="1090"/>
      <c r="AZR4" s="1090"/>
      <c r="AZS4" s="1090"/>
      <c r="AZT4" s="1090"/>
      <c r="AZU4" s="1090"/>
      <c r="AZV4" s="1090"/>
      <c r="AZW4" s="1090"/>
      <c r="AZX4" s="1090"/>
      <c r="AZY4" s="1090"/>
      <c r="AZZ4" s="1090"/>
      <c r="BAA4" s="1090"/>
      <c r="BAB4" s="1090"/>
      <c r="BAC4" s="1090"/>
      <c r="BAD4" s="1090"/>
      <c r="BAE4" s="1090"/>
      <c r="BAF4" s="1090"/>
      <c r="BAG4" s="1090"/>
      <c r="BAH4" s="1090"/>
      <c r="BAI4" s="1090"/>
      <c r="BAJ4" s="1090"/>
      <c r="BAK4" s="1090"/>
      <c r="BAL4" s="1090"/>
      <c r="BAM4" s="1090"/>
      <c r="BAN4" s="1090"/>
      <c r="BAO4" s="1090"/>
      <c r="BAP4" s="1090"/>
      <c r="BAQ4" s="1090"/>
      <c r="BAR4" s="1090"/>
      <c r="BAS4" s="1090"/>
      <c r="BAT4" s="1090"/>
      <c r="BAU4" s="1090"/>
      <c r="BAV4" s="1090"/>
      <c r="BAW4" s="1090"/>
      <c r="BAX4" s="1090"/>
      <c r="BAY4" s="1090"/>
      <c r="BAZ4" s="1090"/>
      <c r="BBA4" s="1090"/>
      <c r="BBB4" s="1090"/>
      <c r="BBC4" s="1090"/>
      <c r="BBD4" s="1090"/>
      <c r="BBE4" s="1090"/>
      <c r="BBF4" s="1090"/>
      <c r="BBG4" s="1090"/>
      <c r="BBH4" s="1090"/>
      <c r="BBI4" s="1090"/>
      <c r="BBJ4" s="1090"/>
      <c r="BBK4" s="1090"/>
      <c r="BBL4" s="1090"/>
      <c r="BBM4" s="1090"/>
      <c r="BBN4" s="1090"/>
      <c r="BBO4" s="1090"/>
      <c r="BBP4" s="1090"/>
      <c r="BBQ4" s="1090"/>
      <c r="BBR4" s="1090"/>
      <c r="BBS4" s="1090"/>
      <c r="BBT4" s="1090"/>
      <c r="BBU4" s="1090"/>
      <c r="BBV4" s="1090"/>
      <c r="BBW4" s="1090"/>
      <c r="BBX4" s="1090"/>
      <c r="BBY4" s="1090"/>
      <c r="BBZ4" s="1090"/>
      <c r="BCA4" s="1090"/>
      <c r="BCB4" s="1090"/>
      <c r="BCC4" s="1090"/>
      <c r="BCD4" s="1090"/>
      <c r="BCE4" s="1090"/>
      <c r="BCF4" s="1090"/>
      <c r="BCG4" s="1090"/>
      <c r="BCH4" s="1090"/>
      <c r="BCI4" s="1090"/>
      <c r="BCJ4" s="1090"/>
      <c r="BCK4" s="1090"/>
      <c r="BCL4" s="1090"/>
      <c r="BCM4" s="1090"/>
      <c r="BCN4" s="1090"/>
      <c r="BCO4" s="1090"/>
      <c r="BCP4" s="1090"/>
      <c r="BCQ4" s="1090"/>
      <c r="BCR4" s="1090"/>
      <c r="BCS4" s="1090"/>
      <c r="BCT4" s="1090"/>
      <c r="BCU4" s="1090"/>
      <c r="BCV4" s="1090"/>
      <c r="BCW4" s="1090"/>
      <c r="BCX4" s="1090"/>
      <c r="BCY4" s="1090"/>
      <c r="BCZ4" s="1090"/>
      <c r="BDA4" s="1090"/>
      <c r="BDB4" s="1090"/>
      <c r="BDC4" s="1090"/>
      <c r="BDD4" s="1090"/>
      <c r="BDE4" s="1090"/>
      <c r="BDF4" s="1090"/>
      <c r="BDG4" s="1090"/>
      <c r="BDH4" s="1090"/>
      <c r="BDI4" s="1090"/>
      <c r="BDJ4" s="1090"/>
      <c r="BDK4" s="1090"/>
      <c r="BDL4" s="1090"/>
      <c r="BDM4" s="1090"/>
      <c r="BDN4" s="1090"/>
      <c r="BDO4" s="1090"/>
      <c r="BDP4" s="1090"/>
      <c r="BDQ4" s="1090"/>
      <c r="BDR4" s="1090"/>
      <c r="BDS4" s="1090"/>
      <c r="BDT4" s="1090"/>
      <c r="BDU4" s="1090"/>
      <c r="BDV4" s="1090"/>
      <c r="BDW4" s="1090"/>
      <c r="BDX4" s="1090"/>
      <c r="BDY4" s="1090"/>
      <c r="BDZ4" s="1090"/>
      <c r="BEA4" s="1090"/>
      <c r="BEB4" s="1090"/>
      <c r="BEC4" s="1090"/>
      <c r="BED4" s="1090"/>
      <c r="BEE4" s="1090"/>
      <c r="BEF4" s="1090"/>
      <c r="BEG4" s="1090"/>
      <c r="BEH4" s="1090"/>
      <c r="BEI4" s="1090"/>
      <c r="BEJ4" s="1090"/>
      <c r="BEK4" s="1090"/>
      <c r="BEL4" s="1090"/>
      <c r="BEM4" s="1090"/>
      <c r="BEN4" s="1090"/>
      <c r="BEO4" s="1090"/>
      <c r="BEP4" s="1090"/>
      <c r="BEQ4" s="1090"/>
      <c r="BER4" s="1090"/>
      <c r="BES4" s="1090"/>
      <c r="BET4" s="1090"/>
      <c r="BEU4" s="1090"/>
      <c r="BEV4" s="1090"/>
      <c r="BEW4" s="1090"/>
      <c r="BEX4" s="1090"/>
      <c r="BEY4" s="1090"/>
      <c r="BEZ4" s="1090"/>
      <c r="BFA4" s="1090"/>
      <c r="BFB4" s="1090"/>
      <c r="BFC4" s="1090"/>
      <c r="BFD4" s="1090"/>
      <c r="BFE4" s="1090"/>
      <c r="BFF4" s="1090"/>
      <c r="BFG4" s="1090"/>
      <c r="BFH4" s="1090"/>
      <c r="BFI4" s="1090"/>
      <c r="BFJ4" s="1090"/>
      <c r="BFK4" s="1090"/>
      <c r="BFL4" s="1090"/>
      <c r="BFM4" s="1090"/>
      <c r="BFN4" s="1090"/>
      <c r="BFO4" s="1090"/>
      <c r="BFP4" s="1090"/>
      <c r="BFQ4" s="1090"/>
      <c r="BFR4" s="1090"/>
      <c r="BFS4" s="1090"/>
      <c r="BFT4" s="1090"/>
      <c r="BFU4" s="1090"/>
      <c r="BFV4" s="1090"/>
      <c r="BFW4" s="1090"/>
      <c r="BFX4" s="1090"/>
      <c r="BFY4" s="1090"/>
      <c r="BFZ4" s="1090"/>
      <c r="BGA4" s="1090"/>
      <c r="BGB4" s="1090"/>
      <c r="BGC4" s="1090"/>
      <c r="BGD4" s="1090"/>
      <c r="BGE4" s="1090"/>
      <c r="BGF4" s="1090"/>
      <c r="BGG4" s="1090"/>
      <c r="BGH4" s="1090"/>
      <c r="BGI4" s="1090"/>
      <c r="BGJ4" s="1090"/>
      <c r="BGK4" s="1090"/>
      <c r="BGL4" s="1090"/>
      <c r="BGM4" s="1090"/>
      <c r="BGN4" s="1090"/>
      <c r="BGO4" s="1090"/>
      <c r="BGP4" s="1090"/>
      <c r="BGQ4" s="1090"/>
      <c r="BGR4" s="1090"/>
      <c r="BGS4" s="1090"/>
      <c r="BGT4" s="1090"/>
      <c r="BGU4" s="1090"/>
      <c r="BGV4" s="1090"/>
      <c r="BGW4" s="1090"/>
      <c r="BGX4" s="1090"/>
      <c r="BGY4" s="1090"/>
      <c r="BGZ4" s="1090"/>
      <c r="BHA4" s="1090"/>
      <c r="BHB4" s="1090"/>
      <c r="BHC4" s="1090"/>
      <c r="BHD4" s="1090"/>
      <c r="BHE4" s="1090"/>
      <c r="BHF4" s="1090"/>
      <c r="BHG4" s="1090"/>
      <c r="BHH4" s="1090"/>
      <c r="BHI4" s="1090"/>
      <c r="BHJ4" s="1090"/>
      <c r="BHK4" s="1090"/>
      <c r="BHL4" s="1090"/>
      <c r="BHM4" s="1090"/>
      <c r="BHN4" s="1090"/>
      <c r="BHO4" s="1090"/>
      <c r="BHP4" s="1090"/>
      <c r="BHQ4" s="1090"/>
      <c r="BHR4" s="1090"/>
      <c r="BHS4" s="1090"/>
      <c r="BHT4" s="1090"/>
      <c r="BHU4" s="1090"/>
      <c r="BHV4" s="1090"/>
      <c r="BHW4" s="1090"/>
      <c r="BHX4" s="1090"/>
      <c r="BHY4" s="1090"/>
      <c r="BHZ4" s="1090"/>
      <c r="BIA4" s="1090"/>
      <c r="BIB4" s="1090"/>
      <c r="BIC4" s="1090"/>
      <c r="BID4" s="1090"/>
      <c r="BIE4" s="1090"/>
      <c r="BIF4" s="1090"/>
      <c r="BIG4" s="1090"/>
      <c r="BIH4" s="1090"/>
      <c r="BII4" s="1090"/>
      <c r="BIJ4" s="1090"/>
      <c r="BIK4" s="1090"/>
      <c r="BIL4" s="1090"/>
      <c r="BIM4" s="1090"/>
      <c r="BIN4" s="1090"/>
      <c r="BIO4" s="1090"/>
      <c r="BIP4" s="1090"/>
      <c r="BIQ4" s="1090"/>
      <c r="BIR4" s="1090"/>
      <c r="BIS4" s="1090"/>
      <c r="BIT4" s="1090"/>
      <c r="BIU4" s="1090"/>
      <c r="BIV4" s="1090"/>
      <c r="BIW4" s="1090"/>
      <c r="BIX4" s="1090"/>
      <c r="BIY4" s="1090"/>
      <c r="BIZ4" s="1090"/>
      <c r="BJA4" s="1090"/>
      <c r="BJB4" s="1090"/>
      <c r="BJC4" s="1090"/>
      <c r="BJD4" s="1090"/>
      <c r="BJE4" s="1090"/>
      <c r="BJF4" s="1090"/>
      <c r="BJG4" s="1090"/>
      <c r="BJH4" s="1090"/>
      <c r="BJI4" s="1090"/>
      <c r="BJJ4" s="1090"/>
      <c r="BJK4" s="1090"/>
      <c r="BJL4" s="1090"/>
      <c r="BJM4" s="1090"/>
      <c r="BJN4" s="1090"/>
      <c r="BJO4" s="1090"/>
      <c r="BJP4" s="1090"/>
      <c r="BJQ4" s="1090"/>
      <c r="BJR4" s="1090"/>
      <c r="BJS4" s="1090"/>
      <c r="BJT4" s="1090"/>
      <c r="BJU4" s="1090"/>
      <c r="BJV4" s="1090"/>
      <c r="BJW4" s="1090"/>
      <c r="BJX4" s="1090"/>
      <c r="BJY4" s="1090"/>
      <c r="BJZ4" s="1090"/>
      <c r="BKA4" s="1090"/>
      <c r="BKB4" s="1090"/>
      <c r="BKC4" s="1090"/>
      <c r="BKD4" s="1090"/>
      <c r="BKE4" s="1090"/>
      <c r="BKF4" s="1090"/>
      <c r="BKG4" s="1090"/>
      <c r="BKH4" s="1090"/>
      <c r="BKI4" s="1090"/>
      <c r="BKJ4" s="1090"/>
      <c r="BKK4" s="1090"/>
      <c r="BKL4" s="1090"/>
      <c r="BKM4" s="1090"/>
      <c r="BKN4" s="1090"/>
      <c r="BKO4" s="1090"/>
      <c r="BKP4" s="1090"/>
      <c r="BKQ4" s="1090"/>
      <c r="BKR4" s="1090"/>
      <c r="BKS4" s="1090"/>
      <c r="BKT4" s="1090"/>
      <c r="BKU4" s="1090"/>
      <c r="BKV4" s="1090"/>
      <c r="BKW4" s="1090"/>
      <c r="BKX4" s="1090"/>
      <c r="BKY4" s="1090"/>
      <c r="BKZ4" s="1090"/>
      <c r="BLA4" s="1090"/>
      <c r="BLB4" s="1090"/>
      <c r="BLC4" s="1090"/>
      <c r="BLD4" s="1090"/>
      <c r="BLE4" s="1090"/>
      <c r="BLF4" s="1090"/>
      <c r="BLG4" s="1090"/>
      <c r="BLH4" s="1090"/>
      <c r="BLI4" s="1090"/>
      <c r="BLJ4" s="1090"/>
      <c r="BLK4" s="1090"/>
      <c r="BLL4" s="1090"/>
      <c r="BLM4" s="1090"/>
      <c r="BLN4" s="1090"/>
      <c r="BLO4" s="1090"/>
      <c r="BLP4" s="1090"/>
      <c r="BLQ4" s="1090"/>
      <c r="BLR4" s="1090"/>
      <c r="BLS4" s="1090"/>
      <c r="BLT4" s="1090"/>
      <c r="BLU4" s="1090"/>
      <c r="BLV4" s="1090"/>
      <c r="BLW4" s="1090"/>
      <c r="BLX4" s="1090"/>
      <c r="BLY4" s="1090"/>
      <c r="BLZ4" s="1090"/>
      <c r="BMA4" s="1090"/>
      <c r="BMB4" s="1090"/>
      <c r="BMC4" s="1090"/>
      <c r="BMD4" s="1090"/>
      <c r="BME4" s="1090"/>
      <c r="BMF4" s="1090"/>
      <c r="BMG4" s="1090"/>
      <c r="BMH4" s="1090"/>
      <c r="BMI4" s="1090"/>
      <c r="BMJ4" s="1090"/>
      <c r="BMK4" s="1090"/>
      <c r="BML4" s="1090"/>
      <c r="BMM4" s="1090"/>
      <c r="BMN4" s="1090"/>
      <c r="BMO4" s="1090"/>
      <c r="BMP4" s="1090"/>
      <c r="BMQ4" s="1090"/>
      <c r="BMR4" s="1090"/>
      <c r="BMS4" s="1090"/>
      <c r="BMT4" s="1090"/>
      <c r="BMU4" s="1090"/>
      <c r="BMV4" s="1090"/>
      <c r="BMW4" s="1090"/>
      <c r="BMX4" s="1090"/>
      <c r="BMY4" s="1090"/>
      <c r="BMZ4" s="1090"/>
      <c r="BNA4" s="1090"/>
      <c r="BNB4" s="1090"/>
      <c r="BNC4" s="1090"/>
      <c r="BND4" s="1090"/>
      <c r="BNE4" s="1090"/>
    </row>
    <row r="5" spans="1:1721" s="13" customFormat="1" ht="12" x14ac:dyDescent="0.25">
      <c r="A5" s="264" t="s">
        <v>7</v>
      </c>
      <c r="B5" s="264"/>
      <c r="C5" s="264"/>
      <c r="D5" s="265" t="s">
        <v>8</v>
      </c>
      <c r="E5" s="266"/>
      <c r="F5" s="267"/>
      <c r="G5" s="265" t="s">
        <v>9</v>
      </c>
      <c r="H5" s="266"/>
      <c r="I5" s="267"/>
      <c r="J5" s="265" t="s">
        <v>10</v>
      </c>
      <c r="K5" s="266"/>
      <c r="L5" s="267"/>
      <c r="M5" s="260"/>
      <c r="N5" s="103"/>
      <c r="O5" s="103"/>
      <c r="P5" s="103"/>
      <c r="Q5" s="103"/>
      <c r="R5" s="103"/>
      <c r="S5" s="103"/>
      <c r="T5" s="103" t="s">
        <v>11</v>
      </c>
      <c r="U5" s="103"/>
      <c r="V5" s="103"/>
      <c r="W5" s="103"/>
      <c r="X5" s="103"/>
      <c r="Y5" s="103"/>
      <c r="Z5" s="103"/>
      <c r="AA5" s="103" t="s">
        <v>12</v>
      </c>
      <c r="AB5" s="103" t="s">
        <v>13</v>
      </c>
      <c r="AC5" s="103"/>
      <c r="AD5" s="103"/>
      <c r="AE5" s="103"/>
      <c r="AF5" s="103" t="s">
        <v>14</v>
      </c>
      <c r="AG5" s="103"/>
      <c r="AH5" s="103"/>
      <c r="AI5" s="103"/>
      <c r="AJ5" s="103" t="s">
        <v>13</v>
      </c>
      <c r="AK5" s="103"/>
      <c r="AL5" s="103"/>
      <c r="AM5" s="103"/>
      <c r="AN5" s="103" t="s">
        <v>14</v>
      </c>
      <c r="AO5" s="103"/>
      <c r="AP5" s="103"/>
      <c r="AQ5" s="103"/>
      <c r="AR5" s="265" t="s">
        <v>13</v>
      </c>
      <c r="AS5" s="266"/>
      <c r="AT5" s="266"/>
      <c r="AU5" s="267"/>
      <c r="AV5" s="265" t="s">
        <v>14</v>
      </c>
      <c r="AW5" s="266"/>
      <c r="AX5" s="266"/>
      <c r="AY5" s="267"/>
      <c r="AZ5" s="265" t="s">
        <v>13</v>
      </c>
      <c r="BA5" s="266"/>
      <c r="BB5" s="266"/>
      <c r="BC5" s="267"/>
      <c r="BD5" s="265" t="s">
        <v>14</v>
      </c>
      <c r="BE5" s="266"/>
      <c r="BF5" s="266"/>
      <c r="BG5" s="267"/>
      <c r="BH5" s="265" t="s">
        <v>13</v>
      </c>
      <c r="BI5" s="266"/>
      <c r="BJ5" s="266"/>
      <c r="BK5" s="267"/>
      <c r="BL5" s="265" t="s">
        <v>14</v>
      </c>
      <c r="BM5" s="266"/>
      <c r="BN5" s="266"/>
      <c r="BO5" s="267"/>
      <c r="BP5" s="265" t="s">
        <v>13</v>
      </c>
      <c r="BQ5" s="266"/>
      <c r="BR5" s="266"/>
      <c r="BS5" s="267"/>
      <c r="BT5" s="265" t="s">
        <v>14</v>
      </c>
      <c r="BU5" s="266"/>
      <c r="BV5" s="266"/>
      <c r="BW5" s="267"/>
      <c r="BX5" s="657"/>
      <c r="BY5" s="657"/>
      <c r="BZ5" s="657"/>
      <c r="CA5" s="657"/>
      <c r="CB5" s="657"/>
      <c r="CC5" s="657"/>
      <c r="CD5" s="657"/>
      <c r="CE5" s="657"/>
      <c r="CF5" s="657"/>
      <c r="CG5" s="657"/>
      <c r="CH5" s="657"/>
      <c r="CI5" s="657"/>
      <c r="CJ5" s="657"/>
      <c r="CK5" s="657"/>
      <c r="CL5" s="657"/>
      <c r="CM5" s="657"/>
      <c r="CN5" s="657"/>
      <c r="CO5" s="657"/>
      <c r="CP5" s="657"/>
      <c r="CQ5" s="657"/>
      <c r="CR5" s="657"/>
      <c r="CS5" s="657"/>
      <c r="CT5" s="657"/>
      <c r="CU5" s="657"/>
      <c r="CV5" s="657"/>
      <c r="CW5" s="657"/>
      <c r="CX5" s="657"/>
      <c r="CY5" s="657"/>
      <c r="CZ5" s="657"/>
      <c r="DA5" s="657"/>
      <c r="DB5" s="657"/>
      <c r="DC5" s="657"/>
      <c r="DD5" s="657"/>
      <c r="DE5" s="657"/>
      <c r="DF5" s="657"/>
      <c r="DG5" s="657"/>
      <c r="DH5" s="657"/>
      <c r="DI5" s="657"/>
      <c r="DJ5" s="657"/>
      <c r="DK5" s="657"/>
      <c r="DL5" s="657"/>
      <c r="DM5" s="657"/>
      <c r="DN5" s="657"/>
      <c r="DO5" s="657"/>
      <c r="DP5" s="657"/>
      <c r="DQ5" s="657"/>
      <c r="DR5" s="657"/>
      <c r="DS5" s="657"/>
      <c r="DT5" s="657"/>
      <c r="DU5" s="657"/>
      <c r="DV5" s="657"/>
      <c r="DW5" s="657"/>
      <c r="DX5" s="657"/>
      <c r="DY5" s="657"/>
      <c r="DZ5" s="657"/>
      <c r="EA5" s="657"/>
      <c r="EB5" s="657"/>
      <c r="EC5" s="657"/>
      <c r="ED5" s="657"/>
      <c r="EE5" s="657"/>
      <c r="EF5" s="657"/>
      <c r="EG5" s="657"/>
      <c r="EH5" s="657"/>
      <c r="EI5" s="657"/>
      <c r="EJ5" s="657"/>
      <c r="EK5" s="657"/>
      <c r="EL5" s="657"/>
      <c r="EM5" s="657"/>
      <c r="EN5" s="657"/>
      <c r="EO5" s="657"/>
      <c r="EP5" s="657"/>
      <c r="EQ5" s="657"/>
      <c r="ER5" s="657"/>
      <c r="ES5" s="657"/>
      <c r="ET5" s="657"/>
      <c r="EU5" s="657"/>
      <c r="EV5" s="657"/>
      <c r="EW5" s="657"/>
      <c r="EX5" s="657"/>
      <c r="EY5" s="657"/>
      <c r="EZ5" s="657"/>
      <c r="FA5" s="657"/>
      <c r="FB5" s="657"/>
      <c r="FC5" s="657"/>
      <c r="FD5" s="657"/>
      <c r="FE5" s="657"/>
      <c r="FF5" s="657"/>
      <c r="FG5" s="657"/>
      <c r="FH5" s="657"/>
      <c r="FI5" s="657"/>
      <c r="FJ5" s="657"/>
      <c r="FK5" s="657"/>
      <c r="FL5" s="657"/>
      <c r="FM5" s="657"/>
      <c r="FN5" s="657"/>
      <c r="FO5" s="657"/>
      <c r="FP5" s="657"/>
      <c r="FQ5" s="657"/>
      <c r="FR5" s="657"/>
      <c r="FS5" s="657"/>
      <c r="FT5" s="657"/>
      <c r="FU5" s="657"/>
      <c r="FV5" s="657"/>
      <c r="FW5" s="657"/>
      <c r="FX5" s="657"/>
      <c r="FY5" s="657"/>
      <c r="FZ5" s="657"/>
      <c r="GA5" s="657"/>
      <c r="GB5" s="657"/>
      <c r="GC5" s="657"/>
      <c r="GD5" s="657"/>
      <c r="GE5" s="657"/>
      <c r="GF5" s="657"/>
      <c r="GG5" s="657"/>
      <c r="GH5" s="657"/>
      <c r="GI5" s="657"/>
      <c r="GJ5" s="657"/>
      <c r="GK5" s="657"/>
      <c r="GL5" s="657"/>
      <c r="GM5" s="657"/>
      <c r="GN5" s="657"/>
      <c r="GO5" s="657"/>
      <c r="GP5" s="657"/>
      <c r="GQ5" s="657"/>
      <c r="GR5" s="657"/>
      <c r="GS5" s="657"/>
      <c r="GT5" s="657"/>
      <c r="GU5" s="657"/>
      <c r="GV5" s="657"/>
      <c r="GW5" s="657"/>
      <c r="GX5" s="657"/>
      <c r="GY5" s="657"/>
      <c r="GZ5" s="657"/>
      <c r="HA5" s="657"/>
      <c r="HB5" s="657"/>
      <c r="HC5" s="657"/>
      <c r="HD5" s="657"/>
      <c r="HE5" s="657"/>
      <c r="HF5" s="657"/>
      <c r="HG5" s="657"/>
      <c r="HH5" s="657"/>
      <c r="HI5" s="657"/>
      <c r="HJ5" s="657"/>
      <c r="HK5" s="657"/>
      <c r="HL5" s="657"/>
      <c r="HM5" s="657"/>
      <c r="HN5" s="657"/>
      <c r="HO5" s="657"/>
      <c r="HP5" s="657"/>
      <c r="HQ5" s="657"/>
      <c r="HR5" s="657"/>
      <c r="HS5" s="657"/>
      <c r="HT5" s="657"/>
      <c r="HU5" s="657"/>
      <c r="HV5" s="657"/>
      <c r="HW5" s="657"/>
      <c r="HX5" s="657"/>
      <c r="HY5" s="657"/>
      <c r="HZ5" s="657"/>
      <c r="IA5" s="657"/>
      <c r="IB5" s="657"/>
      <c r="IC5" s="657"/>
      <c r="ID5" s="657"/>
      <c r="IE5" s="657"/>
      <c r="IF5" s="657"/>
      <c r="IG5" s="657"/>
      <c r="IH5" s="657"/>
      <c r="II5" s="657"/>
      <c r="IJ5" s="657"/>
      <c r="IK5" s="657"/>
      <c r="IL5" s="657"/>
      <c r="IM5" s="657"/>
      <c r="IN5" s="657"/>
      <c r="IO5" s="657"/>
      <c r="IP5" s="657"/>
      <c r="IQ5" s="657"/>
      <c r="IR5" s="657"/>
      <c r="IS5" s="657"/>
      <c r="IT5" s="657"/>
      <c r="IU5" s="657"/>
      <c r="IV5" s="657"/>
      <c r="IW5" s="657"/>
      <c r="IX5" s="657"/>
      <c r="IY5" s="657"/>
      <c r="IZ5" s="657"/>
      <c r="JA5" s="657"/>
      <c r="JB5" s="657"/>
      <c r="JC5" s="657"/>
      <c r="JD5" s="657"/>
      <c r="JE5" s="657"/>
      <c r="JF5" s="657"/>
      <c r="JG5" s="657"/>
      <c r="JH5" s="657"/>
      <c r="JI5" s="657"/>
      <c r="JJ5" s="657"/>
      <c r="JK5" s="657"/>
      <c r="JL5" s="657"/>
      <c r="JM5" s="657"/>
      <c r="JN5" s="657"/>
      <c r="JO5" s="657"/>
      <c r="JP5" s="657"/>
      <c r="JQ5" s="657"/>
      <c r="JR5" s="657"/>
      <c r="JS5" s="657"/>
      <c r="JT5" s="657"/>
      <c r="JU5" s="657"/>
      <c r="JV5" s="657"/>
      <c r="JW5" s="657"/>
      <c r="JX5" s="657"/>
      <c r="JY5" s="657"/>
      <c r="JZ5" s="657"/>
      <c r="KA5" s="657"/>
      <c r="KB5" s="657"/>
      <c r="KC5" s="657"/>
      <c r="KD5" s="657"/>
      <c r="KE5" s="657"/>
      <c r="KF5" s="657"/>
      <c r="KG5" s="657"/>
      <c r="KH5" s="657"/>
      <c r="KI5" s="657"/>
      <c r="KJ5" s="657"/>
      <c r="KK5" s="657"/>
      <c r="KL5" s="657"/>
      <c r="KM5" s="657"/>
      <c r="KN5" s="657"/>
      <c r="KO5" s="657"/>
      <c r="KP5" s="657"/>
      <c r="KQ5" s="657"/>
      <c r="KR5" s="657"/>
      <c r="KS5" s="657"/>
      <c r="KT5" s="657"/>
      <c r="KU5" s="657"/>
      <c r="KV5" s="657"/>
      <c r="KW5" s="657"/>
      <c r="KX5" s="657"/>
      <c r="KY5" s="657"/>
      <c r="KZ5" s="657"/>
      <c r="LA5" s="657"/>
      <c r="LB5" s="657"/>
      <c r="LC5" s="657"/>
      <c r="LD5" s="657"/>
      <c r="LE5" s="657"/>
      <c r="LF5" s="657"/>
      <c r="LG5" s="657"/>
      <c r="LH5" s="657"/>
      <c r="LI5" s="657"/>
      <c r="LJ5" s="657"/>
      <c r="LK5" s="657"/>
      <c r="LL5" s="657"/>
      <c r="LM5" s="657"/>
      <c r="LN5" s="657"/>
      <c r="LO5" s="657"/>
      <c r="LP5" s="657"/>
      <c r="LQ5" s="657"/>
      <c r="LR5" s="657"/>
      <c r="LS5" s="657"/>
      <c r="LT5" s="657"/>
      <c r="LU5" s="657"/>
      <c r="LV5" s="657"/>
      <c r="LW5" s="657"/>
      <c r="LX5" s="657"/>
      <c r="LY5" s="657"/>
      <c r="LZ5" s="657"/>
      <c r="MA5" s="657"/>
      <c r="MB5" s="657"/>
      <c r="MC5" s="657"/>
      <c r="MD5" s="657"/>
      <c r="ME5" s="657"/>
      <c r="MF5" s="657"/>
      <c r="MG5" s="657"/>
      <c r="MH5" s="657"/>
      <c r="MI5" s="657"/>
      <c r="MJ5" s="657"/>
      <c r="MK5" s="657"/>
      <c r="ML5" s="657"/>
      <c r="MM5" s="657"/>
      <c r="MN5" s="657"/>
      <c r="MO5" s="657"/>
      <c r="MP5" s="657"/>
      <c r="MQ5" s="657"/>
      <c r="MR5" s="657"/>
      <c r="MS5" s="657"/>
      <c r="MT5" s="657"/>
      <c r="MU5" s="657"/>
      <c r="MV5" s="657"/>
      <c r="MW5" s="657"/>
      <c r="MX5" s="657"/>
      <c r="MY5" s="657"/>
      <c r="MZ5" s="657"/>
      <c r="NA5" s="657"/>
      <c r="NB5" s="657"/>
      <c r="NC5" s="657"/>
      <c r="ND5" s="657"/>
      <c r="NE5" s="657"/>
      <c r="NF5" s="657"/>
      <c r="NG5" s="657"/>
      <c r="NH5" s="657"/>
      <c r="NI5" s="657"/>
      <c r="NJ5" s="657"/>
      <c r="NK5" s="657"/>
      <c r="NL5" s="657"/>
      <c r="NM5" s="657"/>
      <c r="NN5" s="657"/>
      <c r="NO5" s="657"/>
      <c r="NP5" s="657"/>
      <c r="NQ5" s="657"/>
      <c r="NR5" s="657"/>
      <c r="NS5" s="657"/>
      <c r="NT5" s="657"/>
      <c r="NU5" s="657"/>
      <c r="NV5" s="657"/>
      <c r="NW5" s="657"/>
      <c r="NX5" s="657"/>
      <c r="NY5" s="657"/>
      <c r="NZ5" s="657"/>
      <c r="OA5" s="657"/>
      <c r="OB5" s="657"/>
      <c r="OC5" s="657"/>
      <c r="OD5" s="657"/>
      <c r="OE5" s="657"/>
      <c r="OF5" s="657"/>
      <c r="OG5" s="657"/>
      <c r="OH5" s="657"/>
      <c r="OI5" s="657"/>
      <c r="OJ5" s="657"/>
      <c r="OK5" s="657"/>
      <c r="OL5" s="657"/>
      <c r="OM5" s="657"/>
      <c r="ON5" s="657"/>
      <c r="OO5" s="657"/>
      <c r="OP5" s="657"/>
      <c r="OQ5" s="657"/>
      <c r="OR5" s="657"/>
      <c r="OS5" s="657"/>
      <c r="OT5" s="657"/>
      <c r="OU5" s="657"/>
      <c r="OV5" s="657"/>
      <c r="OW5" s="657"/>
      <c r="OX5" s="657"/>
      <c r="OY5" s="657"/>
      <c r="OZ5" s="657"/>
      <c r="PA5" s="657"/>
      <c r="PB5" s="657"/>
      <c r="PC5" s="657"/>
      <c r="PD5" s="657"/>
      <c r="PE5" s="657"/>
      <c r="PF5" s="657"/>
      <c r="PG5" s="657"/>
      <c r="PH5" s="657"/>
      <c r="PI5" s="657"/>
      <c r="PJ5" s="657"/>
      <c r="PK5" s="657"/>
      <c r="PL5" s="657"/>
      <c r="PM5" s="657"/>
      <c r="PN5" s="657"/>
      <c r="PO5" s="657"/>
      <c r="PP5" s="657"/>
      <c r="PQ5" s="657"/>
      <c r="PR5" s="657"/>
      <c r="PS5" s="657"/>
      <c r="PT5" s="657"/>
      <c r="PU5" s="657"/>
      <c r="PV5" s="657"/>
      <c r="PW5" s="657"/>
      <c r="PX5" s="657"/>
      <c r="PY5" s="657"/>
      <c r="PZ5" s="657"/>
      <c r="QA5" s="657"/>
      <c r="QB5" s="657"/>
      <c r="QC5" s="657"/>
      <c r="QD5" s="657"/>
      <c r="QE5" s="657"/>
      <c r="QF5" s="657"/>
      <c r="QG5" s="657"/>
      <c r="QH5" s="657"/>
      <c r="QI5" s="657"/>
      <c r="QJ5" s="657"/>
      <c r="QK5" s="657"/>
      <c r="QL5" s="657"/>
      <c r="QM5" s="657"/>
      <c r="QN5" s="657"/>
      <c r="QO5" s="657"/>
      <c r="QP5" s="657"/>
      <c r="QQ5" s="657"/>
      <c r="QR5" s="657"/>
      <c r="QS5" s="657"/>
      <c r="QT5" s="657"/>
      <c r="QU5" s="657"/>
      <c r="QV5" s="657"/>
      <c r="QW5" s="657"/>
      <c r="QX5" s="657"/>
      <c r="QY5" s="657"/>
      <c r="QZ5" s="657"/>
      <c r="RA5" s="657"/>
      <c r="RB5" s="657"/>
      <c r="RC5" s="657"/>
      <c r="RD5" s="657"/>
      <c r="RE5" s="657"/>
      <c r="RF5" s="657"/>
      <c r="RG5" s="657"/>
      <c r="RH5" s="657"/>
      <c r="RI5" s="657"/>
      <c r="RJ5" s="657"/>
      <c r="RK5" s="657"/>
      <c r="RL5" s="657"/>
      <c r="RM5" s="657"/>
      <c r="RN5" s="657"/>
      <c r="RO5" s="657"/>
      <c r="RP5" s="657"/>
      <c r="RQ5" s="657"/>
      <c r="RR5" s="657"/>
      <c r="RS5" s="657"/>
      <c r="RT5" s="657"/>
      <c r="RU5" s="657"/>
      <c r="RV5" s="657"/>
      <c r="RW5" s="657"/>
      <c r="RX5" s="657"/>
      <c r="RY5" s="657"/>
      <c r="RZ5" s="657"/>
      <c r="SA5" s="657"/>
      <c r="SB5" s="657"/>
      <c r="SC5" s="657"/>
      <c r="SD5" s="657"/>
      <c r="SE5" s="657"/>
      <c r="SF5" s="657"/>
      <c r="SG5" s="657"/>
      <c r="SH5" s="657"/>
      <c r="SI5" s="657"/>
      <c r="SJ5" s="657"/>
      <c r="SK5" s="657"/>
      <c r="SL5" s="657"/>
      <c r="SM5" s="657"/>
      <c r="SN5" s="657"/>
      <c r="SO5" s="657"/>
      <c r="SP5" s="657"/>
      <c r="SQ5" s="657"/>
      <c r="SR5" s="657"/>
      <c r="SS5" s="657"/>
      <c r="ST5" s="657"/>
      <c r="SU5" s="657"/>
      <c r="SV5" s="657"/>
      <c r="SW5" s="657"/>
      <c r="SX5" s="657"/>
      <c r="SY5" s="657"/>
      <c r="SZ5" s="657"/>
      <c r="TA5" s="657"/>
      <c r="TB5" s="657"/>
      <c r="TC5" s="657"/>
      <c r="TD5" s="657"/>
      <c r="TE5" s="657"/>
      <c r="TF5" s="657"/>
      <c r="TG5" s="657"/>
      <c r="TH5" s="657"/>
      <c r="TI5" s="657"/>
      <c r="TJ5" s="657"/>
      <c r="TK5" s="657"/>
      <c r="TL5" s="657"/>
      <c r="TM5" s="657"/>
      <c r="TN5" s="657"/>
      <c r="TO5" s="657"/>
      <c r="TP5" s="657"/>
      <c r="TQ5" s="657"/>
      <c r="TR5" s="657"/>
      <c r="TS5" s="657"/>
      <c r="TT5" s="657"/>
      <c r="TU5" s="657"/>
      <c r="TV5" s="657"/>
      <c r="TW5" s="657"/>
      <c r="TX5" s="657"/>
      <c r="TY5" s="657"/>
      <c r="TZ5" s="657"/>
      <c r="UA5" s="657"/>
      <c r="UB5" s="657"/>
      <c r="UC5" s="657"/>
      <c r="UD5" s="657"/>
      <c r="UE5" s="657"/>
      <c r="UF5" s="657"/>
      <c r="UG5" s="657"/>
      <c r="UH5" s="657"/>
      <c r="UI5" s="657"/>
      <c r="UJ5" s="657"/>
      <c r="UK5" s="657"/>
      <c r="UL5" s="657"/>
      <c r="UM5" s="657"/>
      <c r="UN5" s="657"/>
      <c r="UO5" s="657"/>
      <c r="UP5" s="657"/>
      <c r="UQ5" s="657"/>
      <c r="UR5" s="657"/>
      <c r="US5" s="657"/>
      <c r="UT5" s="657"/>
      <c r="UU5" s="657"/>
      <c r="UV5" s="657"/>
      <c r="UW5" s="657"/>
      <c r="UX5" s="657"/>
      <c r="UY5" s="657"/>
      <c r="UZ5" s="657"/>
      <c r="VA5" s="657"/>
      <c r="VB5" s="657"/>
      <c r="VC5" s="657"/>
      <c r="VD5" s="657"/>
      <c r="VE5" s="657"/>
      <c r="VF5" s="657"/>
      <c r="VG5" s="657"/>
      <c r="VH5" s="657"/>
      <c r="VI5" s="657"/>
      <c r="VJ5" s="657"/>
      <c r="VK5" s="657"/>
      <c r="VL5" s="657"/>
      <c r="VM5" s="657"/>
      <c r="VN5" s="657"/>
      <c r="VO5" s="657"/>
      <c r="VP5" s="657"/>
      <c r="VQ5" s="657"/>
      <c r="VR5" s="657"/>
      <c r="VS5" s="657"/>
      <c r="VT5" s="657"/>
      <c r="VU5" s="657"/>
      <c r="VV5" s="657"/>
      <c r="VW5" s="657"/>
      <c r="VX5" s="657"/>
      <c r="VY5" s="657"/>
      <c r="VZ5" s="657"/>
      <c r="WA5" s="657"/>
      <c r="WB5" s="657"/>
      <c r="WC5" s="657"/>
      <c r="WD5" s="657"/>
      <c r="WE5" s="657"/>
      <c r="WF5" s="657"/>
      <c r="WG5" s="657"/>
      <c r="WH5" s="657"/>
      <c r="WI5" s="657"/>
      <c r="WJ5" s="657"/>
      <c r="WK5" s="657"/>
      <c r="WL5" s="657"/>
      <c r="WM5" s="657"/>
      <c r="WN5" s="657"/>
      <c r="WO5" s="657"/>
      <c r="WP5" s="657"/>
      <c r="WQ5" s="657"/>
      <c r="WR5" s="657"/>
      <c r="WS5" s="657"/>
      <c r="WT5" s="657"/>
      <c r="WU5" s="657"/>
      <c r="WV5" s="657"/>
      <c r="WW5" s="657"/>
      <c r="WX5" s="657"/>
      <c r="WY5" s="657"/>
      <c r="WZ5" s="657"/>
      <c r="XA5" s="657"/>
      <c r="XB5" s="657"/>
      <c r="XC5" s="657"/>
      <c r="XD5" s="657"/>
      <c r="XE5" s="657"/>
      <c r="XF5" s="657"/>
      <c r="XG5" s="657"/>
      <c r="XH5" s="657"/>
      <c r="XI5" s="657"/>
      <c r="XJ5" s="657"/>
      <c r="XK5" s="657"/>
      <c r="XL5" s="657"/>
      <c r="XM5" s="657"/>
      <c r="XN5" s="657"/>
      <c r="XO5" s="657"/>
      <c r="XP5" s="657"/>
      <c r="XQ5" s="657"/>
      <c r="XR5" s="657"/>
      <c r="XS5" s="657"/>
      <c r="XT5" s="657"/>
      <c r="XU5" s="657"/>
      <c r="XV5" s="657"/>
      <c r="XW5" s="657"/>
      <c r="XX5" s="657"/>
      <c r="XY5" s="657"/>
      <c r="XZ5" s="657"/>
      <c r="YA5" s="657"/>
      <c r="YB5" s="657"/>
      <c r="YC5" s="657"/>
      <c r="YD5" s="657"/>
      <c r="YE5" s="657"/>
      <c r="YF5" s="657"/>
      <c r="YG5" s="657"/>
      <c r="YH5" s="657"/>
      <c r="YI5" s="657"/>
      <c r="YJ5" s="657"/>
      <c r="YK5" s="657"/>
      <c r="YL5" s="657"/>
      <c r="YM5" s="657"/>
      <c r="YN5" s="657"/>
      <c r="YO5" s="657"/>
      <c r="YP5" s="657"/>
      <c r="YQ5" s="657"/>
      <c r="YR5" s="657"/>
      <c r="YS5" s="657"/>
      <c r="YT5" s="657"/>
      <c r="YU5" s="657"/>
      <c r="YV5" s="657"/>
      <c r="YW5" s="657"/>
      <c r="YX5" s="657"/>
      <c r="YY5" s="657"/>
      <c r="YZ5" s="657"/>
      <c r="ZA5" s="657"/>
      <c r="ZB5" s="657"/>
      <c r="ZC5" s="657"/>
      <c r="ZD5" s="657"/>
      <c r="ZE5" s="657"/>
      <c r="ZF5" s="657"/>
      <c r="ZG5" s="657"/>
      <c r="ZH5" s="657"/>
      <c r="ZI5" s="657"/>
      <c r="ZJ5" s="657"/>
      <c r="ZK5" s="657"/>
      <c r="ZL5" s="657"/>
      <c r="ZM5" s="657"/>
      <c r="ZN5" s="657"/>
      <c r="ZO5" s="657"/>
      <c r="ZP5" s="657"/>
      <c r="ZQ5" s="657"/>
      <c r="ZR5" s="657"/>
      <c r="ZS5" s="657"/>
      <c r="ZT5" s="657"/>
      <c r="ZU5" s="657"/>
      <c r="ZV5" s="657"/>
      <c r="ZW5" s="657"/>
      <c r="ZX5" s="657"/>
      <c r="ZY5" s="657"/>
      <c r="ZZ5" s="657"/>
      <c r="AAA5" s="657"/>
      <c r="AAB5" s="657"/>
      <c r="AAC5" s="657"/>
      <c r="AAD5" s="657"/>
      <c r="AAE5" s="657"/>
      <c r="AAF5" s="657"/>
      <c r="AAG5" s="657"/>
      <c r="AAH5" s="657"/>
      <c r="AAI5" s="657"/>
      <c r="AAJ5" s="657"/>
      <c r="AAK5" s="657"/>
      <c r="AAL5" s="657"/>
      <c r="AAM5" s="657"/>
      <c r="AAN5" s="657"/>
      <c r="AAO5" s="657"/>
      <c r="AAP5" s="657"/>
      <c r="AAQ5" s="657"/>
      <c r="AAR5" s="657"/>
      <c r="AAS5" s="657"/>
      <c r="AAT5" s="657"/>
      <c r="AAU5" s="657"/>
      <c r="AAV5" s="657"/>
      <c r="AAW5" s="657"/>
      <c r="AAX5" s="657"/>
      <c r="AAY5" s="657"/>
      <c r="AAZ5" s="657"/>
      <c r="ABA5" s="657"/>
      <c r="ABB5" s="657"/>
      <c r="ABC5" s="657"/>
      <c r="ABD5" s="657"/>
      <c r="ABE5" s="657"/>
      <c r="ABF5" s="657"/>
      <c r="ABG5" s="657"/>
      <c r="ABH5" s="657"/>
      <c r="ABI5" s="657"/>
      <c r="ABJ5" s="657"/>
      <c r="ABK5" s="657"/>
      <c r="ABL5" s="657"/>
      <c r="ABM5" s="657"/>
      <c r="ABN5" s="657"/>
      <c r="ABO5" s="657"/>
      <c r="ABP5" s="657"/>
      <c r="ABQ5" s="657"/>
      <c r="ABR5" s="657"/>
      <c r="ABS5" s="657"/>
      <c r="ABT5" s="657"/>
      <c r="ABU5" s="657"/>
      <c r="ABV5" s="657"/>
      <c r="ABW5" s="657"/>
      <c r="ABX5" s="657"/>
      <c r="ABY5" s="657"/>
      <c r="ABZ5" s="657"/>
      <c r="ACA5" s="657"/>
      <c r="ACB5" s="657"/>
      <c r="ACC5" s="657"/>
      <c r="ACD5" s="657"/>
      <c r="ACE5" s="657"/>
      <c r="ACF5" s="657"/>
      <c r="ACG5" s="657"/>
      <c r="ACH5" s="657"/>
      <c r="ACI5" s="657"/>
      <c r="ACJ5" s="657"/>
      <c r="ACK5" s="657"/>
      <c r="ACL5" s="657"/>
      <c r="ACM5" s="657"/>
      <c r="ACN5" s="657"/>
      <c r="ACO5" s="657"/>
      <c r="ACP5" s="657"/>
      <c r="ACQ5" s="657"/>
      <c r="ACR5" s="657"/>
      <c r="ACS5" s="657"/>
      <c r="ACT5" s="657"/>
      <c r="ACU5" s="657"/>
      <c r="ACV5" s="657"/>
      <c r="ACW5" s="657"/>
      <c r="ACX5" s="657"/>
      <c r="ACY5" s="657"/>
      <c r="ACZ5" s="657"/>
      <c r="ADA5" s="657"/>
      <c r="ADB5" s="657"/>
      <c r="ADC5" s="657"/>
      <c r="ADD5" s="657"/>
      <c r="ADE5" s="657"/>
      <c r="ADF5" s="657"/>
      <c r="ADG5" s="657"/>
      <c r="ADH5" s="657"/>
      <c r="ADI5" s="657"/>
      <c r="ADJ5" s="657"/>
      <c r="ADK5" s="657"/>
      <c r="ADL5" s="657"/>
      <c r="ADM5" s="657"/>
      <c r="ADN5" s="657"/>
      <c r="ADO5" s="657"/>
      <c r="ADP5" s="657"/>
      <c r="ADQ5" s="657"/>
      <c r="ADR5" s="657"/>
      <c r="ADS5" s="657"/>
      <c r="ADT5" s="657"/>
      <c r="ADU5" s="657"/>
      <c r="ADV5" s="657"/>
      <c r="ADW5" s="657"/>
      <c r="ADX5" s="657"/>
      <c r="ADY5" s="657"/>
      <c r="ADZ5" s="657"/>
      <c r="AEA5" s="657"/>
      <c r="AEB5" s="657"/>
      <c r="AEC5" s="657"/>
      <c r="AED5" s="657"/>
      <c r="AEE5" s="657"/>
      <c r="AEF5" s="657"/>
      <c r="AEG5" s="657"/>
      <c r="AEH5" s="657"/>
      <c r="AEI5" s="657"/>
      <c r="AEJ5" s="657"/>
      <c r="AEK5" s="657"/>
      <c r="AEL5" s="657"/>
      <c r="AEM5" s="657"/>
      <c r="AEN5" s="657"/>
      <c r="AEO5" s="657"/>
      <c r="AEP5" s="657"/>
      <c r="AEQ5" s="657"/>
      <c r="AER5" s="657"/>
      <c r="AES5" s="657"/>
      <c r="AET5" s="657"/>
      <c r="AEU5" s="657"/>
      <c r="AEV5" s="657"/>
      <c r="AEW5" s="657"/>
      <c r="AEX5" s="657"/>
      <c r="AEY5" s="657"/>
      <c r="AEZ5" s="657"/>
      <c r="AFA5" s="657"/>
      <c r="AFB5" s="657"/>
      <c r="AFC5" s="657"/>
      <c r="AFD5" s="657"/>
      <c r="AFE5" s="657"/>
      <c r="AFF5" s="657"/>
      <c r="AFG5" s="657"/>
      <c r="AFH5" s="657"/>
      <c r="AFI5" s="657"/>
      <c r="AFJ5" s="657"/>
      <c r="AFK5" s="657"/>
      <c r="AFL5" s="657"/>
      <c r="AFM5" s="657"/>
      <c r="AFN5" s="657"/>
      <c r="AFO5" s="657"/>
      <c r="AFP5" s="657"/>
      <c r="AFQ5" s="657"/>
      <c r="AFR5" s="657"/>
      <c r="AFS5" s="657"/>
      <c r="AFT5" s="657"/>
      <c r="AFU5" s="657"/>
      <c r="AFV5" s="657"/>
      <c r="AFW5" s="657"/>
      <c r="AFX5" s="657"/>
      <c r="AFY5" s="657"/>
      <c r="AFZ5" s="657"/>
      <c r="AGA5" s="657"/>
      <c r="AGB5" s="657"/>
      <c r="AGC5" s="657"/>
      <c r="AGD5" s="657"/>
      <c r="AGE5" s="657"/>
      <c r="AGF5" s="657"/>
      <c r="AGG5" s="657"/>
      <c r="AGH5" s="657"/>
      <c r="AGI5" s="657"/>
      <c r="AGJ5" s="657"/>
      <c r="AGK5" s="657"/>
      <c r="AGL5" s="657"/>
      <c r="AGM5" s="657"/>
      <c r="AGN5" s="657"/>
      <c r="AGO5" s="657"/>
      <c r="AGP5" s="657"/>
      <c r="AGQ5" s="657"/>
      <c r="AGR5" s="657"/>
      <c r="AGS5" s="657"/>
      <c r="AGT5" s="657"/>
      <c r="AGU5" s="657"/>
      <c r="AGV5" s="657"/>
      <c r="AGW5" s="657"/>
      <c r="AGX5" s="657"/>
      <c r="AGY5" s="657"/>
      <c r="AGZ5" s="657"/>
      <c r="AHA5" s="657"/>
      <c r="AHB5" s="657"/>
      <c r="AHC5" s="657"/>
      <c r="AHD5" s="657"/>
      <c r="AHE5" s="657"/>
      <c r="AHF5" s="657"/>
      <c r="AHG5" s="657"/>
      <c r="AHH5" s="657"/>
      <c r="AHI5" s="657"/>
      <c r="AHJ5" s="657"/>
      <c r="AHK5" s="657"/>
      <c r="AHL5" s="657"/>
      <c r="AHM5" s="657"/>
      <c r="AHN5" s="657"/>
      <c r="AHO5" s="657"/>
      <c r="AHP5" s="657"/>
      <c r="AHQ5" s="657"/>
      <c r="AHR5" s="657"/>
      <c r="AHS5" s="657"/>
      <c r="AHT5" s="657"/>
      <c r="AHU5" s="657"/>
      <c r="AHV5" s="657"/>
      <c r="AHW5" s="657"/>
      <c r="AHX5" s="657"/>
      <c r="AHY5" s="657"/>
      <c r="AHZ5" s="657"/>
      <c r="AIA5" s="657"/>
      <c r="AIB5" s="657"/>
      <c r="AIC5" s="657"/>
      <c r="AID5" s="657"/>
      <c r="AIE5" s="657"/>
      <c r="AIF5" s="657"/>
      <c r="AIG5" s="657"/>
      <c r="AIH5" s="657"/>
      <c r="AII5" s="657"/>
      <c r="AIJ5" s="657"/>
      <c r="AIK5" s="657"/>
      <c r="AIL5" s="657"/>
      <c r="AIM5" s="657"/>
      <c r="AIN5" s="657"/>
      <c r="AIO5" s="657"/>
      <c r="AIP5" s="657"/>
      <c r="AIQ5" s="657"/>
      <c r="AIR5" s="657"/>
      <c r="AIS5" s="657"/>
      <c r="AIT5" s="657"/>
      <c r="AIU5" s="657"/>
      <c r="AIV5" s="657"/>
      <c r="AIW5" s="657"/>
      <c r="AIX5" s="657"/>
      <c r="AIY5" s="657"/>
      <c r="AIZ5" s="657"/>
      <c r="AJA5" s="657"/>
      <c r="AJB5" s="657"/>
      <c r="AJC5" s="657"/>
      <c r="AJD5" s="657"/>
      <c r="AJE5" s="657"/>
      <c r="AJF5" s="657"/>
      <c r="AJG5" s="657"/>
      <c r="AJH5" s="657"/>
      <c r="AJI5" s="657"/>
      <c r="AJJ5" s="657"/>
      <c r="AJK5" s="657"/>
      <c r="AJL5" s="657"/>
      <c r="AJM5" s="657"/>
      <c r="AJN5" s="657"/>
      <c r="AJO5" s="657"/>
      <c r="AJP5" s="657"/>
      <c r="AJQ5" s="657"/>
      <c r="AJR5" s="657"/>
      <c r="AJS5" s="657"/>
      <c r="AJT5" s="657"/>
      <c r="AJU5" s="657"/>
      <c r="AJV5" s="657"/>
      <c r="AJW5" s="657"/>
      <c r="AJX5" s="657"/>
      <c r="AJY5" s="657"/>
      <c r="AJZ5" s="657"/>
      <c r="AKA5" s="657"/>
      <c r="AKB5" s="657"/>
      <c r="AKC5" s="657"/>
      <c r="AKD5" s="657"/>
      <c r="AKE5" s="657"/>
      <c r="AKF5" s="657"/>
      <c r="AKG5" s="657"/>
      <c r="AKH5" s="657"/>
      <c r="AKI5" s="657"/>
      <c r="AKJ5" s="657"/>
      <c r="AKK5" s="657"/>
      <c r="AKL5" s="657"/>
      <c r="AKM5" s="657"/>
      <c r="AKN5" s="657"/>
      <c r="AKO5" s="657"/>
      <c r="AKP5" s="657"/>
      <c r="AKQ5" s="657"/>
      <c r="AKR5" s="657"/>
      <c r="AKS5" s="657"/>
      <c r="AKT5" s="657"/>
      <c r="AKU5" s="657"/>
      <c r="AKV5" s="657"/>
      <c r="AKW5" s="657"/>
      <c r="AKX5" s="657"/>
      <c r="AKY5" s="657"/>
      <c r="AKZ5" s="657"/>
      <c r="ALA5" s="657"/>
      <c r="ALB5" s="657"/>
      <c r="ALC5" s="657"/>
      <c r="ALD5" s="657"/>
      <c r="ALE5" s="657"/>
      <c r="ALF5" s="657"/>
      <c r="ALG5" s="657"/>
      <c r="ALH5" s="657"/>
      <c r="ALI5" s="657"/>
      <c r="ALJ5" s="657"/>
      <c r="ALK5" s="657"/>
      <c r="ALL5" s="657"/>
      <c r="ALM5" s="657"/>
      <c r="ALN5" s="657"/>
      <c r="ALO5" s="657"/>
      <c r="ALP5" s="657"/>
      <c r="ALQ5" s="657"/>
      <c r="ALR5" s="657"/>
      <c r="ALS5" s="657"/>
      <c r="ALT5" s="657"/>
      <c r="ALU5" s="657"/>
      <c r="ALV5" s="657"/>
      <c r="ALW5" s="657"/>
      <c r="ALX5" s="657"/>
      <c r="ALY5" s="657"/>
      <c r="ALZ5" s="657"/>
      <c r="AMA5" s="657"/>
      <c r="AMB5" s="657"/>
      <c r="AMC5" s="657"/>
      <c r="AMD5" s="657"/>
      <c r="AME5" s="657"/>
      <c r="AMF5" s="657"/>
      <c r="AMG5" s="657"/>
      <c r="AMH5" s="657"/>
      <c r="AMI5" s="657"/>
      <c r="AMJ5" s="657"/>
      <c r="AMK5" s="657"/>
      <c r="AML5" s="657"/>
      <c r="AMM5" s="657"/>
      <c r="AMN5" s="657"/>
      <c r="AMO5" s="657"/>
      <c r="AMP5" s="657"/>
      <c r="AMQ5" s="657"/>
      <c r="AMR5" s="657"/>
      <c r="AMS5" s="657"/>
      <c r="AMT5" s="657"/>
      <c r="AMU5" s="657"/>
      <c r="AMV5" s="657"/>
      <c r="AMW5" s="657"/>
      <c r="AMX5" s="657"/>
      <c r="AMY5" s="657"/>
      <c r="AMZ5" s="657"/>
      <c r="ANA5" s="657"/>
      <c r="ANB5" s="657"/>
      <c r="ANC5" s="657"/>
      <c r="AND5" s="657"/>
      <c r="ANE5" s="657"/>
      <c r="ANF5" s="657"/>
      <c r="ANG5" s="657"/>
      <c r="ANH5" s="657"/>
      <c r="ANI5" s="657"/>
      <c r="ANJ5" s="657"/>
      <c r="ANK5" s="657"/>
      <c r="ANL5" s="657"/>
      <c r="ANM5" s="657"/>
      <c r="ANN5" s="657"/>
      <c r="ANO5" s="657"/>
      <c r="ANP5" s="657"/>
      <c r="ANQ5" s="657"/>
      <c r="ANR5" s="657"/>
      <c r="ANS5" s="657"/>
      <c r="ANT5" s="657"/>
      <c r="ANU5" s="657"/>
      <c r="ANV5" s="657"/>
      <c r="ANW5" s="657"/>
      <c r="ANX5" s="657"/>
      <c r="ANY5" s="657"/>
      <c r="ANZ5" s="657"/>
      <c r="AOA5" s="657"/>
      <c r="AOB5" s="657"/>
      <c r="AOC5" s="657"/>
      <c r="AOD5" s="657"/>
      <c r="AOE5" s="657"/>
      <c r="AOF5" s="657"/>
      <c r="AOG5" s="657"/>
      <c r="AOH5" s="657"/>
      <c r="AOI5" s="657"/>
      <c r="AOJ5" s="657"/>
      <c r="AOK5" s="657"/>
      <c r="AOL5" s="657"/>
      <c r="AOM5" s="657"/>
      <c r="AON5" s="657"/>
      <c r="AOO5" s="657"/>
      <c r="AOP5" s="657"/>
      <c r="AOQ5" s="657"/>
      <c r="AOR5" s="657"/>
      <c r="AOS5" s="657"/>
      <c r="AOT5" s="657"/>
      <c r="AOU5" s="657"/>
      <c r="AOV5" s="657"/>
      <c r="AOW5" s="657"/>
      <c r="AOX5" s="657"/>
      <c r="AOY5" s="657"/>
      <c r="AOZ5" s="657"/>
      <c r="APA5" s="657"/>
      <c r="APB5" s="657"/>
      <c r="APC5" s="657"/>
      <c r="APD5" s="657"/>
      <c r="APE5" s="657"/>
      <c r="APF5" s="657"/>
      <c r="APG5" s="657"/>
      <c r="APH5" s="657"/>
      <c r="API5" s="657"/>
      <c r="APJ5" s="657"/>
      <c r="APK5" s="657"/>
      <c r="APL5" s="657"/>
      <c r="APM5" s="657"/>
      <c r="APN5" s="657"/>
      <c r="APO5" s="657"/>
      <c r="APP5" s="657"/>
      <c r="APQ5" s="657"/>
      <c r="APR5" s="657"/>
      <c r="APS5" s="657"/>
      <c r="APT5" s="657"/>
      <c r="APU5" s="657"/>
      <c r="APV5" s="657"/>
      <c r="APW5" s="657"/>
      <c r="APX5" s="657"/>
      <c r="APY5" s="657"/>
      <c r="APZ5" s="657"/>
      <c r="AQA5" s="657"/>
      <c r="AQB5" s="657"/>
      <c r="AQC5" s="657"/>
      <c r="AQD5" s="657"/>
      <c r="AQE5" s="657"/>
      <c r="AQF5" s="657"/>
      <c r="AQG5" s="657"/>
      <c r="AQH5" s="657"/>
      <c r="AQI5" s="657"/>
      <c r="AQJ5" s="657"/>
      <c r="AQK5" s="657"/>
      <c r="AQL5" s="657"/>
      <c r="AQM5" s="657"/>
      <c r="AQN5" s="657"/>
      <c r="AQO5" s="657"/>
      <c r="AQP5" s="657"/>
      <c r="AQQ5" s="657"/>
      <c r="AQR5" s="657"/>
      <c r="AQS5" s="657"/>
      <c r="AQT5" s="657"/>
      <c r="AQU5" s="657"/>
      <c r="AQV5" s="657"/>
      <c r="AQW5" s="657"/>
      <c r="AQX5" s="657"/>
      <c r="AQY5" s="657"/>
      <c r="AQZ5" s="657"/>
      <c r="ARA5" s="657"/>
      <c r="ARB5" s="657"/>
      <c r="ARC5" s="657"/>
      <c r="ARD5" s="657"/>
      <c r="ARE5" s="657"/>
      <c r="ARF5" s="657"/>
      <c r="ARG5" s="657"/>
      <c r="ARH5" s="657"/>
      <c r="ARI5" s="657"/>
      <c r="ARJ5" s="657"/>
      <c r="ARK5" s="657"/>
      <c r="ARL5" s="657"/>
      <c r="ARM5" s="657"/>
      <c r="ARN5" s="657"/>
      <c r="ARO5" s="657"/>
      <c r="ARP5" s="657"/>
      <c r="ARQ5" s="657"/>
      <c r="ARR5" s="657"/>
      <c r="ARS5" s="657"/>
      <c r="ART5" s="657"/>
      <c r="ARU5" s="657"/>
      <c r="ARV5" s="657"/>
      <c r="ARW5" s="657"/>
      <c r="ARX5" s="657"/>
      <c r="ARY5" s="657"/>
      <c r="ARZ5" s="657"/>
      <c r="ASA5" s="657"/>
      <c r="ASB5" s="657"/>
      <c r="ASC5" s="657"/>
      <c r="ASD5" s="657"/>
      <c r="ASE5" s="657"/>
      <c r="ASF5" s="657"/>
      <c r="ASG5" s="657"/>
      <c r="ASH5" s="657"/>
      <c r="ASI5" s="657"/>
      <c r="ASJ5" s="657"/>
      <c r="ASK5" s="657"/>
      <c r="ASL5" s="657"/>
      <c r="ASM5" s="657"/>
      <c r="ASN5" s="657"/>
      <c r="ASO5" s="657"/>
      <c r="ASP5" s="657"/>
      <c r="ASQ5" s="657"/>
      <c r="ASR5" s="657"/>
      <c r="ASS5" s="657"/>
      <c r="AST5" s="657"/>
      <c r="ASU5" s="657"/>
      <c r="ASV5" s="657"/>
      <c r="ASW5" s="657"/>
      <c r="ASX5" s="657"/>
      <c r="ASY5" s="657"/>
      <c r="ASZ5" s="657"/>
      <c r="ATA5" s="657"/>
      <c r="ATB5" s="657"/>
      <c r="ATC5" s="657"/>
      <c r="ATD5" s="657"/>
      <c r="ATE5" s="657"/>
      <c r="ATF5" s="657"/>
      <c r="ATG5" s="657"/>
      <c r="ATH5" s="657"/>
      <c r="ATI5" s="657"/>
      <c r="ATJ5" s="657"/>
      <c r="ATK5" s="657"/>
      <c r="ATL5" s="657"/>
      <c r="ATM5" s="657"/>
      <c r="ATN5" s="657"/>
      <c r="ATO5" s="657"/>
      <c r="ATP5" s="657"/>
      <c r="ATQ5" s="657"/>
      <c r="ATR5" s="657"/>
      <c r="ATS5" s="657"/>
      <c r="ATT5" s="657"/>
      <c r="ATU5" s="657"/>
      <c r="ATV5" s="657"/>
      <c r="ATW5" s="657"/>
      <c r="ATX5" s="657"/>
      <c r="ATY5" s="657"/>
      <c r="ATZ5" s="657"/>
      <c r="AUA5" s="657"/>
      <c r="AUB5" s="657"/>
      <c r="AUC5" s="657"/>
      <c r="AUD5" s="657"/>
      <c r="AUE5" s="657"/>
      <c r="AUF5" s="657"/>
      <c r="AUG5" s="657"/>
      <c r="AUH5" s="657"/>
      <c r="AUI5" s="657"/>
      <c r="AUJ5" s="657"/>
      <c r="AUK5" s="657"/>
      <c r="AUL5" s="657"/>
      <c r="AUM5" s="657"/>
      <c r="AUN5" s="657"/>
      <c r="AUO5" s="657"/>
      <c r="AUP5" s="657"/>
      <c r="AUQ5" s="657"/>
      <c r="AUR5" s="657"/>
      <c r="AUS5" s="657"/>
      <c r="AUT5" s="657"/>
      <c r="AUU5" s="657"/>
      <c r="AUV5" s="657"/>
      <c r="AUW5" s="657"/>
      <c r="AUX5" s="657"/>
      <c r="AUY5" s="657"/>
      <c r="AUZ5" s="657"/>
      <c r="AVA5" s="657"/>
      <c r="AVB5" s="657"/>
      <c r="AVC5" s="657"/>
      <c r="AVD5" s="657"/>
      <c r="AVE5" s="657"/>
      <c r="AVF5" s="657"/>
      <c r="AVG5" s="657"/>
      <c r="AVH5" s="657"/>
      <c r="AVI5" s="657"/>
      <c r="AVJ5" s="657"/>
      <c r="AVK5" s="657"/>
      <c r="AVL5" s="657"/>
      <c r="AVM5" s="657"/>
      <c r="AVN5" s="657"/>
      <c r="AVO5" s="657"/>
      <c r="AVP5" s="657"/>
      <c r="AVQ5" s="657"/>
      <c r="AVR5" s="657"/>
      <c r="AVS5" s="657"/>
      <c r="AVT5" s="657"/>
      <c r="AVU5" s="657"/>
      <c r="AVV5" s="657"/>
      <c r="AVW5" s="657"/>
      <c r="AVX5" s="657"/>
      <c r="AVY5" s="657"/>
      <c r="AVZ5" s="657"/>
      <c r="AWA5" s="657"/>
      <c r="AWB5" s="657"/>
      <c r="AWC5" s="657"/>
      <c r="AWD5" s="657"/>
      <c r="AWE5" s="657"/>
      <c r="AWF5" s="657"/>
      <c r="AWG5" s="657"/>
      <c r="AWH5" s="657"/>
      <c r="AWI5" s="657"/>
      <c r="AWJ5" s="657"/>
      <c r="AWK5" s="657"/>
      <c r="AWL5" s="657"/>
      <c r="AWM5" s="657"/>
      <c r="AWN5" s="657"/>
      <c r="AWO5" s="657"/>
      <c r="AWP5" s="657"/>
      <c r="AWQ5" s="657"/>
      <c r="AWR5" s="657"/>
      <c r="AWS5" s="657"/>
      <c r="AWT5" s="657"/>
      <c r="AWU5" s="657"/>
      <c r="AWV5" s="657"/>
      <c r="AWW5" s="657"/>
      <c r="AWX5" s="657"/>
      <c r="AWY5" s="657"/>
      <c r="AWZ5" s="657"/>
      <c r="AXA5" s="657"/>
      <c r="AXB5" s="657"/>
      <c r="AXC5" s="657"/>
      <c r="AXD5" s="657"/>
      <c r="AXE5" s="657"/>
      <c r="AXF5" s="657"/>
      <c r="AXG5" s="657"/>
      <c r="AXH5" s="657"/>
      <c r="AXI5" s="657"/>
      <c r="AXJ5" s="657"/>
      <c r="AXK5" s="657"/>
      <c r="AXL5" s="657"/>
      <c r="AXM5" s="657"/>
      <c r="AXN5" s="657"/>
      <c r="AXO5" s="657"/>
      <c r="AXP5" s="657"/>
      <c r="AXQ5" s="657"/>
      <c r="AXR5" s="657"/>
      <c r="AXS5" s="657"/>
      <c r="AXT5" s="657"/>
      <c r="AXU5" s="657"/>
      <c r="AXV5" s="657"/>
      <c r="AXW5" s="657"/>
      <c r="AXX5" s="657"/>
      <c r="AXY5" s="657"/>
      <c r="AXZ5" s="657"/>
      <c r="AYA5" s="657"/>
      <c r="AYB5" s="657"/>
      <c r="AYC5" s="657"/>
      <c r="AYD5" s="657"/>
      <c r="AYE5" s="657"/>
      <c r="AYF5" s="657"/>
      <c r="AYG5" s="657"/>
      <c r="AYH5" s="657"/>
      <c r="AYI5" s="657"/>
      <c r="AYJ5" s="657"/>
      <c r="AYK5" s="657"/>
      <c r="AYL5" s="657"/>
      <c r="AYM5" s="657"/>
      <c r="AYN5" s="657"/>
      <c r="AYO5" s="657"/>
      <c r="AYP5" s="657"/>
      <c r="AYQ5" s="657"/>
      <c r="AYR5" s="657"/>
      <c r="AYS5" s="657"/>
      <c r="AYT5" s="657"/>
      <c r="AYU5" s="657"/>
      <c r="AYV5" s="657"/>
      <c r="AYW5" s="657"/>
      <c r="AYX5" s="657"/>
      <c r="AYY5" s="657"/>
      <c r="AYZ5" s="657"/>
      <c r="AZA5" s="657"/>
      <c r="AZB5" s="657"/>
      <c r="AZC5" s="657"/>
      <c r="AZD5" s="657"/>
      <c r="AZE5" s="657"/>
      <c r="AZF5" s="657"/>
      <c r="AZG5" s="657"/>
      <c r="AZH5" s="657"/>
      <c r="AZI5" s="657"/>
      <c r="AZJ5" s="657"/>
      <c r="AZK5" s="657"/>
      <c r="AZL5" s="657"/>
      <c r="AZM5" s="657"/>
      <c r="AZN5" s="657"/>
      <c r="AZO5" s="657"/>
      <c r="AZP5" s="657"/>
      <c r="AZQ5" s="657"/>
      <c r="AZR5" s="657"/>
      <c r="AZS5" s="657"/>
      <c r="AZT5" s="657"/>
      <c r="AZU5" s="657"/>
      <c r="AZV5" s="657"/>
      <c r="AZW5" s="657"/>
      <c r="AZX5" s="657"/>
      <c r="AZY5" s="657"/>
      <c r="AZZ5" s="657"/>
      <c r="BAA5" s="657"/>
      <c r="BAB5" s="657"/>
      <c r="BAC5" s="657"/>
      <c r="BAD5" s="657"/>
      <c r="BAE5" s="657"/>
      <c r="BAF5" s="657"/>
      <c r="BAG5" s="657"/>
      <c r="BAH5" s="657"/>
      <c r="BAI5" s="657"/>
      <c r="BAJ5" s="657"/>
      <c r="BAK5" s="657"/>
      <c r="BAL5" s="657"/>
      <c r="BAM5" s="657"/>
      <c r="BAN5" s="657"/>
      <c r="BAO5" s="657"/>
      <c r="BAP5" s="657"/>
      <c r="BAQ5" s="657"/>
      <c r="BAR5" s="657"/>
      <c r="BAS5" s="657"/>
      <c r="BAT5" s="657"/>
      <c r="BAU5" s="657"/>
      <c r="BAV5" s="657"/>
      <c r="BAW5" s="657"/>
      <c r="BAX5" s="657"/>
      <c r="BAY5" s="657"/>
      <c r="BAZ5" s="657"/>
      <c r="BBA5" s="657"/>
      <c r="BBB5" s="657"/>
      <c r="BBC5" s="657"/>
      <c r="BBD5" s="657"/>
      <c r="BBE5" s="657"/>
      <c r="BBF5" s="657"/>
      <c r="BBG5" s="657"/>
      <c r="BBH5" s="657"/>
      <c r="BBI5" s="657"/>
      <c r="BBJ5" s="657"/>
      <c r="BBK5" s="657"/>
      <c r="BBL5" s="657"/>
      <c r="BBM5" s="657"/>
      <c r="BBN5" s="657"/>
      <c r="BBO5" s="657"/>
      <c r="BBP5" s="657"/>
      <c r="BBQ5" s="657"/>
      <c r="BBR5" s="657"/>
      <c r="BBS5" s="657"/>
      <c r="BBT5" s="657"/>
      <c r="BBU5" s="657"/>
      <c r="BBV5" s="657"/>
      <c r="BBW5" s="657"/>
      <c r="BBX5" s="657"/>
      <c r="BBY5" s="657"/>
      <c r="BBZ5" s="657"/>
      <c r="BCA5" s="657"/>
      <c r="BCB5" s="657"/>
      <c r="BCC5" s="657"/>
      <c r="BCD5" s="657"/>
      <c r="BCE5" s="657"/>
      <c r="BCF5" s="657"/>
      <c r="BCG5" s="657"/>
      <c r="BCH5" s="657"/>
      <c r="BCI5" s="657"/>
      <c r="BCJ5" s="657"/>
      <c r="BCK5" s="657"/>
      <c r="BCL5" s="657"/>
      <c r="BCM5" s="657"/>
      <c r="BCN5" s="657"/>
      <c r="BCO5" s="657"/>
      <c r="BCP5" s="657"/>
      <c r="BCQ5" s="657"/>
      <c r="BCR5" s="657"/>
      <c r="BCS5" s="657"/>
      <c r="BCT5" s="657"/>
      <c r="BCU5" s="657"/>
      <c r="BCV5" s="657"/>
      <c r="BCW5" s="657"/>
      <c r="BCX5" s="657"/>
      <c r="BCY5" s="657"/>
      <c r="BCZ5" s="657"/>
      <c r="BDA5" s="657"/>
      <c r="BDB5" s="657"/>
      <c r="BDC5" s="657"/>
      <c r="BDD5" s="657"/>
      <c r="BDE5" s="657"/>
      <c r="BDF5" s="657"/>
      <c r="BDG5" s="657"/>
      <c r="BDH5" s="657"/>
      <c r="BDI5" s="657"/>
      <c r="BDJ5" s="657"/>
      <c r="BDK5" s="657"/>
      <c r="BDL5" s="657"/>
      <c r="BDM5" s="657"/>
      <c r="BDN5" s="657"/>
      <c r="BDO5" s="657"/>
      <c r="BDP5" s="657"/>
      <c r="BDQ5" s="657"/>
      <c r="BDR5" s="657"/>
      <c r="BDS5" s="657"/>
      <c r="BDT5" s="657"/>
      <c r="BDU5" s="657"/>
      <c r="BDV5" s="657"/>
      <c r="BDW5" s="657"/>
      <c r="BDX5" s="657"/>
      <c r="BDY5" s="657"/>
      <c r="BDZ5" s="657"/>
      <c r="BEA5" s="657"/>
      <c r="BEB5" s="657"/>
      <c r="BEC5" s="657"/>
      <c r="BED5" s="657"/>
      <c r="BEE5" s="657"/>
      <c r="BEF5" s="657"/>
      <c r="BEG5" s="657"/>
      <c r="BEH5" s="657"/>
      <c r="BEI5" s="657"/>
      <c r="BEJ5" s="657"/>
      <c r="BEK5" s="657"/>
      <c r="BEL5" s="657"/>
      <c r="BEM5" s="657"/>
      <c r="BEN5" s="657"/>
      <c r="BEO5" s="657"/>
      <c r="BEP5" s="657"/>
      <c r="BEQ5" s="657"/>
      <c r="BER5" s="657"/>
      <c r="BES5" s="657"/>
      <c r="BET5" s="657"/>
      <c r="BEU5" s="657"/>
      <c r="BEV5" s="657"/>
      <c r="BEW5" s="657"/>
      <c r="BEX5" s="657"/>
      <c r="BEY5" s="657"/>
      <c r="BEZ5" s="657"/>
      <c r="BFA5" s="657"/>
      <c r="BFB5" s="657"/>
      <c r="BFC5" s="657"/>
      <c r="BFD5" s="657"/>
      <c r="BFE5" s="657"/>
      <c r="BFF5" s="657"/>
      <c r="BFG5" s="657"/>
      <c r="BFH5" s="657"/>
      <c r="BFI5" s="657"/>
      <c r="BFJ5" s="657"/>
      <c r="BFK5" s="657"/>
      <c r="BFL5" s="657"/>
      <c r="BFM5" s="657"/>
      <c r="BFN5" s="657"/>
      <c r="BFO5" s="657"/>
      <c r="BFP5" s="657"/>
      <c r="BFQ5" s="657"/>
      <c r="BFR5" s="657"/>
      <c r="BFS5" s="657"/>
      <c r="BFT5" s="657"/>
      <c r="BFU5" s="657"/>
      <c r="BFV5" s="657"/>
      <c r="BFW5" s="657"/>
      <c r="BFX5" s="657"/>
      <c r="BFY5" s="657"/>
      <c r="BFZ5" s="657"/>
      <c r="BGA5" s="657"/>
      <c r="BGB5" s="657"/>
      <c r="BGC5" s="657"/>
      <c r="BGD5" s="657"/>
      <c r="BGE5" s="657"/>
      <c r="BGF5" s="657"/>
      <c r="BGG5" s="657"/>
      <c r="BGH5" s="657"/>
      <c r="BGI5" s="657"/>
      <c r="BGJ5" s="657"/>
      <c r="BGK5" s="657"/>
      <c r="BGL5" s="657"/>
      <c r="BGM5" s="657"/>
      <c r="BGN5" s="657"/>
      <c r="BGO5" s="657"/>
      <c r="BGP5" s="657"/>
      <c r="BGQ5" s="657"/>
      <c r="BGR5" s="657"/>
      <c r="BGS5" s="657"/>
      <c r="BGT5" s="657"/>
      <c r="BGU5" s="657"/>
      <c r="BGV5" s="657"/>
      <c r="BGW5" s="657"/>
      <c r="BGX5" s="657"/>
      <c r="BGY5" s="657"/>
      <c r="BGZ5" s="657"/>
      <c r="BHA5" s="657"/>
      <c r="BHB5" s="657"/>
      <c r="BHC5" s="657"/>
      <c r="BHD5" s="657"/>
      <c r="BHE5" s="657"/>
      <c r="BHF5" s="657"/>
      <c r="BHG5" s="657"/>
      <c r="BHH5" s="657"/>
      <c r="BHI5" s="657"/>
      <c r="BHJ5" s="657"/>
      <c r="BHK5" s="657"/>
      <c r="BHL5" s="657"/>
      <c r="BHM5" s="657"/>
      <c r="BHN5" s="657"/>
      <c r="BHO5" s="657"/>
      <c r="BHP5" s="657"/>
      <c r="BHQ5" s="657"/>
      <c r="BHR5" s="657"/>
      <c r="BHS5" s="657"/>
      <c r="BHT5" s="657"/>
      <c r="BHU5" s="657"/>
      <c r="BHV5" s="657"/>
      <c r="BHW5" s="657"/>
      <c r="BHX5" s="657"/>
      <c r="BHY5" s="657"/>
      <c r="BHZ5" s="657"/>
      <c r="BIA5" s="657"/>
      <c r="BIB5" s="657"/>
      <c r="BIC5" s="657"/>
      <c r="BID5" s="657"/>
      <c r="BIE5" s="657"/>
      <c r="BIF5" s="657"/>
      <c r="BIG5" s="657"/>
      <c r="BIH5" s="657"/>
      <c r="BII5" s="657"/>
      <c r="BIJ5" s="657"/>
      <c r="BIK5" s="657"/>
      <c r="BIL5" s="657"/>
      <c r="BIM5" s="657"/>
      <c r="BIN5" s="657"/>
      <c r="BIO5" s="657"/>
      <c r="BIP5" s="657"/>
      <c r="BIQ5" s="657"/>
      <c r="BIR5" s="657"/>
      <c r="BIS5" s="657"/>
      <c r="BIT5" s="657"/>
      <c r="BIU5" s="657"/>
      <c r="BIV5" s="657"/>
      <c r="BIW5" s="657"/>
      <c r="BIX5" s="657"/>
      <c r="BIY5" s="657"/>
      <c r="BIZ5" s="657"/>
      <c r="BJA5" s="657"/>
      <c r="BJB5" s="657"/>
      <c r="BJC5" s="657"/>
      <c r="BJD5" s="657"/>
      <c r="BJE5" s="657"/>
      <c r="BJF5" s="657"/>
      <c r="BJG5" s="657"/>
      <c r="BJH5" s="657"/>
      <c r="BJI5" s="657"/>
      <c r="BJJ5" s="657"/>
      <c r="BJK5" s="657"/>
      <c r="BJL5" s="657"/>
      <c r="BJM5" s="657"/>
      <c r="BJN5" s="657"/>
      <c r="BJO5" s="657"/>
      <c r="BJP5" s="657"/>
      <c r="BJQ5" s="657"/>
      <c r="BJR5" s="657"/>
      <c r="BJS5" s="657"/>
      <c r="BJT5" s="657"/>
      <c r="BJU5" s="657"/>
      <c r="BJV5" s="657"/>
      <c r="BJW5" s="657"/>
      <c r="BJX5" s="657"/>
      <c r="BJY5" s="657"/>
      <c r="BJZ5" s="657"/>
      <c r="BKA5" s="657"/>
      <c r="BKB5" s="657"/>
      <c r="BKC5" s="657"/>
      <c r="BKD5" s="657"/>
      <c r="BKE5" s="657"/>
      <c r="BKF5" s="657"/>
      <c r="BKG5" s="657"/>
      <c r="BKH5" s="657"/>
      <c r="BKI5" s="657"/>
      <c r="BKJ5" s="657"/>
      <c r="BKK5" s="657"/>
      <c r="BKL5" s="657"/>
      <c r="BKM5" s="657"/>
      <c r="BKN5" s="657"/>
      <c r="BKO5" s="657"/>
      <c r="BKP5" s="657"/>
      <c r="BKQ5" s="657"/>
      <c r="BKR5" s="657"/>
      <c r="BKS5" s="657"/>
      <c r="BKT5" s="657"/>
      <c r="BKU5" s="657"/>
      <c r="BKV5" s="657"/>
      <c r="BKW5" s="657"/>
      <c r="BKX5" s="657"/>
      <c r="BKY5" s="657"/>
      <c r="BKZ5" s="657"/>
      <c r="BLA5" s="657"/>
      <c r="BLB5" s="657"/>
      <c r="BLC5" s="657"/>
      <c r="BLD5" s="657"/>
      <c r="BLE5" s="657"/>
      <c r="BLF5" s="657"/>
      <c r="BLG5" s="657"/>
      <c r="BLH5" s="657"/>
      <c r="BLI5" s="657"/>
      <c r="BLJ5" s="657"/>
      <c r="BLK5" s="657"/>
      <c r="BLL5" s="657"/>
      <c r="BLM5" s="657"/>
      <c r="BLN5" s="657"/>
      <c r="BLO5" s="657"/>
      <c r="BLP5" s="657"/>
      <c r="BLQ5" s="657"/>
      <c r="BLR5" s="657"/>
      <c r="BLS5" s="657"/>
      <c r="BLT5" s="657"/>
      <c r="BLU5" s="657"/>
      <c r="BLV5" s="657"/>
      <c r="BLW5" s="657"/>
      <c r="BLX5" s="657"/>
      <c r="BLY5" s="657"/>
      <c r="BLZ5" s="657"/>
      <c r="BMA5" s="657"/>
      <c r="BMB5" s="657"/>
      <c r="BMC5" s="657"/>
      <c r="BMD5" s="657"/>
      <c r="BME5" s="657"/>
      <c r="BMF5" s="657"/>
      <c r="BMG5" s="657"/>
      <c r="BMH5" s="657"/>
      <c r="BMI5" s="657"/>
      <c r="BMJ5" s="657"/>
      <c r="BMK5" s="657"/>
      <c r="BML5" s="657"/>
      <c r="BMM5" s="657"/>
      <c r="BMN5" s="657"/>
      <c r="BMO5" s="657"/>
      <c r="BMP5" s="657"/>
      <c r="BMQ5" s="657"/>
      <c r="BMR5" s="657"/>
      <c r="BMS5" s="657"/>
      <c r="BMT5" s="657"/>
      <c r="BMU5" s="657"/>
      <c r="BMV5" s="657"/>
      <c r="BMW5" s="657"/>
      <c r="BMX5" s="657"/>
      <c r="BMY5" s="657"/>
      <c r="BMZ5" s="657"/>
      <c r="BNA5" s="657"/>
      <c r="BNB5" s="657"/>
      <c r="BNC5" s="657"/>
      <c r="BND5" s="657"/>
      <c r="BNE5" s="657"/>
    </row>
    <row r="6" spans="1:1721" s="12" customFormat="1" ht="12" x14ac:dyDescent="0.25">
      <c r="A6" s="11" t="s">
        <v>15</v>
      </c>
      <c r="B6" s="11" t="s">
        <v>16</v>
      </c>
      <c r="C6" s="11" t="s">
        <v>17</v>
      </c>
      <c r="D6" s="11" t="s">
        <v>18</v>
      </c>
      <c r="E6" s="11" t="s">
        <v>19</v>
      </c>
      <c r="F6" s="11" t="s">
        <v>20</v>
      </c>
      <c r="G6" s="11" t="s">
        <v>21</v>
      </c>
      <c r="H6" s="11" t="s">
        <v>22</v>
      </c>
      <c r="I6" s="11" t="s">
        <v>23</v>
      </c>
      <c r="J6" s="11" t="s">
        <v>24</v>
      </c>
      <c r="K6" s="11" t="s">
        <v>25</v>
      </c>
      <c r="L6" s="11" t="s">
        <v>26</v>
      </c>
      <c r="M6" s="11" t="s">
        <v>5</v>
      </c>
      <c r="N6" s="11" t="s">
        <v>27</v>
      </c>
      <c r="O6" s="11" t="s">
        <v>28</v>
      </c>
      <c r="P6" s="11" t="s">
        <v>29</v>
      </c>
      <c r="Q6" s="11" t="s">
        <v>30</v>
      </c>
      <c r="R6" s="11" t="s">
        <v>31</v>
      </c>
      <c r="S6" s="11" t="s">
        <v>32</v>
      </c>
      <c r="T6" s="11" t="s">
        <v>11</v>
      </c>
      <c r="U6" s="11" t="s">
        <v>33</v>
      </c>
      <c r="V6" s="11" t="s">
        <v>34</v>
      </c>
      <c r="W6" s="11" t="s">
        <v>35</v>
      </c>
      <c r="X6" s="11" t="s">
        <v>36</v>
      </c>
      <c r="Y6" s="11" t="s">
        <v>37</v>
      </c>
      <c r="Z6" s="11" t="s">
        <v>38</v>
      </c>
      <c r="AA6" s="11" t="s">
        <v>39</v>
      </c>
      <c r="AB6" s="11" t="s">
        <v>40</v>
      </c>
      <c r="AC6" s="11" t="s">
        <v>41</v>
      </c>
      <c r="AD6" s="11" t="s">
        <v>42</v>
      </c>
      <c r="AE6" s="11" t="s">
        <v>43</v>
      </c>
      <c r="AF6" s="11" t="s">
        <v>40</v>
      </c>
      <c r="AG6" s="11" t="s">
        <v>41</v>
      </c>
      <c r="AH6" s="11" t="s">
        <v>42</v>
      </c>
      <c r="AI6" s="11" t="s">
        <v>43</v>
      </c>
      <c r="AJ6" s="11" t="s">
        <v>40</v>
      </c>
      <c r="AK6" s="11" t="s">
        <v>41</v>
      </c>
      <c r="AL6" s="11" t="s">
        <v>42</v>
      </c>
      <c r="AM6" s="11" t="s">
        <v>43</v>
      </c>
      <c r="AN6" s="11" t="s">
        <v>40</v>
      </c>
      <c r="AO6" s="11" t="s">
        <v>41</v>
      </c>
      <c r="AP6" s="11" t="s">
        <v>42</v>
      </c>
      <c r="AQ6" s="11" t="s">
        <v>43</v>
      </c>
      <c r="AR6" s="11" t="s">
        <v>40</v>
      </c>
      <c r="AS6" s="11" t="s">
        <v>41</v>
      </c>
      <c r="AT6" s="11" t="s">
        <v>42</v>
      </c>
      <c r="AU6" s="11" t="s">
        <v>43</v>
      </c>
      <c r="AV6" s="11" t="s">
        <v>40</v>
      </c>
      <c r="AW6" s="11" t="s">
        <v>41</v>
      </c>
      <c r="AX6" s="11" t="s">
        <v>42</v>
      </c>
      <c r="AY6" s="11" t="s">
        <v>43</v>
      </c>
      <c r="AZ6" s="11" t="s">
        <v>40</v>
      </c>
      <c r="BA6" s="11" t="s">
        <v>41</v>
      </c>
      <c r="BB6" s="11" t="s">
        <v>42</v>
      </c>
      <c r="BC6" s="11" t="s">
        <v>43</v>
      </c>
      <c r="BD6" s="11" t="s">
        <v>40</v>
      </c>
      <c r="BE6" s="11" t="s">
        <v>41</v>
      </c>
      <c r="BF6" s="11" t="s">
        <v>42</v>
      </c>
      <c r="BG6" s="11" t="s">
        <v>43</v>
      </c>
      <c r="BH6" s="11" t="s">
        <v>40</v>
      </c>
      <c r="BI6" s="11" t="s">
        <v>41</v>
      </c>
      <c r="BJ6" s="11" t="s">
        <v>42</v>
      </c>
      <c r="BK6" s="11" t="s">
        <v>43</v>
      </c>
      <c r="BL6" s="11" t="s">
        <v>40</v>
      </c>
      <c r="BM6" s="11" t="s">
        <v>41</v>
      </c>
      <c r="BN6" s="11" t="s">
        <v>42</v>
      </c>
      <c r="BO6" s="11" t="s">
        <v>43</v>
      </c>
      <c r="BP6" s="11" t="s">
        <v>40</v>
      </c>
      <c r="BQ6" s="11" t="s">
        <v>41</v>
      </c>
      <c r="BR6" s="11" t="s">
        <v>42</v>
      </c>
      <c r="BS6" s="11" t="s">
        <v>43</v>
      </c>
      <c r="BT6" s="11" t="s">
        <v>40</v>
      </c>
      <c r="BU6" s="11" t="s">
        <v>41</v>
      </c>
      <c r="BV6" s="11" t="s">
        <v>42</v>
      </c>
      <c r="BW6" s="11" t="s">
        <v>43</v>
      </c>
      <c r="BX6" s="657"/>
      <c r="BY6" s="657"/>
      <c r="BZ6" s="657"/>
      <c r="CA6" s="657"/>
      <c r="CB6" s="657"/>
      <c r="CC6" s="657"/>
      <c r="CD6" s="657"/>
      <c r="CE6" s="657"/>
      <c r="CF6" s="657"/>
      <c r="CG6" s="657"/>
      <c r="CH6" s="657"/>
      <c r="CI6" s="657"/>
      <c r="CJ6" s="657"/>
      <c r="CK6" s="657"/>
      <c r="CL6" s="657"/>
      <c r="CM6" s="657"/>
      <c r="CN6" s="657"/>
      <c r="CO6" s="657"/>
      <c r="CP6" s="657"/>
      <c r="CQ6" s="657"/>
      <c r="CR6" s="657"/>
      <c r="CS6" s="657"/>
      <c r="CT6" s="657"/>
      <c r="CU6" s="657"/>
      <c r="CV6" s="657"/>
      <c r="CW6" s="657"/>
      <c r="CX6" s="657"/>
      <c r="CY6" s="657"/>
      <c r="CZ6" s="657"/>
      <c r="DA6" s="657"/>
      <c r="DB6" s="657"/>
      <c r="DC6" s="657"/>
      <c r="DD6" s="657"/>
      <c r="DE6" s="657"/>
      <c r="DF6" s="657"/>
      <c r="DG6" s="657"/>
      <c r="DH6" s="657"/>
      <c r="DI6" s="657"/>
      <c r="DJ6" s="657"/>
      <c r="DK6" s="657"/>
      <c r="DL6" s="657"/>
      <c r="DM6" s="657"/>
      <c r="DN6" s="657"/>
      <c r="DO6" s="657"/>
      <c r="DP6" s="657"/>
      <c r="DQ6" s="657"/>
      <c r="DR6" s="657"/>
      <c r="DS6" s="657"/>
      <c r="DT6" s="657"/>
      <c r="DU6" s="657"/>
      <c r="DV6" s="657"/>
      <c r="DW6" s="657"/>
      <c r="DX6" s="657"/>
      <c r="DY6" s="657"/>
      <c r="DZ6" s="657"/>
      <c r="EA6" s="657"/>
      <c r="EB6" s="657"/>
      <c r="EC6" s="657"/>
      <c r="ED6" s="657"/>
      <c r="EE6" s="657"/>
      <c r="EF6" s="657"/>
      <c r="EG6" s="657"/>
      <c r="EH6" s="657"/>
      <c r="EI6" s="657"/>
      <c r="EJ6" s="657"/>
      <c r="EK6" s="657"/>
      <c r="EL6" s="657"/>
      <c r="EM6" s="657"/>
      <c r="EN6" s="657"/>
      <c r="EO6" s="657"/>
      <c r="EP6" s="657"/>
      <c r="EQ6" s="657"/>
      <c r="ER6" s="657"/>
      <c r="ES6" s="657"/>
      <c r="ET6" s="657"/>
      <c r="EU6" s="657"/>
      <c r="EV6" s="657"/>
      <c r="EW6" s="657"/>
      <c r="EX6" s="657"/>
      <c r="EY6" s="657"/>
      <c r="EZ6" s="657"/>
      <c r="FA6" s="657"/>
      <c r="FB6" s="657"/>
      <c r="FC6" s="657"/>
      <c r="FD6" s="657"/>
      <c r="FE6" s="657"/>
      <c r="FF6" s="657"/>
      <c r="FG6" s="657"/>
      <c r="FH6" s="657"/>
      <c r="FI6" s="657"/>
      <c r="FJ6" s="657"/>
      <c r="FK6" s="657"/>
      <c r="FL6" s="657"/>
      <c r="FM6" s="657"/>
      <c r="FN6" s="657"/>
      <c r="FO6" s="657"/>
      <c r="FP6" s="657"/>
      <c r="FQ6" s="657"/>
      <c r="FR6" s="657"/>
      <c r="FS6" s="657"/>
      <c r="FT6" s="657"/>
      <c r="FU6" s="657"/>
      <c r="FV6" s="657"/>
      <c r="FW6" s="657"/>
      <c r="FX6" s="657"/>
      <c r="FY6" s="657"/>
      <c r="FZ6" s="657"/>
      <c r="GA6" s="657"/>
      <c r="GB6" s="657"/>
      <c r="GC6" s="657"/>
      <c r="GD6" s="657"/>
      <c r="GE6" s="657"/>
      <c r="GF6" s="657"/>
      <c r="GG6" s="657"/>
      <c r="GH6" s="657"/>
      <c r="GI6" s="657"/>
      <c r="GJ6" s="657"/>
      <c r="GK6" s="657"/>
      <c r="GL6" s="657"/>
      <c r="GM6" s="657"/>
      <c r="GN6" s="657"/>
      <c r="GO6" s="657"/>
      <c r="GP6" s="657"/>
      <c r="GQ6" s="657"/>
      <c r="GR6" s="657"/>
      <c r="GS6" s="657"/>
      <c r="GT6" s="657"/>
      <c r="GU6" s="657"/>
      <c r="GV6" s="657"/>
      <c r="GW6" s="657"/>
      <c r="GX6" s="657"/>
      <c r="GY6" s="657"/>
      <c r="GZ6" s="657"/>
      <c r="HA6" s="657"/>
      <c r="HB6" s="657"/>
      <c r="HC6" s="657"/>
      <c r="HD6" s="657"/>
      <c r="HE6" s="657"/>
      <c r="HF6" s="657"/>
      <c r="HG6" s="657"/>
      <c r="HH6" s="657"/>
      <c r="HI6" s="657"/>
      <c r="HJ6" s="657"/>
      <c r="HK6" s="657"/>
      <c r="HL6" s="657"/>
      <c r="HM6" s="657"/>
      <c r="HN6" s="657"/>
      <c r="HO6" s="657"/>
      <c r="HP6" s="657"/>
      <c r="HQ6" s="657"/>
      <c r="HR6" s="657"/>
      <c r="HS6" s="657"/>
      <c r="HT6" s="657"/>
      <c r="HU6" s="657"/>
      <c r="HV6" s="657"/>
      <c r="HW6" s="657"/>
      <c r="HX6" s="657"/>
      <c r="HY6" s="657"/>
      <c r="HZ6" s="657"/>
      <c r="IA6" s="657"/>
      <c r="IB6" s="657"/>
      <c r="IC6" s="657"/>
      <c r="ID6" s="657"/>
      <c r="IE6" s="657"/>
      <c r="IF6" s="657"/>
      <c r="IG6" s="657"/>
      <c r="IH6" s="657"/>
      <c r="II6" s="657"/>
      <c r="IJ6" s="657"/>
      <c r="IK6" s="657"/>
      <c r="IL6" s="657"/>
      <c r="IM6" s="657"/>
      <c r="IN6" s="657"/>
      <c r="IO6" s="657"/>
      <c r="IP6" s="657"/>
      <c r="IQ6" s="657"/>
      <c r="IR6" s="657"/>
      <c r="IS6" s="657"/>
      <c r="IT6" s="657"/>
      <c r="IU6" s="657"/>
      <c r="IV6" s="657"/>
      <c r="IW6" s="657"/>
      <c r="IX6" s="657"/>
      <c r="IY6" s="657"/>
      <c r="IZ6" s="657"/>
      <c r="JA6" s="657"/>
      <c r="JB6" s="657"/>
      <c r="JC6" s="657"/>
      <c r="JD6" s="657"/>
      <c r="JE6" s="657"/>
      <c r="JF6" s="657"/>
      <c r="JG6" s="657"/>
      <c r="JH6" s="657"/>
      <c r="JI6" s="657"/>
      <c r="JJ6" s="657"/>
      <c r="JK6" s="657"/>
      <c r="JL6" s="657"/>
      <c r="JM6" s="657"/>
      <c r="JN6" s="657"/>
      <c r="JO6" s="657"/>
      <c r="JP6" s="657"/>
      <c r="JQ6" s="657"/>
      <c r="JR6" s="657"/>
      <c r="JS6" s="657"/>
      <c r="JT6" s="657"/>
      <c r="JU6" s="657"/>
      <c r="JV6" s="657"/>
      <c r="JW6" s="657"/>
      <c r="JX6" s="657"/>
      <c r="JY6" s="657"/>
      <c r="JZ6" s="657"/>
      <c r="KA6" s="657"/>
      <c r="KB6" s="657"/>
      <c r="KC6" s="657"/>
      <c r="KD6" s="657"/>
      <c r="KE6" s="657"/>
      <c r="KF6" s="657"/>
      <c r="KG6" s="657"/>
      <c r="KH6" s="657"/>
      <c r="KI6" s="657"/>
      <c r="KJ6" s="657"/>
      <c r="KK6" s="657"/>
      <c r="KL6" s="657"/>
      <c r="KM6" s="657"/>
      <c r="KN6" s="657"/>
      <c r="KO6" s="657"/>
      <c r="KP6" s="657"/>
      <c r="KQ6" s="657"/>
      <c r="KR6" s="657"/>
      <c r="KS6" s="657"/>
      <c r="KT6" s="657"/>
      <c r="KU6" s="657"/>
      <c r="KV6" s="657"/>
      <c r="KW6" s="657"/>
      <c r="KX6" s="657"/>
      <c r="KY6" s="657"/>
      <c r="KZ6" s="657"/>
      <c r="LA6" s="657"/>
      <c r="LB6" s="657"/>
      <c r="LC6" s="657"/>
      <c r="LD6" s="657"/>
      <c r="LE6" s="657"/>
      <c r="LF6" s="657"/>
      <c r="LG6" s="657"/>
      <c r="LH6" s="657"/>
      <c r="LI6" s="657"/>
      <c r="LJ6" s="657"/>
      <c r="LK6" s="657"/>
      <c r="LL6" s="657"/>
      <c r="LM6" s="657"/>
      <c r="LN6" s="657"/>
      <c r="LO6" s="657"/>
      <c r="LP6" s="657"/>
      <c r="LQ6" s="657"/>
      <c r="LR6" s="657"/>
      <c r="LS6" s="657"/>
      <c r="LT6" s="657"/>
      <c r="LU6" s="657"/>
      <c r="LV6" s="657"/>
      <c r="LW6" s="657"/>
      <c r="LX6" s="657"/>
      <c r="LY6" s="657"/>
      <c r="LZ6" s="657"/>
      <c r="MA6" s="657"/>
      <c r="MB6" s="657"/>
      <c r="MC6" s="657"/>
      <c r="MD6" s="657"/>
      <c r="ME6" s="657"/>
      <c r="MF6" s="657"/>
      <c r="MG6" s="657"/>
      <c r="MH6" s="657"/>
      <c r="MI6" s="657"/>
      <c r="MJ6" s="657"/>
      <c r="MK6" s="657"/>
      <c r="ML6" s="657"/>
      <c r="MM6" s="657"/>
      <c r="MN6" s="657"/>
      <c r="MO6" s="657"/>
      <c r="MP6" s="657"/>
      <c r="MQ6" s="657"/>
      <c r="MR6" s="657"/>
      <c r="MS6" s="657"/>
      <c r="MT6" s="657"/>
      <c r="MU6" s="657"/>
      <c r="MV6" s="657"/>
      <c r="MW6" s="657"/>
      <c r="MX6" s="657"/>
      <c r="MY6" s="657"/>
      <c r="MZ6" s="657"/>
      <c r="NA6" s="657"/>
      <c r="NB6" s="657"/>
      <c r="NC6" s="657"/>
      <c r="ND6" s="657"/>
      <c r="NE6" s="657"/>
      <c r="NF6" s="657"/>
      <c r="NG6" s="657"/>
      <c r="NH6" s="657"/>
      <c r="NI6" s="657"/>
      <c r="NJ6" s="657"/>
      <c r="NK6" s="657"/>
      <c r="NL6" s="657"/>
      <c r="NM6" s="657"/>
      <c r="NN6" s="657"/>
      <c r="NO6" s="657"/>
      <c r="NP6" s="657"/>
      <c r="NQ6" s="657"/>
      <c r="NR6" s="657"/>
      <c r="NS6" s="657"/>
      <c r="NT6" s="657"/>
      <c r="NU6" s="657"/>
      <c r="NV6" s="657"/>
      <c r="NW6" s="657"/>
      <c r="NX6" s="657"/>
      <c r="NY6" s="657"/>
      <c r="NZ6" s="657"/>
      <c r="OA6" s="657"/>
      <c r="OB6" s="657"/>
      <c r="OC6" s="657"/>
      <c r="OD6" s="657"/>
      <c r="OE6" s="657"/>
      <c r="OF6" s="657"/>
      <c r="OG6" s="657"/>
      <c r="OH6" s="657"/>
      <c r="OI6" s="657"/>
      <c r="OJ6" s="657"/>
      <c r="OK6" s="657"/>
      <c r="OL6" s="657"/>
      <c r="OM6" s="657"/>
      <c r="ON6" s="657"/>
      <c r="OO6" s="657"/>
      <c r="OP6" s="657"/>
      <c r="OQ6" s="657"/>
      <c r="OR6" s="657"/>
      <c r="OS6" s="657"/>
      <c r="OT6" s="657"/>
      <c r="OU6" s="657"/>
      <c r="OV6" s="657"/>
      <c r="OW6" s="657"/>
      <c r="OX6" s="657"/>
      <c r="OY6" s="657"/>
      <c r="OZ6" s="657"/>
      <c r="PA6" s="657"/>
      <c r="PB6" s="657"/>
      <c r="PC6" s="657"/>
      <c r="PD6" s="657"/>
      <c r="PE6" s="657"/>
      <c r="PF6" s="657"/>
      <c r="PG6" s="657"/>
      <c r="PH6" s="657"/>
      <c r="PI6" s="657"/>
      <c r="PJ6" s="657"/>
      <c r="PK6" s="657"/>
      <c r="PL6" s="657"/>
      <c r="PM6" s="657"/>
      <c r="PN6" s="657"/>
      <c r="PO6" s="657"/>
      <c r="PP6" s="657"/>
      <c r="PQ6" s="657"/>
      <c r="PR6" s="657"/>
      <c r="PS6" s="657"/>
      <c r="PT6" s="657"/>
      <c r="PU6" s="657"/>
      <c r="PV6" s="657"/>
      <c r="PW6" s="657"/>
      <c r="PX6" s="657"/>
      <c r="PY6" s="657"/>
      <c r="PZ6" s="657"/>
      <c r="QA6" s="657"/>
      <c r="QB6" s="657"/>
      <c r="QC6" s="657"/>
      <c r="QD6" s="657"/>
      <c r="QE6" s="657"/>
      <c r="QF6" s="657"/>
      <c r="QG6" s="657"/>
      <c r="QH6" s="657"/>
      <c r="QI6" s="657"/>
      <c r="QJ6" s="657"/>
      <c r="QK6" s="657"/>
      <c r="QL6" s="657"/>
      <c r="QM6" s="657"/>
      <c r="QN6" s="657"/>
      <c r="QO6" s="657"/>
      <c r="QP6" s="657"/>
      <c r="QQ6" s="657"/>
      <c r="QR6" s="657"/>
      <c r="QS6" s="657"/>
      <c r="QT6" s="657"/>
      <c r="QU6" s="657"/>
      <c r="QV6" s="657"/>
      <c r="QW6" s="657"/>
      <c r="QX6" s="657"/>
      <c r="QY6" s="657"/>
      <c r="QZ6" s="657"/>
      <c r="RA6" s="657"/>
      <c r="RB6" s="657"/>
      <c r="RC6" s="657"/>
      <c r="RD6" s="657"/>
      <c r="RE6" s="657"/>
      <c r="RF6" s="657"/>
      <c r="RG6" s="657"/>
      <c r="RH6" s="657"/>
      <c r="RI6" s="657"/>
      <c r="RJ6" s="657"/>
      <c r="RK6" s="657"/>
      <c r="RL6" s="657"/>
      <c r="RM6" s="657"/>
      <c r="RN6" s="657"/>
      <c r="RO6" s="657"/>
      <c r="RP6" s="657"/>
      <c r="RQ6" s="657"/>
      <c r="RR6" s="657"/>
      <c r="RS6" s="657"/>
      <c r="RT6" s="657"/>
      <c r="RU6" s="657"/>
      <c r="RV6" s="657"/>
      <c r="RW6" s="657"/>
      <c r="RX6" s="657"/>
      <c r="RY6" s="657"/>
      <c r="RZ6" s="657"/>
      <c r="SA6" s="657"/>
      <c r="SB6" s="657"/>
      <c r="SC6" s="657"/>
      <c r="SD6" s="657"/>
      <c r="SE6" s="657"/>
      <c r="SF6" s="657"/>
      <c r="SG6" s="657"/>
      <c r="SH6" s="657"/>
      <c r="SI6" s="657"/>
      <c r="SJ6" s="657"/>
      <c r="SK6" s="657"/>
      <c r="SL6" s="657"/>
      <c r="SM6" s="657"/>
      <c r="SN6" s="657"/>
      <c r="SO6" s="657"/>
      <c r="SP6" s="657"/>
      <c r="SQ6" s="657"/>
      <c r="SR6" s="657"/>
      <c r="SS6" s="657"/>
      <c r="ST6" s="657"/>
      <c r="SU6" s="657"/>
      <c r="SV6" s="657"/>
      <c r="SW6" s="657"/>
      <c r="SX6" s="657"/>
      <c r="SY6" s="657"/>
      <c r="SZ6" s="657"/>
      <c r="TA6" s="657"/>
      <c r="TB6" s="657"/>
      <c r="TC6" s="657"/>
      <c r="TD6" s="657"/>
      <c r="TE6" s="657"/>
      <c r="TF6" s="657"/>
      <c r="TG6" s="657"/>
      <c r="TH6" s="657"/>
      <c r="TI6" s="657"/>
      <c r="TJ6" s="657"/>
      <c r="TK6" s="657"/>
      <c r="TL6" s="657"/>
      <c r="TM6" s="657"/>
      <c r="TN6" s="657"/>
      <c r="TO6" s="657"/>
      <c r="TP6" s="657"/>
      <c r="TQ6" s="657"/>
      <c r="TR6" s="657"/>
      <c r="TS6" s="657"/>
      <c r="TT6" s="657"/>
      <c r="TU6" s="657"/>
      <c r="TV6" s="657"/>
      <c r="TW6" s="657"/>
      <c r="TX6" s="657"/>
      <c r="TY6" s="657"/>
      <c r="TZ6" s="657"/>
      <c r="UA6" s="657"/>
      <c r="UB6" s="657"/>
      <c r="UC6" s="657"/>
      <c r="UD6" s="657"/>
      <c r="UE6" s="657"/>
      <c r="UF6" s="657"/>
      <c r="UG6" s="657"/>
      <c r="UH6" s="657"/>
      <c r="UI6" s="657"/>
      <c r="UJ6" s="657"/>
      <c r="UK6" s="657"/>
      <c r="UL6" s="657"/>
      <c r="UM6" s="657"/>
      <c r="UN6" s="657"/>
      <c r="UO6" s="657"/>
      <c r="UP6" s="657"/>
      <c r="UQ6" s="657"/>
      <c r="UR6" s="657"/>
      <c r="US6" s="657"/>
      <c r="UT6" s="657"/>
      <c r="UU6" s="657"/>
      <c r="UV6" s="657"/>
      <c r="UW6" s="657"/>
      <c r="UX6" s="657"/>
      <c r="UY6" s="657"/>
      <c r="UZ6" s="657"/>
      <c r="VA6" s="657"/>
      <c r="VB6" s="657"/>
      <c r="VC6" s="657"/>
      <c r="VD6" s="657"/>
      <c r="VE6" s="657"/>
      <c r="VF6" s="657"/>
      <c r="VG6" s="657"/>
      <c r="VH6" s="657"/>
      <c r="VI6" s="657"/>
      <c r="VJ6" s="657"/>
      <c r="VK6" s="657"/>
      <c r="VL6" s="657"/>
      <c r="VM6" s="657"/>
      <c r="VN6" s="657"/>
      <c r="VO6" s="657"/>
      <c r="VP6" s="657"/>
      <c r="VQ6" s="657"/>
      <c r="VR6" s="657"/>
      <c r="VS6" s="657"/>
      <c r="VT6" s="657"/>
      <c r="VU6" s="657"/>
      <c r="VV6" s="657"/>
      <c r="VW6" s="657"/>
      <c r="VX6" s="657"/>
      <c r="VY6" s="657"/>
      <c r="VZ6" s="657"/>
      <c r="WA6" s="657"/>
      <c r="WB6" s="657"/>
      <c r="WC6" s="657"/>
      <c r="WD6" s="657"/>
      <c r="WE6" s="657"/>
      <c r="WF6" s="657"/>
      <c r="WG6" s="657"/>
      <c r="WH6" s="657"/>
      <c r="WI6" s="657"/>
      <c r="WJ6" s="657"/>
      <c r="WK6" s="657"/>
      <c r="WL6" s="657"/>
      <c r="WM6" s="657"/>
      <c r="WN6" s="657"/>
      <c r="WO6" s="657"/>
      <c r="WP6" s="657"/>
      <c r="WQ6" s="657"/>
      <c r="WR6" s="657"/>
      <c r="WS6" s="657"/>
      <c r="WT6" s="657"/>
      <c r="WU6" s="657"/>
      <c r="WV6" s="657"/>
      <c r="WW6" s="657"/>
      <c r="WX6" s="657"/>
      <c r="WY6" s="657"/>
      <c r="WZ6" s="657"/>
      <c r="XA6" s="657"/>
      <c r="XB6" s="657"/>
      <c r="XC6" s="657"/>
      <c r="XD6" s="657"/>
      <c r="XE6" s="657"/>
      <c r="XF6" s="657"/>
      <c r="XG6" s="657"/>
      <c r="XH6" s="657"/>
      <c r="XI6" s="657"/>
      <c r="XJ6" s="657"/>
      <c r="XK6" s="657"/>
      <c r="XL6" s="657"/>
      <c r="XM6" s="657"/>
      <c r="XN6" s="657"/>
      <c r="XO6" s="657"/>
      <c r="XP6" s="657"/>
      <c r="XQ6" s="657"/>
      <c r="XR6" s="657"/>
      <c r="XS6" s="657"/>
      <c r="XT6" s="657"/>
      <c r="XU6" s="657"/>
      <c r="XV6" s="657"/>
      <c r="XW6" s="657"/>
      <c r="XX6" s="657"/>
      <c r="XY6" s="657"/>
      <c r="XZ6" s="657"/>
      <c r="YA6" s="657"/>
      <c r="YB6" s="657"/>
      <c r="YC6" s="657"/>
      <c r="YD6" s="657"/>
      <c r="YE6" s="657"/>
      <c r="YF6" s="657"/>
      <c r="YG6" s="657"/>
      <c r="YH6" s="657"/>
      <c r="YI6" s="657"/>
      <c r="YJ6" s="657"/>
      <c r="YK6" s="657"/>
      <c r="YL6" s="657"/>
      <c r="YM6" s="657"/>
      <c r="YN6" s="657"/>
      <c r="YO6" s="657"/>
      <c r="YP6" s="657"/>
      <c r="YQ6" s="657"/>
      <c r="YR6" s="657"/>
      <c r="YS6" s="657"/>
      <c r="YT6" s="657"/>
      <c r="YU6" s="657"/>
      <c r="YV6" s="657"/>
      <c r="YW6" s="657"/>
      <c r="YX6" s="657"/>
      <c r="YY6" s="657"/>
      <c r="YZ6" s="657"/>
      <c r="ZA6" s="657"/>
      <c r="ZB6" s="657"/>
      <c r="ZC6" s="657"/>
      <c r="ZD6" s="657"/>
      <c r="ZE6" s="657"/>
      <c r="ZF6" s="657"/>
      <c r="ZG6" s="657"/>
      <c r="ZH6" s="657"/>
      <c r="ZI6" s="657"/>
      <c r="ZJ6" s="657"/>
      <c r="ZK6" s="657"/>
      <c r="ZL6" s="657"/>
      <c r="ZM6" s="657"/>
      <c r="ZN6" s="657"/>
      <c r="ZO6" s="657"/>
      <c r="ZP6" s="657"/>
      <c r="ZQ6" s="657"/>
      <c r="ZR6" s="657"/>
      <c r="ZS6" s="657"/>
      <c r="ZT6" s="657"/>
      <c r="ZU6" s="657"/>
      <c r="ZV6" s="657"/>
      <c r="ZW6" s="657"/>
      <c r="ZX6" s="657"/>
      <c r="ZY6" s="657"/>
      <c r="ZZ6" s="657"/>
      <c r="AAA6" s="657"/>
      <c r="AAB6" s="657"/>
      <c r="AAC6" s="657"/>
      <c r="AAD6" s="657"/>
      <c r="AAE6" s="657"/>
      <c r="AAF6" s="657"/>
      <c r="AAG6" s="657"/>
      <c r="AAH6" s="657"/>
      <c r="AAI6" s="657"/>
      <c r="AAJ6" s="657"/>
      <c r="AAK6" s="657"/>
      <c r="AAL6" s="657"/>
      <c r="AAM6" s="657"/>
      <c r="AAN6" s="657"/>
      <c r="AAO6" s="657"/>
      <c r="AAP6" s="657"/>
      <c r="AAQ6" s="657"/>
      <c r="AAR6" s="657"/>
      <c r="AAS6" s="657"/>
      <c r="AAT6" s="657"/>
      <c r="AAU6" s="657"/>
      <c r="AAV6" s="657"/>
      <c r="AAW6" s="657"/>
      <c r="AAX6" s="657"/>
      <c r="AAY6" s="657"/>
      <c r="AAZ6" s="657"/>
      <c r="ABA6" s="657"/>
      <c r="ABB6" s="657"/>
      <c r="ABC6" s="657"/>
      <c r="ABD6" s="657"/>
      <c r="ABE6" s="657"/>
      <c r="ABF6" s="657"/>
      <c r="ABG6" s="657"/>
      <c r="ABH6" s="657"/>
      <c r="ABI6" s="657"/>
      <c r="ABJ6" s="657"/>
      <c r="ABK6" s="657"/>
      <c r="ABL6" s="657"/>
      <c r="ABM6" s="657"/>
      <c r="ABN6" s="657"/>
      <c r="ABO6" s="657"/>
      <c r="ABP6" s="657"/>
      <c r="ABQ6" s="657"/>
      <c r="ABR6" s="657"/>
      <c r="ABS6" s="657"/>
      <c r="ABT6" s="657"/>
      <c r="ABU6" s="657"/>
      <c r="ABV6" s="657"/>
      <c r="ABW6" s="657"/>
      <c r="ABX6" s="657"/>
      <c r="ABY6" s="657"/>
      <c r="ABZ6" s="657"/>
      <c r="ACA6" s="657"/>
      <c r="ACB6" s="657"/>
      <c r="ACC6" s="657"/>
      <c r="ACD6" s="657"/>
      <c r="ACE6" s="657"/>
      <c r="ACF6" s="657"/>
      <c r="ACG6" s="657"/>
      <c r="ACH6" s="657"/>
      <c r="ACI6" s="657"/>
      <c r="ACJ6" s="657"/>
      <c r="ACK6" s="657"/>
      <c r="ACL6" s="657"/>
      <c r="ACM6" s="657"/>
      <c r="ACN6" s="657"/>
      <c r="ACO6" s="657"/>
      <c r="ACP6" s="657"/>
      <c r="ACQ6" s="657"/>
      <c r="ACR6" s="657"/>
      <c r="ACS6" s="657"/>
      <c r="ACT6" s="657"/>
      <c r="ACU6" s="657"/>
      <c r="ACV6" s="657"/>
      <c r="ACW6" s="657"/>
      <c r="ACX6" s="657"/>
      <c r="ACY6" s="657"/>
      <c r="ACZ6" s="657"/>
      <c r="ADA6" s="657"/>
      <c r="ADB6" s="657"/>
      <c r="ADC6" s="657"/>
      <c r="ADD6" s="657"/>
      <c r="ADE6" s="657"/>
      <c r="ADF6" s="657"/>
      <c r="ADG6" s="657"/>
      <c r="ADH6" s="657"/>
      <c r="ADI6" s="657"/>
      <c r="ADJ6" s="657"/>
      <c r="ADK6" s="657"/>
      <c r="ADL6" s="657"/>
      <c r="ADM6" s="657"/>
      <c r="ADN6" s="657"/>
      <c r="ADO6" s="657"/>
      <c r="ADP6" s="657"/>
      <c r="ADQ6" s="657"/>
      <c r="ADR6" s="657"/>
      <c r="ADS6" s="657"/>
      <c r="ADT6" s="657"/>
      <c r="ADU6" s="657"/>
      <c r="ADV6" s="657"/>
      <c r="ADW6" s="657"/>
      <c r="ADX6" s="657"/>
      <c r="ADY6" s="657"/>
      <c r="ADZ6" s="657"/>
      <c r="AEA6" s="657"/>
      <c r="AEB6" s="657"/>
      <c r="AEC6" s="657"/>
      <c r="AED6" s="657"/>
      <c r="AEE6" s="657"/>
      <c r="AEF6" s="657"/>
      <c r="AEG6" s="657"/>
      <c r="AEH6" s="657"/>
      <c r="AEI6" s="657"/>
      <c r="AEJ6" s="657"/>
      <c r="AEK6" s="657"/>
      <c r="AEL6" s="657"/>
      <c r="AEM6" s="657"/>
      <c r="AEN6" s="657"/>
      <c r="AEO6" s="657"/>
      <c r="AEP6" s="657"/>
      <c r="AEQ6" s="657"/>
      <c r="AER6" s="657"/>
      <c r="AES6" s="657"/>
      <c r="AET6" s="657"/>
      <c r="AEU6" s="657"/>
      <c r="AEV6" s="657"/>
      <c r="AEW6" s="657"/>
      <c r="AEX6" s="657"/>
      <c r="AEY6" s="657"/>
      <c r="AEZ6" s="657"/>
      <c r="AFA6" s="657"/>
      <c r="AFB6" s="657"/>
      <c r="AFC6" s="657"/>
      <c r="AFD6" s="657"/>
      <c r="AFE6" s="657"/>
      <c r="AFF6" s="657"/>
      <c r="AFG6" s="657"/>
      <c r="AFH6" s="657"/>
      <c r="AFI6" s="657"/>
      <c r="AFJ6" s="657"/>
      <c r="AFK6" s="657"/>
      <c r="AFL6" s="657"/>
      <c r="AFM6" s="657"/>
      <c r="AFN6" s="657"/>
      <c r="AFO6" s="657"/>
      <c r="AFP6" s="657"/>
      <c r="AFQ6" s="657"/>
      <c r="AFR6" s="657"/>
      <c r="AFS6" s="657"/>
      <c r="AFT6" s="657"/>
      <c r="AFU6" s="657"/>
      <c r="AFV6" s="657"/>
      <c r="AFW6" s="657"/>
      <c r="AFX6" s="657"/>
      <c r="AFY6" s="657"/>
      <c r="AFZ6" s="657"/>
      <c r="AGA6" s="657"/>
      <c r="AGB6" s="657"/>
      <c r="AGC6" s="657"/>
      <c r="AGD6" s="657"/>
      <c r="AGE6" s="657"/>
      <c r="AGF6" s="657"/>
      <c r="AGG6" s="657"/>
      <c r="AGH6" s="657"/>
      <c r="AGI6" s="657"/>
      <c r="AGJ6" s="657"/>
      <c r="AGK6" s="657"/>
      <c r="AGL6" s="657"/>
      <c r="AGM6" s="657"/>
      <c r="AGN6" s="657"/>
      <c r="AGO6" s="657"/>
      <c r="AGP6" s="657"/>
      <c r="AGQ6" s="657"/>
      <c r="AGR6" s="657"/>
      <c r="AGS6" s="657"/>
      <c r="AGT6" s="657"/>
      <c r="AGU6" s="657"/>
      <c r="AGV6" s="657"/>
      <c r="AGW6" s="657"/>
      <c r="AGX6" s="657"/>
      <c r="AGY6" s="657"/>
      <c r="AGZ6" s="657"/>
      <c r="AHA6" s="657"/>
      <c r="AHB6" s="657"/>
      <c r="AHC6" s="657"/>
      <c r="AHD6" s="657"/>
      <c r="AHE6" s="657"/>
      <c r="AHF6" s="657"/>
      <c r="AHG6" s="657"/>
      <c r="AHH6" s="657"/>
      <c r="AHI6" s="657"/>
      <c r="AHJ6" s="657"/>
      <c r="AHK6" s="657"/>
      <c r="AHL6" s="657"/>
      <c r="AHM6" s="657"/>
      <c r="AHN6" s="657"/>
      <c r="AHO6" s="657"/>
      <c r="AHP6" s="657"/>
      <c r="AHQ6" s="657"/>
      <c r="AHR6" s="657"/>
      <c r="AHS6" s="657"/>
      <c r="AHT6" s="657"/>
      <c r="AHU6" s="657"/>
      <c r="AHV6" s="657"/>
      <c r="AHW6" s="657"/>
      <c r="AHX6" s="657"/>
      <c r="AHY6" s="657"/>
      <c r="AHZ6" s="657"/>
      <c r="AIA6" s="657"/>
      <c r="AIB6" s="657"/>
      <c r="AIC6" s="657"/>
      <c r="AID6" s="657"/>
      <c r="AIE6" s="657"/>
      <c r="AIF6" s="657"/>
      <c r="AIG6" s="657"/>
      <c r="AIH6" s="657"/>
      <c r="AII6" s="657"/>
      <c r="AIJ6" s="657"/>
      <c r="AIK6" s="657"/>
      <c r="AIL6" s="657"/>
      <c r="AIM6" s="657"/>
      <c r="AIN6" s="657"/>
      <c r="AIO6" s="657"/>
      <c r="AIP6" s="657"/>
      <c r="AIQ6" s="657"/>
      <c r="AIR6" s="657"/>
      <c r="AIS6" s="657"/>
      <c r="AIT6" s="657"/>
      <c r="AIU6" s="657"/>
      <c r="AIV6" s="657"/>
      <c r="AIW6" s="657"/>
      <c r="AIX6" s="657"/>
      <c r="AIY6" s="657"/>
      <c r="AIZ6" s="657"/>
      <c r="AJA6" s="657"/>
      <c r="AJB6" s="657"/>
      <c r="AJC6" s="657"/>
      <c r="AJD6" s="657"/>
      <c r="AJE6" s="657"/>
      <c r="AJF6" s="657"/>
      <c r="AJG6" s="657"/>
      <c r="AJH6" s="657"/>
      <c r="AJI6" s="657"/>
      <c r="AJJ6" s="657"/>
      <c r="AJK6" s="657"/>
      <c r="AJL6" s="657"/>
      <c r="AJM6" s="657"/>
      <c r="AJN6" s="657"/>
      <c r="AJO6" s="657"/>
      <c r="AJP6" s="657"/>
      <c r="AJQ6" s="657"/>
      <c r="AJR6" s="657"/>
      <c r="AJS6" s="657"/>
      <c r="AJT6" s="657"/>
      <c r="AJU6" s="657"/>
      <c r="AJV6" s="657"/>
      <c r="AJW6" s="657"/>
      <c r="AJX6" s="657"/>
      <c r="AJY6" s="657"/>
      <c r="AJZ6" s="657"/>
      <c r="AKA6" s="657"/>
      <c r="AKB6" s="657"/>
      <c r="AKC6" s="657"/>
      <c r="AKD6" s="657"/>
      <c r="AKE6" s="657"/>
      <c r="AKF6" s="657"/>
      <c r="AKG6" s="657"/>
      <c r="AKH6" s="657"/>
      <c r="AKI6" s="657"/>
      <c r="AKJ6" s="657"/>
      <c r="AKK6" s="657"/>
      <c r="AKL6" s="657"/>
      <c r="AKM6" s="657"/>
      <c r="AKN6" s="657"/>
      <c r="AKO6" s="657"/>
      <c r="AKP6" s="657"/>
      <c r="AKQ6" s="657"/>
      <c r="AKR6" s="657"/>
      <c r="AKS6" s="657"/>
      <c r="AKT6" s="657"/>
      <c r="AKU6" s="657"/>
      <c r="AKV6" s="657"/>
      <c r="AKW6" s="657"/>
      <c r="AKX6" s="657"/>
      <c r="AKY6" s="657"/>
      <c r="AKZ6" s="657"/>
      <c r="ALA6" s="657"/>
      <c r="ALB6" s="657"/>
      <c r="ALC6" s="657"/>
      <c r="ALD6" s="657"/>
      <c r="ALE6" s="657"/>
      <c r="ALF6" s="657"/>
      <c r="ALG6" s="657"/>
      <c r="ALH6" s="657"/>
      <c r="ALI6" s="657"/>
      <c r="ALJ6" s="657"/>
      <c r="ALK6" s="657"/>
      <c r="ALL6" s="657"/>
      <c r="ALM6" s="657"/>
      <c r="ALN6" s="657"/>
      <c r="ALO6" s="657"/>
      <c r="ALP6" s="657"/>
      <c r="ALQ6" s="657"/>
      <c r="ALR6" s="657"/>
      <c r="ALS6" s="657"/>
      <c r="ALT6" s="657"/>
      <c r="ALU6" s="657"/>
      <c r="ALV6" s="657"/>
      <c r="ALW6" s="657"/>
      <c r="ALX6" s="657"/>
      <c r="ALY6" s="657"/>
      <c r="ALZ6" s="657"/>
      <c r="AMA6" s="657"/>
      <c r="AMB6" s="657"/>
      <c r="AMC6" s="657"/>
      <c r="AMD6" s="657"/>
      <c r="AME6" s="657"/>
      <c r="AMF6" s="657"/>
      <c r="AMG6" s="657"/>
      <c r="AMH6" s="657"/>
      <c r="AMI6" s="657"/>
      <c r="AMJ6" s="657"/>
      <c r="AMK6" s="657"/>
      <c r="AML6" s="657"/>
      <c r="AMM6" s="657"/>
      <c r="AMN6" s="657"/>
      <c r="AMO6" s="657"/>
      <c r="AMP6" s="657"/>
      <c r="AMQ6" s="657"/>
      <c r="AMR6" s="657"/>
      <c r="AMS6" s="657"/>
      <c r="AMT6" s="657"/>
      <c r="AMU6" s="657"/>
      <c r="AMV6" s="657"/>
      <c r="AMW6" s="657"/>
      <c r="AMX6" s="657"/>
      <c r="AMY6" s="657"/>
      <c r="AMZ6" s="657"/>
      <c r="ANA6" s="657"/>
      <c r="ANB6" s="657"/>
      <c r="ANC6" s="657"/>
      <c r="AND6" s="657"/>
      <c r="ANE6" s="657"/>
      <c r="ANF6" s="657"/>
      <c r="ANG6" s="657"/>
      <c r="ANH6" s="657"/>
      <c r="ANI6" s="657"/>
      <c r="ANJ6" s="657"/>
      <c r="ANK6" s="657"/>
      <c r="ANL6" s="657"/>
      <c r="ANM6" s="657"/>
      <c r="ANN6" s="657"/>
      <c r="ANO6" s="657"/>
      <c r="ANP6" s="657"/>
      <c r="ANQ6" s="657"/>
      <c r="ANR6" s="657"/>
      <c r="ANS6" s="657"/>
      <c r="ANT6" s="657"/>
      <c r="ANU6" s="657"/>
      <c r="ANV6" s="657"/>
      <c r="ANW6" s="657"/>
      <c r="ANX6" s="657"/>
      <c r="ANY6" s="657"/>
      <c r="ANZ6" s="657"/>
      <c r="AOA6" s="657"/>
      <c r="AOB6" s="657"/>
      <c r="AOC6" s="657"/>
      <c r="AOD6" s="657"/>
      <c r="AOE6" s="657"/>
      <c r="AOF6" s="657"/>
      <c r="AOG6" s="657"/>
      <c r="AOH6" s="657"/>
      <c r="AOI6" s="657"/>
      <c r="AOJ6" s="657"/>
      <c r="AOK6" s="657"/>
      <c r="AOL6" s="657"/>
      <c r="AOM6" s="657"/>
      <c r="AON6" s="657"/>
      <c r="AOO6" s="657"/>
      <c r="AOP6" s="657"/>
      <c r="AOQ6" s="657"/>
      <c r="AOR6" s="657"/>
      <c r="AOS6" s="657"/>
      <c r="AOT6" s="657"/>
      <c r="AOU6" s="657"/>
      <c r="AOV6" s="657"/>
      <c r="AOW6" s="657"/>
      <c r="AOX6" s="657"/>
      <c r="AOY6" s="657"/>
      <c r="AOZ6" s="657"/>
      <c r="APA6" s="657"/>
      <c r="APB6" s="657"/>
      <c r="APC6" s="657"/>
      <c r="APD6" s="657"/>
      <c r="APE6" s="657"/>
      <c r="APF6" s="657"/>
      <c r="APG6" s="657"/>
      <c r="APH6" s="657"/>
      <c r="API6" s="657"/>
      <c r="APJ6" s="657"/>
      <c r="APK6" s="657"/>
      <c r="APL6" s="657"/>
      <c r="APM6" s="657"/>
      <c r="APN6" s="657"/>
      <c r="APO6" s="657"/>
      <c r="APP6" s="657"/>
      <c r="APQ6" s="657"/>
      <c r="APR6" s="657"/>
      <c r="APS6" s="657"/>
      <c r="APT6" s="657"/>
      <c r="APU6" s="657"/>
      <c r="APV6" s="657"/>
      <c r="APW6" s="657"/>
      <c r="APX6" s="657"/>
      <c r="APY6" s="657"/>
      <c r="APZ6" s="657"/>
      <c r="AQA6" s="657"/>
      <c r="AQB6" s="657"/>
      <c r="AQC6" s="657"/>
      <c r="AQD6" s="657"/>
      <c r="AQE6" s="657"/>
      <c r="AQF6" s="657"/>
      <c r="AQG6" s="657"/>
      <c r="AQH6" s="657"/>
      <c r="AQI6" s="657"/>
      <c r="AQJ6" s="657"/>
      <c r="AQK6" s="657"/>
      <c r="AQL6" s="657"/>
      <c r="AQM6" s="657"/>
      <c r="AQN6" s="657"/>
      <c r="AQO6" s="657"/>
      <c r="AQP6" s="657"/>
      <c r="AQQ6" s="657"/>
      <c r="AQR6" s="657"/>
      <c r="AQS6" s="657"/>
      <c r="AQT6" s="657"/>
      <c r="AQU6" s="657"/>
      <c r="AQV6" s="657"/>
      <c r="AQW6" s="657"/>
      <c r="AQX6" s="657"/>
      <c r="AQY6" s="657"/>
      <c r="AQZ6" s="657"/>
      <c r="ARA6" s="657"/>
      <c r="ARB6" s="657"/>
      <c r="ARC6" s="657"/>
      <c r="ARD6" s="657"/>
      <c r="ARE6" s="657"/>
      <c r="ARF6" s="657"/>
      <c r="ARG6" s="657"/>
      <c r="ARH6" s="657"/>
      <c r="ARI6" s="657"/>
      <c r="ARJ6" s="657"/>
      <c r="ARK6" s="657"/>
      <c r="ARL6" s="657"/>
      <c r="ARM6" s="657"/>
      <c r="ARN6" s="657"/>
      <c r="ARO6" s="657"/>
      <c r="ARP6" s="657"/>
      <c r="ARQ6" s="657"/>
      <c r="ARR6" s="657"/>
      <c r="ARS6" s="657"/>
      <c r="ART6" s="657"/>
      <c r="ARU6" s="657"/>
      <c r="ARV6" s="657"/>
      <c r="ARW6" s="657"/>
      <c r="ARX6" s="657"/>
      <c r="ARY6" s="657"/>
      <c r="ARZ6" s="657"/>
      <c r="ASA6" s="657"/>
      <c r="ASB6" s="657"/>
      <c r="ASC6" s="657"/>
      <c r="ASD6" s="657"/>
      <c r="ASE6" s="657"/>
      <c r="ASF6" s="657"/>
      <c r="ASG6" s="657"/>
      <c r="ASH6" s="657"/>
      <c r="ASI6" s="657"/>
      <c r="ASJ6" s="657"/>
      <c r="ASK6" s="657"/>
      <c r="ASL6" s="657"/>
      <c r="ASM6" s="657"/>
      <c r="ASN6" s="657"/>
      <c r="ASO6" s="657"/>
      <c r="ASP6" s="657"/>
      <c r="ASQ6" s="657"/>
      <c r="ASR6" s="657"/>
      <c r="ASS6" s="657"/>
      <c r="AST6" s="657"/>
      <c r="ASU6" s="657"/>
      <c r="ASV6" s="657"/>
      <c r="ASW6" s="657"/>
      <c r="ASX6" s="657"/>
      <c r="ASY6" s="657"/>
      <c r="ASZ6" s="657"/>
      <c r="ATA6" s="657"/>
      <c r="ATB6" s="657"/>
      <c r="ATC6" s="657"/>
      <c r="ATD6" s="657"/>
      <c r="ATE6" s="657"/>
      <c r="ATF6" s="657"/>
      <c r="ATG6" s="657"/>
      <c r="ATH6" s="657"/>
      <c r="ATI6" s="657"/>
      <c r="ATJ6" s="657"/>
      <c r="ATK6" s="657"/>
      <c r="ATL6" s="657"/>
      <c r="ATM6" s="657"/>
      <c r="ATN6" s="657"/>
      <c r="ATO6" s="657"/>
      <c r="ATP6" s="657"/>
      <c r="ATQ6" s="657"/>
      <c r="ATR6" s="657"/>
      <c r="ATS6" s="657"/>
      <c r="ATT6" s="657"/>
      <c r="ATU6" s="657"/>
      <c r="ATV6" s="657"/>
      <c r="ATW6" s="657"/>
      <c r="ATX6" s="657"/>
      <c r="ATY6" s="657"/>
      <c r="ATZ6" s="657"/>
      <c r="AUA6" s="657"/>
      <c r="AUB6" s="657"/>
      <c r="AUC6" s="657"/>
      <c r="AUD6" s="657"/>
      <c r="AUE6" s="657"/>
      <c r="AUF6" s="657"/>
      <c r="AUG6" s="657"/>
      <c r="AUH6" s="657"/>
      <c r="AUI6" s="657"/>
      <c r="AUJ6" s="657"/>
      <c r="AUK6" s="657"/>
      <c r="AUL6" s="657"/>
      <c r="AUM6" s="657"/>
      <c r="AUN6" s="657"/>
      <c r="AUO6" s="657"/>
      <c r="AUP6" s="657"/>
      <c r="AUQ6" s="657"/>
      <c r="AUR6" s="657"/>
      <c r="AUS6" s="657"/>
      <c r="AUT6" s="657"/>
      <c r="AUU6" s="657"/>
      <c r="AUV6" s="657"/>
      <c r="AUW6" s="657"/>
      <c r="AUX6" s="657"/>
      <c r="AUY6" s="657"/>
      <c r="AUZ6" s="657"/>
      <c r="AVA6" s="657"/>
      <c r="AVB6" s="657"/>
      <c r="AVC6" s="657"/>
      <c r="AVD6" s="657"/>
      <c r="AVE6" s="657"/>
      <c r="AVF6" s="657"/>
      <c r="AVG6" s="657"/>
      <c r="AVH6" s="657"/>
      <c r="AVI6" s="657"/>
      <c r="AVJ6" s="657"/>
      <c r="AVK6" s="657"/>
      <c r="AVL6" s="657"/>
      <c r="AVM6" s="657"/>
      <c r="AVN6" s="657"/>
      <c r="AVO6" s="657"/>
      <c r="AVP6" s="657"/>
      <c r="AVQ6" s="657"/>
      <c r="AVR6" s="657"/>
      <c r="AVS6" s="657"/>
      <c r="AVT6" s="657"/>
      <c r="AVU6" s="657"/>
      <c r="AVV6" s="657"/>
      <c r="AVW6" s="657"/>
      <c r="AVX6" s="657"/>
      <c r="AVY6" s="657"/>
      <c r="AVZ6" s="657"/>
      <c r="AWA6" s="657"/>
      <c r="AWB6" s="657"/>
      <c r="AWC6" s="657"/>
      <c r="AWD6" s="657"/>
      <c r="AWE6" s="657"/>
      <c r="AWF6" s="657"/>
      <c r="AWG6" s="657"/>
      <c r="AWH6" s="657"/>
      <c r="AWI6" s="657"/>
      <c r="AWJ6" s="657"/>
      <c r="AWK6" s="657"/>
      <c r="AWL6" s="657"/>
      <c r="AWM6" s="657"/>
      <c r="AWN6" s="657"/>
      <c r="AWO6" s="657"/>
      <c r="AWP6" s="657"/>
      <c r="AWQ6" s="657"/>
      <c r="AWR6" s="657"/>
      <c r="AWS6" s="657"/>
      <c r="AWT6" s="657"/>
      <c r="AWU6" s="657"/>
      <c r="AWV6" s="657"/>
      <c r="AWW6" s="657"/>
      <c r="AWX6" s="657"/>
      <c r="AWY6" s="657"/>
      <c r="AWZ6" s="657"/>
      <c r="AXA6" s="657"/>
      <c r="AXB6" s="657"/>
      <c r="AXC6" s="657"/>
      <c r="AXD6" s="657"/>
      <c r="AXE6" s="657"/>
      <c r="AXF6" s="657"/>
      <c r="AXG6" s="657"/>
      <c r="AXH6" s="657"/>
      <c r="AXI6" s="657"/>
      <c r="AXJ6" s="657"/>
      <c r="AXK6" s="657"/>
      <c r="AXL6" s="657"/>
      <c r="AXM6" s="657"/>
      <c r="AXN6" s="657"/>
      <c r="AXO6" s="657"/>
      <c r="AXP6" s="657"/>
      <c r="AXQ6" s="657"/>
      <c r="AXR6" s="657"/>
      <c r="AXS6" s="657"/>
      <c r="AXT6" s="657"/>
      <c r="AXU6" s="657"/>
      <c r="AXV6" s="657"/>
      <c r="AXW6" s="657"/>
      <c r="AXX6" s="657"/>
      <c r="AXY6" s="657"/>
      <c r="AXZ6" s="657"/>
      <c r="AYA6" s="657"/>
      <c r="AYB6" s="657"/>
      <c r="AYC6" s="657"/>
      <c r="AYD6" s="657"/>
      <c r="AYE6" s="657"/>
      <c r="AYF6" s="657"/>
      <c r="AYG6" s="657"/>
      <c r="AYH6" s="657"/>
      <c r="AYI6" s="657"/>
      <c r="AYJ6" s="657"/>
      <c r="AYK6" s="657"/>
      <c r="AYL6" s="657"/>
      <c r="AYM6" s="657"/>
      <c r="AYN6" s="657"/>
      <c r="AYO6" s="657"/>
      <c r="AYP6" s="657"/>
      <c r="AYQ6" s="657"/>
      <c r="AYR6" s="657"/>
      <c r="AYS6" s="657"/>
      <c r="AYT6" s="657"/>
      <c r="AYU6" s="657"/>
      <c r="AYV6" s="657"/>
      <c r="AYW6" s="657"/>
      <c r="AYX6" s="657"/>
      <c r="AYY6" s="657"/>
      <c r="AYZ6" s="657"/>
      <c r="AZA6" s="657"/>
      <c r="AZB6" s="657"/>
      <c r="AZC6" s="657"/>
      <c r="AZD6" s="657"/>
      <c r="AZE6" s="657"/>
      <c r="AZF6" s="657"/>
      <c r="AZG6" s="657"/>
      <c r="AZH6" s="657"/>
      <c r="AZI6" s="657"/>
      <c r="AZJ6" s="657"/>
      <c r="AZK6" s="657"/>
      <c r="AZL6" s="657"/>
      <c r="AZM6" s="657"/>
      <c r="AZN6" s="657"/>
      <c r="AZO6" s="657"/>
      <c r="AZP6" s="657"/>
      <c r="AZQ6" s="657"/>
      <c r="AZR6" s="657"/>
      <c r="AZS6" s="657"/>
      <c r="AZT6" s="657"/>
      <c r="AZU6" s="657"/>
      <c r="AZV6" s="657"/>
      <c r="AZW6" s="657"/>
      <c r="AZX6" s="657"/>
      <c r="AZY6" s="657"/>
      <c r="AZZ6" s="657"/>
      <c r="BAA6" s="657"/>
      <c r="BAB6" s="657"/>
      <c r="BAC6" s="657"/>
      <c r="BAD6" s="657"/>
      <c r="BAE6" s="657"/>
      <c r="BAF6" s="657"/>
      <c r="BAG6" s="657"/>
      <c r="BAH6" s="657"/>
      <c r="BAI6" s="657"/>
      <c r="BAJ6" s="657"/>
      <c r="BAK6" s="657"/>
      <c r="BAL6" s="657"/>
      <c r="BAM6" s="657"/>
      <c r="BAN6" s="657"/>
      <c r="BAO6" s="657"/>
      <c r="BAP6" s="657"/>
      <c r="BAQ6" s="657"/>
      <c r="BAR6" s="657"/>
      <c r="BAS6" s="657"/>
      <c r="BAT6" s="657"/>
      <c r="BAU6" s="657"/>
      <c r="BAV6" s="657"/>
      <c r="BAW6" s="657"/>
      <c r="BAX6" s="657"/>
      <c r="BAY6" s="657"/>
      <c r="BAZ6" s="657"/>
      <c r="BBA6" s="657"/>
      <c r="BBB6" s="657"/>
      <c r="BBC6" s="657"/>
      <c r="BBD6" s="657"/>
      <c r="BBE6" s="657"/>
      <c r="BBF6" s="657"/>
      <c r="BBG6" s="657"/>
      <c r="BBH6" s="657"/>
      <c r="BBI6" s="657"/>
      <c r="BBJ6" s="657"/>
      <c r="BBK6" s="657"/>
      <c r="BBL6" s="657"/>
      <c r="BBM6" s="657"/>
      <c r="BBN6" s="657"/>
      <c r="BBO6" s="657"/>
      <c r="BBP6" s="657"/>
      <c r="BBQ6" s="657"/>
      <c r="BBR6" s="657"/>
      <c r="BBS6" s="657"/>
      <c r="BBT6" s="657"/>
      <c r="BBU6" s="657"/>
      <c r="BBV6" s="657"/>
      <c r="BBW6" s="657"/>
      <c r="BBX6" s="657"/>
      <c r="BBY6" s="657"/>
      <c r="BBZ6" s="657"/>
      <c r="BCA6" s="657"/>
      <c r="BCB6" s="657"/>
      <c r="BCC6" s="657"/>
      <c r="BCD6" s="657"/>
      <c r="BCE6" s="657"/>
      <c r="BCF6" s="657"/>
      <c r="BCG6" s="657"/>
      <c r="BCH6" s="657"/>
      <c r="BCI6" s="657"/>
      <c r="BCJ6" s="657"/>
      <c r="BCK6" s="657"/>
      <c r="BCL6" s="657"/>
      <c r="BCM6" s="657"/>
      <c r="BCN6" s="657"/>
      <c r="BCO6" s="657"/>
      <c r="BCP6" s="657"/>
      <c r="BCQ6" s="657"/>
      <c r="BCR6" s="657"/>
      <c r="BCS6" s="657"/>
      <c r="BCT6" s="657"/>
      <c r="BCU6" s="657"/>
      <c r="BCV6" s="657"/>
      <c r="BCW6" s="657"/>
      <c r="BCX6" s="657"/>
      <c r="BCY6" s="657"/>
      <c r="BCZ6" s="657"/>
      <c r="BDA6" s="657"/>
      <c r="BDB6" s="657"/>
      <c r="BDC6" s="657"/>
      <c r="BDD6" s="657"/>
      <c r="BDE6" s="657"/>
      <c r="BDF6" s="657"/>
      <c r="BDG6" s="657"/>
      <c r="BDH6" s="657"/>
      <c r="BDI6" s="657"/>
      <c r="BDJ6" s="657"/>
      <c r="BDK6" s="657"/>
      <c r="BDL6" s="657"/>
      <c r="BDM6" s="657"/>
      <c r="BDN6" s="657"/>
      <c r="BDO6" s="657"/>
      <c r="BDP6" s="657"/>
      <c r="BDQ6" s="657"/>
      <c r="BDR6" s="657"/>
      <c r="BDS6" s="657"/>
      <c r="BDT6" s="657"/>
      <c r="BDU6" s="657"/>
      <c r="BDV6" s="657"/>
      <c r="BDW6" s="657"/>
      <c r="BDX6" s="657"/>
      <c r="BDY6" s="657"/>
      <c r="BDZ6" s="657"/>
      <c r="BEA6" s="657"/>
      <c r="BEB6" s="657"/>
      <c r="BEC6" s="657"/>
      <c r="BED6" s="657"/>
      <c r="BEE6" s="657"/>
      <c r="BEF6" s="657"/>
      <c r="BEG6" s="657"/>
      <c r="BEH6" s="657"/>
      <c r="BEI6" s="657"/>
      <c r="BEJ6" s="657"/>
      <c r="BEK6" s="657"/>
      <c r="BEL6" s="657"/>
      <c r="BEM6" s="657"/>
      <c r="BEN6" s="657"/>
      <c r="BEO6" s="657"/>
      <c r="BEP6" s="657"/>
      <c r="BEQ6" s="657"/>
      <c r="BER6" s="657"/>
      <c r="BES6" s="657"/>
      <c r="BET6" s="657"/>
      <c r="BEU6" s="657"/>
      <c r="BEV6" s="657"/>
      <c r="BEW6" s="657"/>
      <c r="BEX6" s="657"/>
      <c r="BEY6" s="657"/>
      <c r="BEZ6" s="657"/>
      <c r="BFA6" s="657"/>
      <c r="BFB6" s="657"/>
      <c r="BFC6" s="657"/>
      <c r="BFD6" s="657"/>
      <c r="BFE6" s="657"/>
      <c r="BFF6" s="657"/>
      <c r="BFG6" s="657"/>
      <c r="BFH6" s="657"/>
      <c r="BFI6" s="657"/>
      <c r="BFJ6" s="657"/>
      <c r="BFK6" s="657"/>
      <c r="BFL6" s="657"/>
      <c r="BFM6" s="657"/>
      <c r="BFN6" s="657"/>
      <c r="BFO6" s="657"/>
      <c r="BFP6" s="657"/>
      <c r="BFQ6" s="657"/>
      <c r="BFR6" s="657"/>
      <c r="BFS6" s="657"/>
      <c r="BFT6" s="657"/>
      <c r="BFU6" s="657"/>
      <c r="BFV6" s="657"/>
      <c r="BFW6" s="657"/>
      <c r="BFX6" s="657"/>
      <c r="BFY6" s="657"/>
      <c r="BFZ6" s="657"/>
      <c r="BGA6" s="657"/>
      <c r="BGB6" s="657"/>
      <c r="BGC6" s="657"/>
      <c r="BGD6" s="657"/>
      <c r="BGE6" s="657"/>
      <c r="BGF6" s="657"/>
      <c r="BGG6" s="657"/>
      <c r="BGH6" s="657"/>
      <c r="BGI6" s="657"/>
      <c r="BGJ6" s="657"/>
      <c r="BGK6" s="657"/>
      <c r="BGL6" s="657"/>
      <c r="BGM6" s="657"/>
      <c r="BGN6" s="657"/>
      <c r="BGO6" s="657"/>
      <c r="BGP6" s="657"/>
      <c r="BGQ6" s="657"/>
      <c r="BGR6" s="657"/>
      <c r="BGS6" s="657"/>
      <c r="BGT6" s="657"/>
      <c r="BGU6" s="657"/>
      <c r="BGV6" s="657"/>
      <c r="BGW6" s="657"/>
      <c r="BGX6" s="657"/>
      <c r="BGY6" s="657"/>
      <c r="BGZ6" s="657"/>
      <c r="BHA6" s="657"/>
      <c r="BHB6" s="657"/>
      <c r="BHC6" s="657"/>
      <c r="BHD6" s="657"/>
      <c r="BHE6" s="657"/>
      <c r="BHF6" s="657"/>
      <c r="BHG6" s="657"/>
      <c r="BHH6" s="657"/>
      <c r="BHI6" s="657"/>
      <c r="BHJ6" s="657"/>
      <c r="BHK6" s="657"/>
      <c r="BHL6" s="657"/>
      <c r="BHM6" s="657"/>
      <c r="BHN6" s="657"/>
      <c r="BHO6" s="657"/>
      <c r="BHP6" s="657"/>
      <c r="BHQ6" s="657"/>
      <c r="BHR6" s="657"/>
      <c r="BHS6" s="657"/>
      <c r="BHT6" s="657"/>
      <c r="BHU6" s="657"/>
      <c r="BHV6" s="657"/>
      <c r="BHW6" s="657"/>
      <c r="BHX6" s="657"/>
      <c r="BHY6" s="657"/>
      <c r="BHZ6" s="657"/>
      <c r="BIA6" s="657"/>
      <c r="BIB6" s="657"/>
      <c r="BIC6" s="657"/>
      <c r="BID6" s="657"/>
      <c r="BIE6" s="657"/>
      <c r="BIF6" s="657"/>
      <c r="BIG6" s="657"/>
      <c r="BIH6" s="657"/>
      <c r="BII6" s="657"/>
      <c r="BIJ6" s="657"/>
      <c r="BIK6" s="657"/>
      <c r="BIL6" s="657"/>
      <c r="BIM6" s="657"/>
      <c r="BIN6" s="657"/>
      <c r="BIO6" s="657"/>
      <c r="BIP6" s="657"/>
      <c r="BIQ6" s="657"/>
      <c r="BIR6" s="657"/>
      <c r="BIS6" s="657"/>
      <c r="BIT6" s="657"/>
      <c r="BIU6" s="657"/>
      <c r="BIV6" s="657"/>
      <c r="BIW6" s="657"/>
      <c r="BIX6" s="657"/>
      <c r="BIY6" s="657"/>
      <c r="BIZ6" s="657"/>
      <c r="BJA6" s="657"/>
      <c r="BJB6" s="657"/>
      <c r="BJC6" s="657"/>
      <c r="BJD6" s="657"/>
      <c r="BJE6" s="657"/>
      <c r="BJF6" s="657"/>
      <c r="BJG6" s="657"/>
      <c r="BJH6" s="657"/>
      <c r="BJI6" s="657"/>
      <c r="BJJ6" s="657"/>
      <c r="BJK6" s="657"/>
      <c r="BJL6" s="657"/>
      <c r="BJM6" s="657"/>
      <c r="BJN6" s="657"/>
      <c r="BJO6" s="657"/>
      <c r="BJP6" s="657"/>
      <c r="BJQ6" s="657"/>
      <c r="BJR6" s="657"/>
      <c r="BJS6" s="657"/>
      <c r="BJT6" s="657"/>
      <c r="BJU6" s="657"/>
      <c r="BJV6" s="657"/>
      <c r="BJW6" s="657"/>
      <c r="BJX6" s="657"/>
      <c r="BJY6" s="657"/>
      <c r="BJZ6" s="657"/>
      <c r="BKA6" s="657"/>
      <c r="BKB6" s="657"/>
      <c r="BKC6" s="657"/>
      <c r="BKD6" s="657"/>
      <c r="BKE6" s="657"/>
      <c r="BKF6" s="657"/>
      <c r="BKG6" s="657"/>
      <c r="BKH6" s="657"/>
      <c r="BKI6" s="657"/>
      <c r="BKJ6" s="657"/>
      <c r="BKK6" s="657"/>
      <c r="BKL6" s="657"/>
      <c r="BKM6" s="657"/>
      <c r="BKN6" s="657"/>
      <c r="BKO6" s="657"/>
      <c r="BKP6" s="657"/>
      <c r="BKQ6" s="657"/>
      <c r="BKR6" s="657"/>
      <c r="BKS6" s="657"/>
      <c r="BKT6" s="657"/>
      <c r="BKU6" s="657"/>
      <c r="BKV6" s="657"/>
      <c r="BKW6" s="657"/>
      <c r="BKX6" s="657"/>
      <c r="BKY6" s="657"/>
      <c r="BKZ6" s="657"/>
      <c r="BLA6" s="657"/>
      <c r="BLB6" s="657"/>
      <c r="BLC6" s="657"/>
      <c r="BLD6" s="657"/>
      <c r="BLE6" s="657"/>
      <c r="BLF6" s="657"/>
      <c r="BLG6" s="657"/>
      <c r="BLH6" s="657"/>
      <c r="BLI6" s="657"/>
      <c r="BLJ6" s="657"/>
      <c r="BLK6" s="657"/>
      <c r="BLL6" s="657"/>
      <c r="BLM6" s="657"/>
      <c r="BLN6" s="657"/>
      <c r="BLO6" s="657"/>
      <c r="BLP6" s="657"/>
      <c r="BLQ6" s="657"/>
      <c r="BLR6" s="657"/>
      <c r="BLS6" s="657"/>
      <c r="BLT6" s="657"/>
      <c r="BLU6" s="657"/>
      <c r="BLV6" s="657"/>
      <c r="BLW6" s="657"/>
      <c r="BLX6" s="657"/>
      <c r="BLY6" s="657"/>
      <c r="BLZ6" s="657"/>
      <c r="BMA6" s="657"/>
      <c r="BMB6" s="657"/>
      <c r="BMC6" s="657"/>
      <c r="BMD6" s="657"/>
      <c r="BME6" s="657"/>
      <c r="BMF6" s="657"/>
      <c r="BMG6" s="657"/>
      <c r="BMH6" s="657"/>
      <c r="BMI6" s="657"/>
      <c r="BMJ6" s="657"/>
      <c r="BMK6" s="657"/>
      <c r="BML6" s="657"/>
      <c r="BMM6" s="657"/>
      <c r="BMN6" s="657"/>
      <c r="BMO6" s="657"/>
      <c r="BMP6" s="657"/>
      <c r="BMQ6" s="657"/>
      <c r="BMR6" s="657"/>
      <c r="BMS6" s="657"/>
      <c r="BMT6" s="657"/>
      <c r="BMU6" s="657"/>
      <c r="BMV6" s="657"/>
      <c r="BMW6" s="657"/>
      <c r="BMX6" s="657"/>
      <c r="BMY6" s="657"/>
      <c r="BMZ6" s="657"/>
      <c r="BNA6" s="657"/>
      <c r="BNB6" s="657"/>
      <c r="BNC6" s="657"/>
      <c r="BND6" s="657"/>
      <c r="BNE6" s="657"/>
    </row>
    <row r="7" spans="1:1721" s="4" customFormat="1" ht="144" x14ac:dyDescent="0.25">
      <c r="A7" s="330" t="s">
        <v>98</v>
      </c>
      <c r="B7" s="330" t="s">
        <v>100</v>
      </c>
      <c r="C7" s="330" t="s">
        <v>99</v>
      </c>
      <c r="D7" s="330" t="s">
        <v>1274</v>
      </c>
      <c r="E7" s="330" t="s">
        <v>695</v>
      </c>
      <c r="F7" s="330" t="s">
        <v>696</v>
      </c>
      <c r="G7" s="8" t="s">
        <v>115</v>
      </c>
      <c r="H7" s="19" t="s">
        <v>366</v>
      </c>
      <c r="I7" s="19" t="s">
        <v>366</v>
      </c>
      <c r="J7" s="1085" t="s">
        <v>1275</v>
      </c>
      <c r="K7" s="1024" t="s">
        <v>1276</v>
      </c>
      <c r="L7" s="6" t="s">
        <v>1277</v>
      </c>
      <c r="M7" s="6" t="s">
        <v>1278</v>
      </c>
      <c r="N7" s="6" t="s">
        <v>1278</v>
      </c>
      <c r="O7" s="8" t="s">
        <v>1279</v>
      </c>
      <c r="P7" s="8" t="s">
        <v>1280</v>
      </c>
      <c r="Q7" s="330" t="s">
        <v>51</v>
      </c>
      <c r="R7" s="6">
        <v>0</v>
      </c>
      <c r="S7" s="6">
        <v>100</v>
      </c>
      <c r="T7" s="8" t="s">
        <v>1281</v>
      </c>
      <c r="U7" s="8" t="s">
        <v>1282</v>
      </c>
      <c r="V7" s="305" t="s">
        <v>50</v>
      </c>
      <c r="W7" s="6">
        <v>0</v>
      </c>
      <c r="X7" s="6">
        <v>1</v>
      </c>
      <c r="Y7" s="1025">
        <v>649270800</v>
      </c>
      <c r="Z7" s="1025">
        <v>649270800</v>
      </c>
      <c r="AA7" s="149" t="s">
        <v>1283</v>
      </c>
      <c r="AB7" s="305" t="s">
        <v>652</v>
      </c>
      <c r="AC7" s="6">
        <v>100</v>
      </c>
      <c r="AD7" s="6">
        <v>20</v>
      </c>
      <c r="AE7" s="1038" t="s">
        <v>1284</v>
      </c>
      <c r="AF7" s="305" t="s">
        <v>652</v>
      </c>
      <c r="AG7" s="6">
        <v>1</v>
      </c>
      <c r="AH7" s="6">
        <v>0</v>
      </c>
      <c r="AI7" s="1038" t="s">
        <v>1285</v>
      </c>
      <c r="AJ7" s="305" t="s">
        <v>653</v>
      </c>
      <c r="AK7" s="6">
        <v>100</v>
      </c>
      <c r="AL7" s="6">
        <v>35</v>
      </c>
      <c r="AM7" s="19" t="s">
        <v>1286</v>
      </c>
      <c r="AN7" s="305" t="s">
        <v>653</v>
      </c>
      <c r="AO7" s="6">
        <v>1</v>
      </c>
      <c r="AP7" s="6">
        <v>0</v>
      </c>
      <c r="AQ7" s="1038" t="s">
        <v>1287</v>
      </c>
      <c r="AR7" s="305" t="s">
        <v>654</v>
      </c>
      <c r="AS7" s="6">
        <v>100</v>
      </c>
      <c r="AT7" s="6">
        <v>35</v>
      </c>
      <c r="AU7" s="19" t="s">
        <v>1288</v>
      </c>
      <c r="AV7" s="305" t="s">
        <v>654</v>
      </c>
      <c r="AW7" s="6">
        <v>1</v>
      </c>
      <c r="AX7" s="6">
        <v>0</v>
      </c>
      <c r="AY7" s="1038" t="s">
        <v>1287</v>
      </c>
      <c r="AZ7" s="305" t="s">
        <v>655</v>
      </c>
      <c r="BA7" s="6">
        <v>100</v>
      </c>
      <c r="BB7" s="6">
        <v>35</v>
      </c>
      <c r="BC7" s="19" t="s">
        <v>1288</v>
      </c>
      <c r="BD7" s="305" t="s">
        <v>655</v>
      </c>
      <c r="BE7" s="6">
        <v>1</v>
      </c>
      <c r="BF7" s="6">
        <v>0</v>
      </c>
      <c r="BG7" s="1038" t="s">
        <v>1287</v>
      </c>
      <c r="BH7" s="305" t="s">
        <v>656</v>
      </c>
      <c r="BI7" s="6">
        <v>100</v>
      </c>
      <c r="BJ7" s="6">
        <v>35</v>
      </c>
      <c r="BK7" s="19" t="s">
        <v>1289</v>
      </c>
      <c r="BL7" s="305" t="s">
        <v>656</v>
      </c>
      <c r="BM7" s="6">
        <v>1</v>
      </c>
      <c r="BN7" s="6">
        <v>0</v>
      </c>
      <c r="BO7" s="1038" t="s">
        <v>1287</v>
      </c>
      <c r="BP7" s="305" t="s">
        <v>657</v>
      </c>
      <c r="BQ7" s="6">
        <v>100</v>
      </c>
      <c r="BR7" s="6">
        <v>35</v>
      </c>
      <c r="BS7" s="1026" t="s">
        <v>1315</v>
      </c>
      <c r="BT7" s="305" t="s">
        <v>657</v>
      </c>
      <c r="BU7" s="6">
        <v>1</v>
      </c>
      <c r="BV7" s="6">
        <v>0</v>
      </c>
      <c r="BW7" s="1038" t="s">
        <v>1290</v>
      </c>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6"/>
      <c r="DS7" s="16"/>
      <c r="DT7" s="16"/>
      <c r="DU7" s="16"/>
      <c r="DV7" s="16"/>
      <c r="DW7" s="16"/>
      <c r="DX7" s="16"/>
      <c r="DY7" s="16"/>
      <c r="DZ7" s="16"/>
      <c r="EA7" s="16"/>
      <c r="EB7" s="16"/>
      <c r="EC7" s="16"/>
      <c r="ED7" s="16"/>
      <c r="EE7" s="16"/>
      <c r="EF7" s="16"/>
      <c r="EG7" s="16"/>
      <c r="EH7" s="16"/>
      <c r="EI7" s="16"/>
      <c r="EJ7" s="16"/>
      <c r="EK7" s="16"/>
      <c r="EL7" s="16"/>
      <c r="EM7" s="16"/>
      <c r="EN7" s="16"/>
      <c r="EO7" s="16"/>
      <c r="EP7" s="16"/>
      <c r="EQ7" s="16"/>
      <c r="ER7" s="16"/>
      <c r="ES7" s="16"/>
      <c r="ET7" s="16"/>
      <c r="EU7" s="16"/>
      <c r="EV7" s="16"/>
      <c r="EW7" s="16"/>
      <c r="EX7" s="16"/>
      <c r="EY7" s="16"/>
      <c r="EZ7" s="16"/>
      <c r="FA7" s="16"/>
      <c r="FB7" s="16"/>
      <c r="FC7" s="16"/>
      <c r="FD7" s="16"/>
      <c r="FE7" s="16"/>
      <c r="FF7" s="16"/>
      <c r="FG7" s="16"/>
      <c r="FH7" s="16"/>
      <c r="FI7" s="16"/>
      <c r="FJ7" s="16"/>
      <c r="FK7" s="16"/>
      <c r="FL7" s="16"/>
      <c r="FM7" s="16"/>
      <c r="FN7" s="16"/>
      <c r="FO7" s="16"/>
      <c r="FP7" s="16"/>
      <c r="FQ7" s="16"/>
      <c r="FR7" s="16"/>
      <c r="FS7" s="16"/>
      <c r="FT7" s="16"/>
      <c r="FU7" s="16"/>
      <c r="FV7" s="16"/>
      <c r="FW7" s="16"/>
      <c r="FX7" s="16"/>
      <c r="FY7" s="16"/>
      <c r="FZ7" s="16"/>
      <c r="GA7" s="16"/>
      <c r="GB7" s="16"/>
      <c r="GC7" s="16"/>
      <c r="GD7" s="16"/>
      <c r="GE7" s="16"/>
      <c r="GF7" s="16"/>
      <c r="GG7" s="16"/>
      <c r="GH7" s="16"/>
      <c r="GI7" s="16"/>
      <c r="GJ7" s="16"/>
      <c r="GK7" s="16"/>
      <c r="GL7" s="16"/>
      <c r="GM7" s="16"/>
      <c r="GN7" s="16"/>
      <c r="GO7" s="16"/>
      <c r="GP7" s="16"/>
      <c r="GQ7" s="16"/>
      <c r="GR7" s="16"/>
      <c r="GS7" s="16"/>
      <c r="GT7" s="16"/>
      <c r="GU7" s="16"/>
      <c r="GV7" s="16"/>
      <c r="GW7" s="16"/>
      <c r="GX7" s="16"/>
      <c r="GY7" s="16"/>
      <c r="GZ7" s="16"/>
      <c r="HA7" s="16"/>
      <c r="HB7" s="16"/>
      <c r="HC7" s="16"/>
      <c r="HD7" s="16"/>
      <c r="HE7" s="16"/>
      <c r="HF7" s="16"/>
      <c r="HG7" s="16"/>
      <c r="HH7" s="16"/>
      <c r="HI7" s="16"/>
      <c r="HJ7" s="16"/>
      <c r="HK7" s="16"/>
      <c r="HL7" s="16"/>
      <c r="HM7" s="16"/>
      <c r="HN7" s="16"/>
      <c r="HO7" s="16"/>
      <c r="HP7" s="16"/>
      <c r="HQ7" s="16"/>
      <c r="HR7" s="16"/>
      <c r="HS7" s="16"/>
      <c r="HT7" s="16"/>
      <c r="HU7" s="16"/>
      <c r="HV7" s="16"/>
      <c r="HW7" s="16"/>
      <c r="HX7" s="16"/>
      <c r="HY7" s="16"/>
      <c r="HZ7" s="16"/>
      <c r="IA7" s="16"/>
      <c r="IB7" s="16"/>
      <c r="IC7" s="16"/>
      <c r="ID7" s="16"/>
      <c r="IE7" s="16"/>
      <c r="IF7" s="16"/>
      <c r="IG7" s="16"/>
      <c r="IH7" s="16"/>
      <c r="II7" s="16"/>
      <c r="IJ7" s="16"/>
      <c r="IK7" s="16"/>
      <c r="IL7" s="16"/>
      <c r="IM7" s="16"/>
      <c r="IN7" s="16"/>
      <c r="IO7" s="16"/>
      <c r="IP7" s="16"/>
      <c r="IQ7" s="16"/>
      <c r="IR7" s="16"/>
      <c r="IS7" s="16"/>
      <c r="IT7" s="16"/>
      <c r="IU7" s="16"/>
      <c r="IV7" s="16"/>
      <c r="IW7" s="16"/>
      <c r="IX7" s="16"/>
      <c r="IY7" s="16"/>
      <c r="IZ7" s="16"/>
      <c r="JA7" s="16"/>
      <c r="JB7" s="16"/>
      <c r="JC7" s="16"/>
      <c r="JD7" s="16"/>
      <c r="JE7" s="16"/>
      <c r="JF7" s="16"/>
      <c r="JG7" s="16"/>
      <c r="JH7" s="16"/>
      <c r="JI7" s="16"/>
      <c r="JJ7" s="16"/>
      <c r="JK7" s="16"/>
      <c r="JL7" s="16"/>
      <c r="JM7" s="16"/>
      <c r="JN7" s="16"/>
      <c r="JO7" s="16"/>
      <c r="JP7" s="16"/>
      <c r="JQ7" s="16"/>
      <c r="JR7" s="16"/>
      <c r="JS7" s="16"/>
      <c r="JT7" s="16"/>
      <c r="JU7" s="16"/>
      <c r="JV7" s="16"/>
      <c r="JW7" s="16"/>
      <c r="JX7" s="16"/>
      <c r="JY7" s="16"/>
      <c r="JZ7" s="16"/>
      <c r="KA7" s="16"/>
      <c r="KB7" s="16"/>
      <c r="KC7" s="16"/>
      <c r="KD7" s="16"/>
      <c r="KE7" s="16"/>
      <c r="KF7" s="16"/>
      <c r="KG7" s="16"/>
      <c r="KH7" s="16"/>
      <c r="KI7" s="16"/>
      <c r="KJ7" s="16"/>
      <c r="KK7" s="16"/>
      <c r="KL7" s="16"/>
      <c r="KM7" s="16"/>
      <c r="KN7" s="16"/>
      <c r="KO7" s="16"/>
      <c r="KP7" s="16"/>
      <c r="KQ7" s="16"/>
      <c r="KR7" s="16"/>
      <c r="KS7" s="16"/>
      <c r="KT7" s="16"/>
      <c r="KU7" s="16"/>
      <c r="KV7" s="16"/>
      <c r="KW7" s="16"/>
      <c r="KX7" s="16"/>
      <c r="KY7" s="16"/>
      <c r="KZ7" s="16"/>
      <c r="LA7" s="16"/>
      <c r="LB7" s="16"/>
      <c r="LC7" s="16"/>
      <c r="LD7" s="16"/>
      <c r="LE7" s="16"/>
      <c r="LF7" s="16"/>
      <c r="LG7" s="16"/>
      <c r="LH7" s="16"/>
      <c r="LI7" s="16"/>
      <c r="LJ7" s="16"/>
      <c r="LK7" s="16"/>
      <c r="LL7" s="16"/>
      <c r="LM7" s="16"/>
      <c r="LN7" s="16"/>
      <c r="LO7" s="16"/>
      <c r="LP7" s="16"/>
      <c r="LQ7" s="16"/>
      <c r="LR7" s="16"/>
      <c r="LS7" s="16"/>
      <c r="LT7" s="16"/>
      <c r="LU7" s="16"/>
      <c r="LV7" s="16"/>
      <c r="LW7" s="16"/>
      <c r="LX7" s="16"/>
      <c r="LY7" s="16"/>
      <c r="LZ7" s="16"/>
      <c r="MA7" s="16"/>
      <c r="MB7" s="16"/>
      <c r="MC7" s="16"/>
      <c r="MD7" s="16"/>
      <c r="ME7" s="16"/>
      <c r="MF7" s="16"/>
      <c r="MG7" s="16"/>
      <c r="MH7" s="16"/>
      <c r="MI7" s="16"/>
      <c r="MJ7" s="16"/>
      <c r="MK7" s="16"/>
      <c r="ML7" s="16"/>
      <c r="MM7" s="16"/>
      <c r="MN7" s="16"/>
      <c r="MO7" s="16"/>
      <c r="MP7" s="16"/>
      <c r="MQ7" s="16"/>
      <c r="MR7" s="16"/>
      <c r="MS7" s="16"/>
      <c r="MT7" s="16"/>
      <c r="MU7" s="16"/>
      <c r="MV7" s="16"/>
      <c r="MW7" s="16"/>
      <c r="MX7" s="16"/>
      <c r="MY7" s="16"/>
      <c r="MZ7" s="16"/>
      <c r="NA7" s="16"/>
      <c r="NB7" s="16"/>
      <c r="NC7" s="16"/>
      <c r="ND7" s="16"/>
      <c r="NE7" s="16"/>
      <c r="NF7" s="16"/>
      <c r="NG7" s="16"/>
      <c r="NH7" s="16"/>
      <c r="NI7" s="16"/>
      <c r="NJ7" s="16"/>
      <c r="NK7" s="16"/>
      <c r="NL7" s="16"/>
      <c r="NM7" s="16"/>
      <c r="NN7" s="16"/>
      <c r="NO7" s="16"/>
      <c r="NP7" s="16"/>
      <c r="NQ7" s="16"/>
      <c r="NR7" s="16"/>
      <c r="NS7" s="16"/>
      <c r="NT7" s="16"/>
      <c r="NU7" s="16"/>
      <c r="NV7" s="16"/>
      <c r="NW7" s="16"/>
      <c r="NX7" s="16"/>
      <c r="NY7" s="16"/>
      <c r="NZ7" s="16"/>
      <c r="OA7" s="16"/>
      <c r="OB7" s="16"/>
      <c r="OC7" s="16"/>
      <c r="OD7" s="16"/>
      <c r="OE7" s="16"/>
      <c r="OF7" s="16"/>
      <c r="OG7" s="16"/>
      <c r="OH7" s="16"/>
      <c r="OI7" s="16"/>
      <c r="OJ7" s="16"/>
      <c r="OK7" s="16"/>
      <c r="OL7" s="16"/>
      <c r="OM7" s="16"/>
      <c r="ON7" s="16"/>
      <c r="OO7" s="16"/>
      <c r="OP7" s="16"/>
      <c r="OQ7" s="16"/>
      <c r="OR7" s="16"/>
      <c r="OS7" s="16"/>
      <c r="OT7" s="16"/>
      <c r="OU7" s="16"/>
      <c r="OV7" s="16"/>
      <c r="OW7" s="16"/>
      <c r="OX7" s="16"/>
      <c r="OY7" s="16"/>
      <c r="OZ7" s="16"/>
      <c r="PA7" s="16"/>
      <c r="PB7" s="16"/>
      <c r="PC7" s="16"/>
      <c r="PD7" s="16"/>
      <c r="PE7" s="16"/>
      <c r="PF7" s="16"/>
      <c r="PG7" s="16"/>
      <c r="PH7" s="16"/>
      <c r="PI7" s="16"/>
      <c r="PJ7" s="16"/>
      <c r="PK7" s="16"/>
      <c r="PL7" s="16"/>
      <c r="PM7" s="16"/>
      <c r="PN7" s="16"/>
      <c r="PO7" s="16"/>
      <c r="PP7" s="16"/>
      <c r="PQ7" s="16"/>
      <c r="PR7" s="16"/>
      <c r="PS7" s="16"/>
      <c r="PT7" s="16"/>
      <c r="PU7" s="16"/>
      <c r="PV7" s="16"/>
      <c r="PW7" s="16"/>
      <c r="PX7" s="16"/>
      <c r="PY7" s="16"/>
      <c r="PZ7" s="16"/>
      <c r="QA7" s="16"/>
      <c r="QB7" s="16"/>
      <c r="QC7" s="16"/>
      <c r="QD7" s="16"/>
      <c r="QE7" s="16"/>
      <c r="QF7" s="16"/>
      <c r="QG7" s="16"/>
      <c r="QH7" s="16"/>
      <c r="QI7" s="16"/>
      <c r="QJ7" s="16"/>
      <c r="QK7" s="16"/>
      <c r="QL7" s="16"/>
      <c r="QM7" s="16"/>
      <c r="QN7" s="16"/>
      <c r="QO7" s="16"/>
      <c r="QP7" s="16"/>
      <c r="QQ7" s="16"/>
      <c r="QR7" s="16"/>
      <c r="QS7" s="16"/>
      <c r="QT7" s="16"/>
      <c r="QU7" s="16"/>
      <c r="QV7" s="16"/>
      <c r="QW7" s="16"/>
      <c r="QX7" s="16"/>
      <c r="QY7" s="16"/>
      <c r="QZ7" s="16"/>
      <c r="RA7" s="16"/>
      <c r="RB7" s="16"/>
      <c r="RC7" s="16"/>
      <c r="RD7" s="16"/>
      <c r="RE7" s="16"/>
      <c r="RF7" s="16"/>
      <c r="RG7" s="16"/>
      <c r="RH7" s="16"/>
      <c r="RI7" s="16"/>
      <c r="RJ7" s="16"/>
      <c r="RK7" s="16"/>
      <c r="RL7" s="16"/>
      <c r="RM7" s="16"/>
      <c r="RN7" s="16"/>
      <c r="RO7" s="16"/>
      <c r="RP7" s="16"/>
      <c r="RQ7" s="16"/>
      <c r="RR7" s="16"/>
      <c r="RS7" s="16"/>
      <c r="RT7" s="16"/>
      <c r="RU7" s="16"/>
      <c r="RV7" s="16"/>
      <c r="RW7" s="16"/>
      <c r="RX7" s="16"/>
      <c r="RY7" s="16"/>
      <c r="RZ7" s="16"/>
      <c r="SA7" s="16"/>
      <c r="SB7" s="16"/>
      <c r="SC7" s="16"/>
      <c r="SD7" s="16"/>
      <c r="SE7" s="16"/>
      <c r="SF7" s="16"/>
      <c r="SG7" s="16"/>
      <c r="SH7" s="16"/>
      <c r="SI7" s="16"/>
      <c r="SJ7" s="16"/>
      <c r="SK7" s="16"/>
      <c r="SL7" s="16"/>
      <c r="SM7" s="16"/>
      <c r="SN7" s="16"/>
      <c r="SO7" s="16"/>
      <c r="SP7" s="16"/>
      <c r="SQ7" s="16"/>
      <c r="SR7" s="16"/>
      <c r="SS7" s="16"/>
      <c r="ST7" s="16"/>
      <c r="SU7" s="16"/>
      <c r="SV7" s="16"/>
      <c r="SW7" s="16"/>
      <c r="SX7" s="16"/>
      <c r="SY7" s="16"/>
      <c r="SZ7" s="16"/>
      <c r="TA7" s="16"/>
      <c r="TB7" s="16"/>
      <c r="TC7" s="16"/>
      <c r="TD7" s="16"/>
      <c r="TE7" s="16"/>
      <c r="TF7" s="16"/>
      <c r="TG7" s="16"/>
      <c r="TH7" s="16"/>
      <c r="TI7" s="16"/>
      <c r="TJ7" s="16"/>
      <c r="TK7" s="16"/>
      <c r="TL7" s="16"/>
      <c r="TM7" s="16"/>
      <c r="TN7" s="16"/>
      <c r="TO7" s="16"/>
      <c r="TP7" s="16"/>
      <c r="TQ7" s="16"/>
      <c r="TR7" s="16"/>
      <c r="TS7" s="16"/>
      <c r="TT7" s="16"/>
      <c r="TU7" s="16"/>
      <c r="TV7" s="16"/>
      <c r="TW7" s="16"/>
      <c r="TX7" s="16"/>
      <c r="TY7" s="16"/>
      <c r="TZ7" s="16"/>
      <c r="UA7" s="16"/>
      <c r="UB7" s="16"/>
      <c r="UC7" s="16"/>
      <c r="UD7" s="16"/>
      <c r="UE7" s="16"/>
      <c r="UF7" s="16"/>
      <c r="UG7" s="16"/>
      <c r="UH7" s="16"/>
      <c r="UI7" s="16"/>
      <c r="UJ7" s="16"/>
      <c r="UK7" s="16"/>
      <c r="UL7" s="16"/>
      <c r="UM7" s="16"/>
      <c r="UN7" s="16"/>
      <c r="UO7" s="16"/>
      <c r="UP7" s="16"/>
      <c r="UQ7" s="16"/>
      <c r="UR7" s="16"/>
      <c r="US7" s="16"/>
      <c r="UT7" s="16"/>
      <c r="UU7" s="16"/>
      <c r="UV7" s="16"/>
      <c r="UW7" s="16"/>
      <c r="UX7" s="16"/>
      <c r="UY7" s="16"/>
      <c r="UZ7" s="16"/>
      <c r="VA7" s="16"/>
      <c r="VB7" s="16"/>
      <c r="VC7" s="16"/>
      <c r="VD7" s="16"/>
      <c r="VE7" s="16"/>
      <c r="VF7" s="16"/>
      <c r="VG7" s="16"/>
      <c r="VH7" s="16"/>
      <c r="VI7" s="16"/>
      <c r="VJ7" s="16"/>
      <c r="VK7" s="16"/>
      <c r="VL7" s="16"/>
      <c r="VM7" s="16"/>
      <c r="VN7" s="16"/>
      <c r="VO7" s="16"/>
      <c r="VP7" s="16"/>
      <c r="VQ7" s="16"/>
      <c r="VR7" s="16"/>
      <c r="VS7" s="16"/>
      <c r="VT7" s="16"/>
      <c r="VU7" s="16"/>
      <c r="VV7" s="16"/>
      <c r="VW7" s="16"/>
      <c r="VX7" s="16"/>
      <c r="VY7" s="16"/>
      <c r="VZ7" s="16"/>
      <c r="WA7" s="16"/>
      <c r="WB7" s="16"/>
      <c r="WC7" s="16"/>
      <c r="WD7" s="16"/>
      <c r="WE7" s="16"/>
      <c r="WF7" s="16"/>
      <c r="WG7" s="16"/>
      <c r="WH7" s="16"/>
      <c r="WI7" s="16"/>
      <c r="WJ7" s="16"/>
      <c r="WK7" s="16"/>
      <c r="WL7" s="16"/>
      <c r="WM7" s="16"/>
      <c r="WN7" s="16"/>
      <c r="WO7" s="16"/>
      <c r="WP7" s="16"/>
      <c r="WQ7" s="16"/>
      <c r="WR7" s="16"/>
      <c r="WS7" s="16"/>
      <c r="WT7" s="16"/>
      <c r="WU7" s="16"/>
      <c r="WV7" s="16"/>
      <c r="WW7" s="16"/>
      <c r="WX7" s="16"/>
      <c r="WY7" s="16"/>
      <c r="WZ7" s="16"/>
      <c r="XA7" s="16"/>
      <c r="XB7" s="16"/>
      <c r="XC7" s="16"/>
      <c r="XD7" s="16"/>
      <c r="XE7" s="16"/>
      <c r="XF7" s="16"/>
      <c r="XG7" s="16"/>
      <c r="XH7" s="16"/>
      <c r="XI7" s="16"/>
      <c r="XJ7" s="16"/>
      <c r="XK7" s="16"/>
      <c r="XL7" s="16"/>
      <c r="XM7" s="16"/>
      <c r="XN7" s="16"/>
      <c r="XO7" s="16"/>
      <c r="XP7" s="16"/>
      <c r="XQ7" s="16"/>
      <c r="XR7" s="16"/>
      <c r="XS7" s="16"/>
      <c r="XT7" s="16"/>
      <c r="XU7" s="16"/>
      <c r="XV7" s="16"/>
      <c r="XW7" s="16"/>
      <c r="XX7" s="16"/>
      <c r="XY7" s="16"/>
      <c r="XZ7" s="16"/>
      <c r="YA7" s="16"/>
      <c r="YB7" s="16"/>
      <c r="YC7" s="16"/>
      <c r="YD7" s="16"/>
      <c r="YE7" s="16"/>
      <c r="YF7" s="16"/>
      <c r="YG7" s="16"/>
      <c r="YH7" s="16"/>
      <c r="YI7" s="16"/>
      <c r="YJ7" s="16"/>
      <c r="YK7" s="16"/>
      <c r="YL7" s="16"/>
      <c r="YM7" s="16"/>
      <c r="YN7" s="16"/>
      <c r="YO7" s="16"/>
      <c r="YP7" s="16"/>
      <c r="YQ7" s="16"/>
      <c r="YR7" s="16"/>
      <c r="YS7" s="16"/>
      <c r="YT7" s="16"/>
      <c r="YU7" s="16"/>
      <c r="YV7" s="16"/>
      <c r="YW7" s="16"/>
      <c r="YX7" s="16"/>
      <c r="YY7" s="16"/>
      <c r="YZ7" s="16"/>
      <c r="ZA7" s="16"/>
      <c r="ZB7" s="16"/>
      <c r="ZC7" s="16"/>
      <c r="ZD7" s="16"/>
      <c r="ZE7" s="16"/>
      <c r="ZF7" s="16"/>
      <c r="ZG7" s="16"/>
      <c r="ZH7" s="16"/>
      <c r="ZI7" s="16"/>
      <c r="ZJ7" s="16"/>
      <c r="ZK7" s="16"/>
      <c r="ZL7" s="16"/>
      <c r="ZM7" s="16"/>
      <c r="ZN7" s="16"/>
      <c r="ZO7" s="16"/>
      <c r="ZP7" s="16"/>
      <c r="ZQ7" s="16"/>
      <c r="ZR7" s="16"/>
      <c r="ZS7" s="16"/>
      <c r="ZT7" s="16"/>
      <c r="ZU7" s="16"/>
      <c r="ZV7" s="16"/>
      <c r="ZW7" s="16"/>
      <c r="ZX7" s="16"/>
      <c r="ZY7" s="16"/>
      <c r="ZZ7" s="16"/>
      <c r="AAA7" s="16"/>
      <c r="AAB7" s="16"/>
      <c r="AAC7" s="16"/>
      <c r="AAD7" s="16"/>
      <c r="AAE7" s="16"/>
      <c r="AAF7" s="16"/>
      <c r="AAG7" s="16"/>
      <c r="AAH7" s="16"/>
      <c r="AAI7" s="16"/>
      <c r="AAJ7" s="16"/>
      <c r="AAK7" s="16"/>
      <c r="AAL7" s="16"/>
      <c r="AAM7" s="16"/>
      <c r="AAN7" s="16"/>
      <c r="AAO7" s="16"/>
      <c r="AAP7" s="16"/>
      <c r="AAQ7" s="16"/>
      <c r="AAR7" s="16"/>
      <c r="AAS7" s="16"/>
      <c r="AAT7" s="16"/>
      <c r="AAU7" s="16"/>
      <c r="AAV7" s="16"/>
      <c r="AAW7" s="16"/>
      <c r="AAX7" s="16"/>
      <c r="AAY7" s="16"/>
      <c r="AAZ7" s="16"/>
      <c r="ABA7" s="16"/>
      <c r="ABB7" s="16"/>
      <c r="ABC7" s="16"/>
      <c r="ABD7" s="16"/>
      <c r="ABE7" s="16"/>
      <c r="ABF7" s="16"/>
      <c r="ABG7" s="16"/>
      <c r="ABH7" s="16"/>
      <c r="ABI7" s="16"/>
      <c r="ABJ7" s="16"/>
      <c r="ABK7" s="16"/>
      <c r="ABL7" s="16"/>
      <c r="ABM7" s="16"/>
      <c r="ABN7" s="16"/>
      <c r="ABO7" s="16"/>
      <c r="ABP7" s="16"/>
      <c r="ABQ7" s="16"/>
      <c r="ABR7" s="16"/>
      <c r="ABS7" s="16"/>
      <c r="ABT7" s="16"/>
      <c r="ABU7" s="16"/>
      <c r="ABV7" s="16"/>
      <c r="ABW7" s="16"/>
      <c r="ABX7" s="16"/>
      <c r="ABY7" s="16"/>
      <c r="ABZ7" s="16"/>
      <c r="ACA7" s="16"/>
      <c r="ACB7" s="16"/>
      <c r="ACC7" s="16"/>
      <c r="ACD7" s="16"/>
      <c r="ACE7" s="16"/>
      <c r="ACF7" s="16"/>
      <c r="ACG7" s="16"/>
      <c r="ACH7" s="16"/>
      <c r="ACI7" s="16"/>
      <c r="ACJ7" s="16"/>
      <c r="ACK7" s="16"/>
      <c r="ACL7" s="16"/>
      <c r="ACM7" s="16"/>
      <c r="ACN7" s="16"/>
      <c r="ACO7" s="16"/>
      <c r="ACP7" s="16"/>
      <c r="ACQ7" s="16"/>
      <c r="ACR7" s="16"/>
      <c r="ACS7" s="16"/>
      <c r="ACT7" s="16"/>
      <c r="ACU7" s="16"/>
      <c r="ACV7" s="16"/>
      <c r="ACW7" s="16"/>
      <c r="ACX7" s="16"/>
      <c r="ACY7" s="16"/>
      <c r="ACZ7" s="16"/>
      <c r="ADA7" s="16"/>
      <c r="ADB7" s="16"/>
      <c r="ADC7" s="16"/>
      <c r="ADD7" s="16"/>
      <c r="ADE7" s="16"/>
      <c r="ADF7" s="16"/>
      <c r="ADG7" s="16"/>
      <c r="ADH7" s="16"/>
      <c r="ADI7" s="16"/>
      <c r="ADJ7" s="16"/>
      <c r="ADK7" s="16"/>
      <c r="ADL7" s="16"/>
      <c r="ADM7" s="16"/>
      <c r="ADN7" s="16"/>
      <c r="ADO7" s="16"/>
      <c r="ADP7" s="16"/>
      <c r="ADQ7" s="16"/>
      <c r="ADR7" s="16"/>
      <c r="ADS7" s="16"/>
      <c r="ADT7" s="16"/>
      <c r="ADU7" s="16"/>
      <c r="ADV7" s="16"/>
      <c r="ADW7" s="16"/>
      <c r="ADX7" s="16"/>
      <c r="ADY7" s="16"/>
      <c r="ADZ7" s="16"/>
      <c r="AEA7" s="16"/>
      <c r="AEB7" s="16"/>
      <c r="AEC7" s="16"/>
      <c r="AED7" s="16"/>
      <c r="AEE7" s="16"/>
      <c r="AEF7" s="16"/>
      <c r="AEG7" s="16"/>
      <c r="AEH7" s="16"/>
      <c r="AEI7" s="16"/>
      <c r="AEJ7" s="16"/>
      <c r="AEK7" s="16"/>
      <c r="AEL7" s="16"/>
      <c r="AEM7" s="16"/>
      <c r="AEN7" s="16"/>
      <c r="AEO7" s="16"/>
      <c r="AEP7" s="16"/>
      <c r="AEQ7" s="16"/>
      <c r="AER7" s="16"/>
      <c r="AES7" s="16"/>
      <c r="AET7" s="16"/>
      <c r="AEU7" s="16"/>
      <c r="AEV7" s="16"/>
      <c r="AEW7" s="16"/>
      <c r="AEX7" s="16"/>
      <c r="AEY7" s="16"/>
      <c r="AEZ7" s="16"/>
      <c r="AFA7" s="16"/>
      <c r="AFB7" s="16"/>
      <c r="AFC7" s="16"/>
      <c r="AFD7" s="16"/>
      <c r="AFE7" s="16"/>
      <c r="AFF7" s="16"/>
      <c r="AFG7" s="16"/>
      <c r="AFH7" s="16"/>
      <c r="AFI7" s="16"/>
      <c r="AFJ7" s="16"/>
      <c r="AFK7" s="16"/>
      <c r="AFL7" s="16"/>
      <c r="AFM7" s="16"/>
      <c r="AFN7" s="16"/>
      <c r="AFO7" s="16"/>
      <c r="AFP7" s="16"/>
      <c r="AFQ7" s="16"/>
      <c r="AFR7" s="16"/>
      <c r="AFS7" s="16"/>
      <c r="AFT7" s="16"/>
      <c r="AFU7" s="16"/>
      <c r="AFV7" s="16"/>
      <c r="AFW7" s="16"/>
      <c r="AFX7" s="16"/>
      <c r="AFY7" s="16"/>
      <c r="AFZ7" s="16"/>
      <c r="AGA7" s="16"/>
      <c r="AGB7" s="16"/>
      <c r="AGC7" s="16"/>
      <c r="AGD7" s="16"/>
      <c r="AGE7" s="16"/>
      <c r="AGF7" s="16"/>
      <c r="AGG7" s="16"/>
      <c r="AGH7" s="16"/>
      <c r="AGI7" s="16"/>
      <c r="AGJ7" s="16"/>
      <c r="AGK7" s="16"/>
      <c r="AGL7" s="16"/>
      <c r="AGM7" s="16"/>
      <c r="AGN7" s="16"/>
      <c r="AGO7" s="16"/>
      <c r="AGP7" s="16"/>
      <c r="AGQ7" s="16"/>
      <c r="AGR7" s="16"/>
      <c r="AGS7" s="16"/>
      <c r="AGT7" s="16"/>
      <c r="AGU7" s="16"/>
      <c r="AGV7" s="16"/>
      <c r="AGW7" s="16"/>
      <c r="AGX7" s="16"/>
      <c r="AGY7" s="16"/>
      <c r="AGZ7" s="16"/>
      <c r="AHA7" s="16"/>
      <c r="AHB7" s="16"/>
      <c r="AHC7" s="16"/>
      <c r="AHD7" s="16"/>
      <c r="AHE7" s="16"/>
      <c r="AHF7" s="16"/>
      <c r="AHG7" s="16"/>
      <c r="AHH7" s="16"/>
      <c r="AHI7" s="16"/>
      <c r="AHJ7" s="16"/>
      <c r="AHK7" s="16"/>
      <c r="AHL7" s="16"/>
      <c r="AHM7" s="16"/>
      <c r="AHN7" s="16"/>
      <c r="AHO7" s="16"/>
      <c r="AHP7" s="16"/>
      <c r="AHQ7" s="16"/>
      <c r="AHR7" s="16"/>
      <c r="AHS7" s="16"/>
      <c r="AHT7" s="16"/>
      <c r="AHU7" s="16"/>
      <c r="AHV7" s="16"/>
      <c r="AHW7" s="16"/>
      <c r="AHX7" s="16"/>
      <c r="AHY7" s="16"/>
      <c r="AHZ7" s="16"/>
      <c r="AIA7" s="16"/>
      <c r="AIB7" s="16"/>
      <c r="AIC7" s="16"/>
      <c r="AID7" s="16"/>
      <c r="AIE7" s="16"/>
      <c r="AIF7" s="16"/>
      <c r="AIG7" s="16"/>
      <c r="AIH7" s="16"/>
      <c r="AII7" s="16"/>
      <c r="AIJ7" s="16"/>
      <c r="AIK7" s="16"/>
      <c r="AIL7" s="16"/>
      <c r="AIM7" s="16"/>
      <c r="AIN7" s="16"/>
      <c r="AIO7" s="16"/>
      <c r="AIP7" s="16"/>
      <c r="AIQ7" s="16"/>
      <c r="AIR7" s="16"/>
      <c r="AIS7" s="16"/>
      <c r="AIT7" s="16"/>
      <c r="AIU7" s="16"/>
      <c r="AIV7" s="16"/>
      <c r="AIW7" s="16"/>
      <c r="AIX7" s="16"/>
      <c r="AIY7" s="16"/>
      <c r="AIZ7" s="16"/>
      <c r="AJA7" s="16"/>
      <c r="AJB7" s="16"/>
      <c r="AJC7" s="16"/>
      <c r="AJD7" s="16"/>
      <c r="AJE7" s="16"/>
      <c r="AJF7" s="16"/>
      <c r="AJG7" s="16"/>
      <c r="AJH7" s="16"/>
      <c r="AJI7" s="16"/>
      <c r="AJJ7" s="16"/>
      <c r="AJK7" s="16"/>
      <c r="AJL7" s="16"/>
      <c r="AJM7" s="16"/>
      <c r="AJN7" s="16"/>
      <c r="AJO7" s="16"/>
      <c r="AJP7" s="16"/>
      <c r="AJQ7" s="16"/>
      <c r="AJR7" s="16"/>
      <c r="AJS7" s="16"/>
      <c r="AJT7" s="16"/>
      <c r="AJU7" s="16"/>
      <c r="AJV7" s="16"/>
      <c r="AJW7" s="16"/>
      <c r="AJX7" s="16"/>
      <c r="AJY7" s="16"/>
      <c r="AJZ7" s="16"/>
      <c r="AKA7" s="16"/>
      <c r="AKB7" s="16"/>
      <c r="AKC7" s="16"/>
      <c r="AKD7" s="16"/>
      <c r="AKE7" s="16"/>
      <c r="AKF7" s="16"/>
      <c r="AKG7" s="16"/>
      <c r="AKH7" s="16"/>
      <c r="AKI7" s="16"/>
      <c r="AKJ7" s="16"/>
      <c r="AKK7" s="16"/>
      <c r="AKL7" s="16"/>
      <c r="AKM7" s="16"/>
      <c r="AKN7" s="16"/>
      <c r="AKO7" s="16"/>
      <c r="AKP7" s="16"/>
      <c r="AKQ7" s="16"/>
      <c r="AKR7" s="16"/>
      <c r="AKS7" s="16"/>
      <c r="AKT7" s="16"/>
      <c r="AKU7" s="16"/>
      <c r="AKV7" s="16"/>
      <c r="AKW7" s="16"/>
      <c r="AKX7" s="16"/>
      <c r="AKY7" s="16"/>
      <c r="AKZ7" s="16"/>
      <c r="ALA7" s="16"/>
      <c r="ALB7" s="16"/>
      <c r="ALC7" s="16"/>
      <c r="ALD7" s="16"/>
      <c r="ALE7" s="16"/>
      <c r="ALF7" s="16"/>
      <c r="ALG7" s="16"/>
      <c r="ALH7" s="16"/>
      <c r="ALI7" s="16"/>
      <c r="ALJ7" s="16"/>
      <c r="ALK7" s="16"/>
      <c r="ALL7" s="16"/>
      <c r="ALM7" s="16"/>
      <c r="ALN7" s="16"/>
      <c r="ALO7" s="16"/>
      <c r="ALP7" s="16"/>
      <c r="ALQ7" s="16"/>
      <c r="ALR7" s="16"/>
      <c r="ALS7" s="16"/>
      <c r="ALT7" s="16"/>
      <c r="ALU7" s="16"/>
      <c r="ALV7" s="16"/>
      <c r="ALW7" s="16"/>
      <c r="ALX7" s="16"/>
      <c r="ALY7" s="16"/>
      <c r="ALZ7" s="16"/>
      <c r="AMA7" s="16"/>
      <c r="AMB7" s="16"/>
      <c r="AMC7" s="16"/>
      <c r="AMD7" s="16"/>
      <c r="AME7" s="16"/>
      <c r="AMF7" s="16"/>
      <c r="AMG7" s="16"/>
      <c r="AMH7" s="16"/>
      <c r="AMI7" s="16"/>
      <c r="AMJ7" s="16"/>
      <c r="AMK7" s="16"/>
      <c r="AML7" s="16"/>
      <c r="AMM7" s="16"/>
      <c r="AMN7" s="16"/>
      <c r="AMO7" s="16"/>
      <c r="AMP7" s="16"/>
      <c r="AMQ7" s="16"/>
      <c r="AMR7" s="16"/>
      <c r="AMS7" s="16"/>
      <c r="AMT7" s="16"/>
      <c r="AMU7" s="16"/>
      <c r="AMV7" s="16"/>
      <c r="AMW7" s="16"/>
      <c r="AMX7" s="16"/>
      <c r="AMY7" s="16"/>
      <c r="AMZ7" s="16"/>
      <c r="ANA7" s="16"/>
      <c r="ANB7" s="16"/>
      <c r="ANC7" s="16"/>
      <c r="AND7" s="16"/>
      <c r="ANE7" s="16"/>
      <c r="ANF7" s="16"/>
      <c r="ANG7" s="16"/>
      <c r="ANH7" s="16"/>
      <c r="ANI7" s="16"/>
      <c r="ANJ7" s="16"/>
      <c r="ANK7" s="16"/>
      <c r="ANL7" s="16"/>
      <c r="ANM7" s="16"/>
      <c r="ANN7" s="16"/>
      <c r="ANO7" s="16"/>
      <c r="ANP7" s="16"/>
      <c r="ANQ7" s="16"/>
      <c r="ANR7" s="16"/>
      <c r="ANS7" s="16"/>
      <c r="ANT7" s="16"/>
      <c r="ANU7" s="16"/>
      <c r="ANV7" s="16"/>
      <c r="ANW7" s="16"/>
      <c r="ANX7" s="16"/>
      <c r="ANY7" s="16"/>
      <c r="ANZ7" s="16"/>
      <c r="AOA7" s="16"/>
      <c r="AOB7" s="16"/>
      <c r="AOC7" s="16"/>
      <c r="AOD7" s="16"/>
      <c r="AOE7" s="16"/>
      <c r="AOF7" s="16"/>
      <c r="AOG7" s="16"/>
      <c r="AOH7" s="16"/>
      <c r="AOI7" s="16"/>
      <c r="AOJ7" s="16"/>
      <c r="AOK7" s="16"/>
      <c r="AOL7" s="16"/>
      <c r="AOM7" s="16"/>
      <c r="AON7" s="16"/>
      <c r="AOO7" s="16"/>
      <c r="AOP7" s="16"/>
      <c r="AOQ7" s="16"/>
      <c r="AOR7" s="16"/>
      <c r="AOS7" s="16"/>
      <c r="AOT7" s="16"/>
      <c r="AOU7" s="16"/>
      <c r="AOV7" s="16"/>
      <c r="AOW7" s="16"/>
      <c r="AOX7" s="16"/>
      <c r="AOY7" s="16"/>
      <c r="AOZ7" s="16"/>
      <c r="APA7" s="16"/>
      <c r="APB7" s="16"/>
      <c r="APC7" s="16"/>
      <c r="APD7" s="16"/>
      <c r="APE7" s="16"/>
      <c r="APF7" s="16"/>
      <c r="APG7" s="16"/>
      <c r="APH7" s="16"/>
      <c r="API7" s="16"/>
      <c r="APJ7" s="16"/>
      <c r="APK7" s="16"/>
      <c r="APL7" s="16"/>
      <c r="APM7" s="16"/>
      <c r="APN7" s="16"/>
      <c r="APO7" s="16"/>
      <c r="APP7" s="16"/>
      <c r="APQ7" s="16"/>
      <c r="APR7" s="16"/>
      <c r="APS7" s="16"/>
      <c r="APT7" s="16"/>
      <c r="APU7" s="16"/>
      <c r="APV7" s="16"/>
      <c r="APW7" s="16"/>
      <c r="APX7" s="16"/>
      <c r="APY7" s="16"/>
      <c r="APZ7" s="16"/>
      <c r="AQA7" s="16"/>
      <c r="AQB7" s="16"/>
      <c r="AQC7" s="16"/>
      <c r="AQD7" s="16"/>
      <c r="AQE7" s="16"/>
      <c r="AQF7" s="16"/>
      <c r="AQG7" s="16"/>
      <c r="AQH7" s="16"/>
      <c r="AQI7" s="16"/>
      <c r="AQJ7" s="16"/>
      <c r="AQK7" s="16"/>
      <c r="AQL7" s="16"/>
      <c r="AQM7" s="16"/>
      <c r="AQN7" s="16"/>
      <c r="AQO7" s="16"/>
      <c r="AQP7" s="16"/>
      <c r="AQQ7" s="16"/>
      <c r="AQR7" s="16"/>
      <c r="AQS7" s="16"/>
      <c r="AQT7" s="16"/>
      <c r="AQU7" s="16"/>
      <c r="AQV7" s="16"/>
      <c r="AQW7" s="16"/>
      <c r="AQX7" s="16"/>
      <c r="AQY7" s="16"/>
      <c r="AQZ7" s="16"/>
      <c r="ARA7" s="16"/>
      <c r="ARB7" s="16"/>
      <c r="ARC7" s="16"/>
      <c r="ARD7" s="16"/>
      <c r="ARE7" s="16"/>
      <c r="ARF7" s="16"/>
      <c r="ARG7" s="16"/>
      <c r="ARH7" s="16"/>
      <c r="ARI7" s="16"/>
      <c r="ARJ7" s="16"/>
      <c r="ARK7" s="16"/>
      <c r="ARL7" s="16"/>
      <c r="ARM7" s="16"/>
      <c r="ARN7" s="16"/>
      <c r="ARO7" s="16"/>
      <c r="ARP7" s="16"/>
      <c r="ARQ7" s="16"/>
      <c r="ARR7" s="16"/>
      <c r="ARS7" s="16"/>
      <c r="ART7" s="16"/>
      <c r="ARU7" s="16"/>
      <c r="ARV7" s="16"/>
      <c r="ARW7" s="16"/>
      <c r="ARX7" s="16"/>
      <c r="ARY7" s="16"/>
      <c r="ARZ7" s="16"/>
      <c r="ASA7" s="16"/>
      <c r="ASB7" s="16"/>
      <c r="ASC7" s="16"/>
      <c r="ASD7" s="16"/>
      <c r="ASE7" s="16"/>
      <c r="ASF7" s="16"/>
      <c r="ASG7" s="16"/>
      <c r="ASH7" s="16"/>
      <c r="ASI7" s="16"/>
      <c r="ASJ7" s="16"/>
      <c r="ASK7" s="16"/>
      <c r="ASL7" s="16"/>
      <c r="ASM7" s="16"/>
      <c r="ASN7" s="16"/>
      <c r="ASO7" s="16"/>
      <c r="ASP7" s="16"/>
      <c r="ASQ7" s="16"/>
      <c r="ASR7" s="16"/>
      <c r="ASS7" s="16"/>
      <c r="AST7" s="16"/>
      <c r="ASU7" s="16"/>
      <c r="ASV7" s="16"/>
      <c r="ASW7" s="16"/>
      <c r="ASX7" s="16"/>
      <c r="ASY7" s="16"/>
      <c r="ASZ7" s="16"/>
      <c r="ATA7" s="16"/>
      <c r="ATB7" s="16"/>
      <c r="ATC7" s="16"/>
      <c r="ATD7" s="16"/>
      <c r="ATE7" s="16"/>
      <c r="ATF7" s="16"/>
      <c r="ATG7" s="16"/>
      <c r="ATH7" s="16"/>
      <c r="ATI7" s="16"/>
      <c r="ATJ7" s="16"/>
      <c r="ATK7" s="16"/>
      <c r="ATL7" s="16"/>
      <c r="ATM7" s="16"/>
      <c r="ATN7" s="16"/>
      <c r="ATO7" s="16"/>
      <c r="ATP7" s="16"/>
      <c r="ATQ7" s="16"/>
      <c r="ATR7" s="16"/>
      <c r="ATS7" s="16"/>
      <c r="ATT7" s="16"/>
      <c r="ATU7" s="16"/>
      <c r="ATV7" s="16"/>
      <c r="ATW7" s="16"/>
      <c r="ATX7" s="16"/>
      <c r="ATY7" s="16"/>
      <c r="ATZ7" s="16"/>
      <c r="AUA7" s="16"/>
      <c r="AUB7" s="16"/>
      <c r="AUC7" s="16"/>
      <c r="AUD7" s="16"/>
      <c r="AUE7" s="16"/>
      <c r="AUF7" s="16"/>
      <c r="AUG7" s="16"/>
      <c r="AUH7" s="16"/>
      <c r="AUI7" s="16"/>
      <c r="AUJ7" s="16"/>
      <c r="AUK7" s="16"/>
      <c r="AUL7" s="16"/>
      <c r="AUM7" s="16"/>
      <c r="AUN7" s="16"/>
      <c r="AUO7" s="16"/>
      <c r="AUP7" s="16"/>
      <c r="AUQ7" s="16"/>
      <c r="AUR7" s="16"/>
      <c r="AUS7" s="16"/>
      <c r="AUT7" s="16"/>
      <c r="AUU7" s="16"/>
      <c r="AUV7" s="16"/>
      <c r="AUW7" s="16"/>
      <c r="AUX7" s="16"/>
      <c r="AUY7" s="16"/>
      <c r="AUZ7" s="16"/>
      <c r="AVA7" s="16"/>
      <c r="AVB7" s="16"/>
      <c r="AVC7" s="16"/>
      <c r="AVD7" s="16"/>
      <c r="AVE7" s="16"/>
      <c r="AVF7" s="16"/>
      <c r="AVG7" s="16"/>
      <c r="AVH7" s="16"/>
      <c r="AVI7" s="16"/>
      <c r="AVJ7" s="16"/>
      <c r="AVK7" s="16"/>
      <c r="AVL7" s="16"/>
      <c r="AVM7" s="16"/>
      <c r="AVN7" s="16"/>
      <c r="AVO7" s="16"/>
      <c r="AVP7" s="16"/>
      <c r="AVQ7" s="16"/>
      <c r="AVR7" s="16"/>
      <c r="AVS7" s="16"/>
      <c r="AVT7" s="16"/>
      <c r="AVU7" s="16"/>
      <c r="AVV7" s="16"/>
      <c r="AVW7" s="16"/>
      <c r="AVX7" s="16"/>
      <c r="AVY7" s="16"/>
      <c r="AVZ7" s="16"/>
      <c r="AWA7" s="16"/>
      <c r="AWB7" s="16"/>
      <c r="AWC7" s="16"/>
      <c r="AWD7" s="16"/>
      <c r="AWE7" s="16"/>
      <c r="AWF7" s="16"/>
      <c r="AWG7" s="16"/>
      <c r="AWH7" s="16"/>
      <c r="AWI7" s="16"/>
      <c r="AWJ7" s="16"/>
      <c r="AWK7" s="16"/>
      <c r="AWL7" s="16"/>
      <c r="AWM7" s="16"/>
      <c r="AWN7" s="16"/>
      <c r="AWO7" s="16"/>
      <c r="AWP7" s="16"/>
      <c r="AWQ7" s="16"/>
      <c r="AWR7" s="16"/>
      <c r="AWS7" s="16"/>
      <c r="AWT7" s="16"/>
      <c r="AWU7" s="16"/>
      <c r="AWV7" s="16"/>
      <c r="AWW7" s="16"/>
      <c r="AWX7" s="16"/>
      <c r="AWY7" s="16"/>
      <c r="AWZ7" s="16"/>
      <c r="AXA7" s="16"/>
      <c r="AXB7" s="16"/>
      <c r="AXC7" s="16"/>
      <c r="AXD7" s="16"/>
      <c r="AXE7" s="16"/>
      <c r="AXF7" s="16"/>
      <c r="AXG7" s="16"/>
      <c r="AXH7" s="16"/>
      <c r="AXI7" s="16"/>
      <c r="AXJ7" s="16"/>
      <c r="AXK7" s="16"/>
      <c r="AXL7" s="16"/>
      <c r="AXM7" s="16"/>
      <c r="AXN7" s="16"/>
      <c r="AXO7" s="16"/>
      <c r="AXP7" s="16"/>
      <c r="AXQ7" s="16"/>
      <c r="AXR7" s="16"/>
      <c r="AXS7" s="16"/>
      <c r="AXT7" s="16"/>
      <c r="AXU7" s="16"/>
      <c r="AXV7" s="16"/>
      <c r="AXW7" s="16"/>
      <c r="AXX7" s="16"/>
      <c r="AXY7" s="16"/>
      <c r="AXZ7" s="16"/>
      <c r="AYA7" s="16"/>
      <c r="AYB7" s="16"/>
      <c r="AYC7" s="16"/>
      <c r="AYD7" s="16"/>
      <c r="AYE7" s="16"/>
      <c r="AYF7" s="16"/>
      <c r="AYG7" s="16"/>
      <c r="AYH7" s="16"/>
      <c r="AYI7" s="16"/>
      <c r="AYJ7" s="16"/>
      <c r="AYK7" s="16"/>
      <c r="AYL7" s="16"/>
      <c r="AYM7" s="16"/>
      <c r="AYN7" s="16"/>
      <c r="AYO7" s="16"/>
      <c r="AYP7" s="16"/>
      <c r="AYQ7" s="16"/>
      <c r="AYR7" s="16"/>
      <c r="AYS7" s="16"/>
      <c r="AYT7" s="16"/>
      <c r="AYU7" s="16"/>
      <c r="AYV7" s="16"/>
      <c r="AYW7" s="16"/>
      <c r="AYX7" s="16"/>
      <c r="AYY7" s="16"/>
      <c r="AYZ7" s="16"/>
      <c r="AZA7" s="16"/>
      <c r="AZB7" s="16"/>
      <c r="AZC7" s="16"/>
      <c r="AZD7" s="16"/>
      <c r="AZE7" s="16"/>
      <c r="AZF7" s="16"/>
      <c r="AZG7" s="16"/>
      <c r="AZH7" s="16"/>
      <c r="AZI7" s="16"/>
      <c r="AZJ7" s="16"/>
      <c r="AZK7" s="16"/>
      <c r="AZL7" s="16"/>
      <c r="AZM7" s="16"/>
      <c r="AZN7" s="16"/>
      <c r="AZO7" s="16"/>
      <c r="AZP7" s="16"/>
      <c r="AZQ7" s="16"/>
      <c r="AZR7" s="16"/>
      <c r="AZS7" s="16"/>
      <c r="AZT7" s="16"/>
      <c r="AZU7" s="16"/>
      <c r="AZV7" s="16"/>
      <c r="AZW7" s="16"/>
      <c r="AZX7" s="16"/>
      <c r="AZY7" s="16"/>
      <c r="AZZ7" s="16"/>
      <c r="BAA7" s="16"/>
      <c r="BAB7" s="16"/>
      <c r="BAC7" s="16"/>
      <c r="BAD7" s="16"/>
      <c r="BAE7" s="16"/>
      <c r="BAF7" s="16"/>
      <c r="BAG7" s="16"/>
      <c r="BAH7" s="16"/>
      <c r="BAI7" s="16"/>
      <c r="BAJ7" s="16"/>
      <c r="BAK7" s="16"/>
      <c r="BAL7" s="16"/>
      <c r="BAM7" s="16"/>
      <c r="BAN7" s="16"/>
      <c r="BAO7" s="16"/>
      <c r="BAP7" s="16"/>
      <c r="BAQ7" s="16"/>
      <c r="BAR7" s="16"/>
      <c r="BAS7" s="16"/>
      <c r="BAT7" s="16"/>
      <c r="BAU7" s="16"/>
      <c r="BAV7" s="16"/>
      <c r="BAW7" s="16"/>
      <c r="BAX7" s="16"/>
      <c r="BAY7" s="16"/>
      <c r="BAZ7" s="16"/>
      <c r="BBA7" s="16"/>
      <c r="BBB7" s="16"/>
      <c r="BBC7" s="16"/>
      <c r="BBD7" s="16"/>
      <c r="BBE7" s="16"/>
      <c r="BBF7" s="16"/>
      <c r="BBG7" s="16"/>
      <c r="BBH7" s="16"/>
      <c r="BBI7" s="16"/>
      <c r="BBJ7" s="16"/>
      <c r="BBK7" s="16"/>
      <c r="BBL7" s="16"/>
      <c r="BBM7" s="16"/>
      <c r="BBN7" s="16"/>
      <c r="BBO7" s="16"/>
      <c r="BBP7" s="16"/>
      <c r="BBQ7" s="16"/>
      <c r="BBR7" s="16"/>
      <c r="BBS7" s="16"/>
      <c r="BBT7" s="16"/>
      <c r="BBU7" s="16"/>
      <c r="BBV7" s="16"/>
      <c r="BBW7" s="16"/>
      <c r="BBX7" s="16"/>
      <c r="BBY7" s="16"/>
      <c r="BBZ7" s="16"/>
      <c r="BCA7" s="16"/>
      <c r="BCB7" s="16"/>
      <c r="BCC7" s="16"/>
      <c r="BCD7" s="16"/>
      <c r="BCE7" s="16"/>
      <c r="BCF7" s="16"/>
      <c r="BCG7" s="16"/>
      <c r="BCH7" s="16"/>
      <c r="BCI7" s="16"/>
      <c r="BCJ7" s="16"/>
      <c r="BCK7" s="16"/>
      <c r="BCL7" s="16"/>
      <c r="BCM7" s="16"/>
      <c r="BCN7" s="16"/>
      <c r="BCO7" s="16"/>
      <c r="BCP7" s="16"/>
      <c r="BCQ7" s="16"/>
      <c r="BCR7" s="16"/>
      <c r="BCS7" s="16"/>
      <c r="BCT7" s="16"/>
      <c r="BCU7" s="16"/>
      <c r="BCV7" s="16"/>
      <c r="BCW7" s="16"/>
      <c r="BCX7" s="16"/>
      <c r="BCY7" s="16"/>
      <c r="BCZ7" s="16"/>
      <c r="BDA7" s="16"/>
      <c r="BDB7" s="16"/>
      <c r="BDC7" s="16"/>
      <c r="BDD7" s="16"/>
      <c r="BDE7" s="16"/>
      <c r="BDF7" s="16"/>
      <c r="BDG7" s="16"/>
      <c r="BDH7" s="16"/>
      <c r="BDI7" s="16"/>
      <c r="BDJ7" s="16"/>
      <c r="BDK7" s="16"/>
      <c r="BDL7" s="16"/>
      <c r="BDM7" s="16"/>
      <c r="BDN7" s="16"/>
      <c r="BDO7" s="16"/>
      <c r="BDP7" s="16"/>
      <c r="BDQ7" s="16"/>
      <c r="BDR7" s="16"/>
      <c r="BDS7" s="16"/>
      <c r="BDT7" s="16"/>
      <c r="BDU7" s="16"/>
      <c r="BDV7" s="16"/>
      <c r="BDW7" s="16"/>
      <c r="BDX7" s="16"/>
      <c r="BDY7" s="16"/>
      <c r="BDZ7" s="16"/>
      <c r="BEA7" s="16"/>
      <c r="BEB7" s="16"/>
      <c r="BEC7" s="16"/>
      <c r="BED7" s="16"/>
      <c r="BEE7" s="16"/>
      <c r="BEF7" s="16"/>
      <c r="BEG7" s="16"/>
      <c r="BEH7" s="16"/>
      <c r="BEI7" s="16"/>
      <c r="BEJ7" s="16"/>
      <c r="BEK7" s="16"/>
      <c r="BEL7" s="16"/>
      <c r="BEM7" s="16"/>
      <c r="BEN7" s="16"/>
      <c r="BEO7" s="16"/>
      <c r="BEP7" s="16"/>
      <c r="BEQ7" s="16"/>
      <c r="BER7" s="16"/>
      <c r="BES7" s="16"/>
      <c r="BET7" s="16"/>
      <c r="BEU7" s="16"/>
      <c r="BEV7" s="16"/>
      <c r="BEW7" s="16"/>
      <c r="BEX7" s="16"/>
      <c r="BEY7" s="16"/>
      <c r="BEZ7" s="16"/>
      <c r="BFA7" s="16"/>
      <c r="BFB7" s="16"/>
      <c r="BFC7" s="16"/>
      <c r="BFD7" s="16"/>
      <c r="BFE7" s="16"/>
      <c r="BFF7" s="16"/>
      <c r="BFG7" s="16"/>
      <c r="BFH7" s="16"/>
      <c r="BFI7" s="16"/>
      <c r="BFJ7" s="16"/>
      <c r="BFK7" s="16"/>
      <c r="BFL7" s="16"/>
      <c r="BFM7" s="16"/>
      <c r="BFN7" s="16"/>
      <c r="BFO7" s="16"/>
      <c r="BFP7" s="16"/>
      <c r="BFQ7" s="16"/>
      <c r="BFR7" s="16"/>
      <c r="BFS7" s="16"/>
      <c r="BFT7" s="16"/>
      <c r="BFU7" s="16"/>
      <c r="BFV7" s="16"/>
      <c r="BFW7" s="16"/>
      <c r="BFX7" s="16"/>
      <c r="BFY7" s="16"/>
      <c r="BFZ7" s="16"/>
      <c r="BGA7" s="16"/>
      <c r="BGB7" s="16"/>
      <c r="BGC7" s="16"/>
      <c r="BGD7" s="16"/>
      <c r="BGE7" s="16"/>
      <c r="BGF7" s="16"/>
      <c r="BGG7" s="16"/>
      <c r="BGH7" s="16"/>
      <c r="BGI7" s="16"/>
      <c r="BGJ7" s="16"/>
      <c r="BGK7" s="16"/>
      <c r="BGL7" s="16"/>
      <c r="BGM7" s="16"/>
      <c r="BGN7" s="16"/>
      <c r="BGO7" s="16"/>
      <c r="BGP7" s="16"/>
      <c r="BGQ7" s="16"/>
      <c r="BGR7" s="16"/>
      <c r="BGS7" s="16"/>
      <c r="BGT7" s="16"/>
      <c r="BGU7" s="16"/>
      <c r="BGV7" s="16"/>
      <c r="BGW7" s="16"/>
      <c r="BGX7" s="16"/>
      <c r="BGY7" s="16"/>
      <c r="BGZ7" s="16"/>
      <c r="BHA7" s="16"/>
      <c r="BHB7" s="16"/>
      <c r="BHC7" s="16"/>
      <c r="BHD7" s="16"/>
      <c r="BHE7" s="16"/>
      <c r="BHF7" s="16"/>
      <c r="BHG7" s="16"/>
      <c r="BHH7" s="16"/>
      <c r="BHI7" s="16"/>
      <c r="BHJ7" s="16"/>
      <c r="BHK7" s="16"/>
      <c r="BHL7" s="16"/>
      <c r="BHM7" s="16"/>
      <c r="BHN7" s="16"/>
      <c r="BHO7" s="16"/>
      <c r="BHP7" s="16"/>
      <c r="BHQ7" s="16"/>
      <c r="BHR7" s="16"/>
      <c r="BHS7" s="16"/>
      <c r="BHT7" s="16"/>
      <c r="BHU7" s="16"/>
      <c r="BHV7" s="16"/>
      <c r="BHW7" s="16"/>
      <c r="BHX7" s="16"/>
      <c r="BHY7" s="16"/>
      <c r="BHZ7" s="16"/>
      <c r="BIA7" s="16"/>
      <c r="BIB7" s="16"/>
      <c r="BIC7" s="16"/>
      <c r="BID7" s="16"/>
      <c r="BIE7" s="16"/>
      <c r="BIF7" s="16"/>
      <c r="BIG7" s="16"/>
      <c r="BIH7" s="16"/>
      <c r="BII7" s="16"/>
      <c r="BIJ7" s="16"/>
      <c r="BIK7" s="16"/>
      <c r="BIL7" s="16"/>
      <c r="BIM7" s="16"/>
      <c r="BIN7" s="16"/>
      <c r="BIO7" s="16"/>
      <c r="BIP7" s="16"/>
      <c r="BIQ7" s="16"/>
      <c r="BIR7" s="16"/>
      <c r="BIS7" s="16"/>
      <c r="BIT7" s="16"/>
      <c r="BIU7" s="16"/>
      <c r="BIV7" s="16"/>
      <c r="BIW7" s="16"/>
      <c r="BIX7" s="16"/>
      <c r="BIY7" s="16"/>
      <c r="BIZ7" s="16"/>
      <c r="BJA7" s="16"/>
      <c r="BJB7" s="16"/>
      <c r="BJC7" s="16"/>
      <c r="BJD7" s="16"/>
      <c r="BJE7" s="16"/>
      <c r="BJF7" s="16"/>
      <c r="BJG7" s="16"/>
      <c r="BJH7" s="16"/>
      <c r="BJI7" s="16"/>
      <c r="BJJ7" s="16"/>
      <c r="BJK7" s="16"/>
      <c r="BJL7" s="16"/>
      <c r="BJM7" s="16"/>
      <c r="BJN7" s="16"/>
      <c r="BJO7" s="16"/>
      <c r="BJP7" s="16"/>
      <c r="BJQ7" s="16"/>
      <c r="BJR7" s="16"/>
      <c r="BJS7" s="16"/>
      <c r="BJT7" s="16"/>
      <c r="BJU7" s="16"/>
      <c r="BJV7" s="16"/>
      <c r="BJW7" s="16"/>
      <c r="BJX7" s="16"/>
      <c r="BJY7" s="16"/>
      <c r="BJZ7" s="16"/>
      <c r="BKA7" s="16"/>
      <c r="BKB7" s="16"/>
      <c r="BKC7" s="16"/>
      <c r="BKD7" s="16"/>
      <c r="BKE7" s="16"/>
      <c r="BKF7" s="16"/>
      <c r="BKG7" s="16"/>
      <c r="BKH7" s="16"/>
      <c r="BKI7" s="16"/>
      <c r="BKJ7" s="16"/>
      <c r="BKK7" s="16"/>
      <c r="BKL7" s="16"/>
      <c r="BKM7" s="16"/>
      <c r="BKN7" s="16"/>
      <c r="BKO7" s="16"/>
      <c r="BKP7" s="16"/>
      <c r="BKQ7" s="16"/>
      <c r="BKR7" s="16"/>
      <c r="BKS7" s="16"/>
      <c r="BKT7" s="16"/>
      <c r="BKU7" s="16"/>
      <c r="BKV7" s="16"/>
      <c r="BKW7" s="16"/>
      <c r="BKX7" s="16"/>
      <c r="BKY7" s="16"/>
      <c r="BKZ7" s="16"/>
      <c r="BLA7" s="16"/>
      <c r="BLB7" s="16"/>
      <c r="BLC7" s="16"/>
      <c r="BLD7" s="16"/>
      <c r="BLE7" s="16"/>
      <c r="BLF7" s="16"/>
      <c r="BLG7" s="16"/>
      <c r="BLH7" s="16"/>
      <c r="BLI7" s="16"/>
      <c r="BLJ7" s="16"/>
      <c r="BLK7" s="16"/>
      <c r="BLL7" s="16"/>
      <c r="BLM7" s="16"/>
      <c r="BLN7" s="16"/>
      <c r="BLO7" s="16"/>
      <c r="BLP7" s="16"/>
      <c r="BLQ7" s="16"/>
      <c r="BLR7" s="16"/>
      <c r="BLS7" s="16"/>
      <c r="BLT7" s="16"/>
      <c r="BLU7" s="16"/>
      <c r="BLV7" s="16"/>
      <c r="BLW7" s="16"/>
      <c r="BLX7" s="16"/>
      <c r="BLY7" s="16"/>
      <c r="BLZ7" s="16"/>
      <c r="BMA7" s="16"/>
      <c r="BMB7" s="16"/>
      <c r="BMC7" s="16"/>
      <c r="BMD7" s="16"/>
      <c r="BME7" s="16"/>
      <c r="BMF7" s="16"/>
      <c r="BMG7" s="16"/>
      <c r="BMH7" s="16"/>
      <c r="BMI7" s="16"/>
      <c r="BMJ7" s="16"/>
      <c r="BMK7" s="16"/>
      <c r="BML7" s="16"/>
      <c r="BMM7" s="16"/>
      <c r="BMN7" s="16"/>
      <c r="BMO7" s="16"/>
      <c r="BMP7" s="16"/>
      <c r="BMQ7" s="16"/>
      <c r="BMR7" s="16"/>
      <c r="BMS7" s="16"/>
      <c r="BMT7" s="16"/>
      <c r="BMU7" s="16"/>
      <c r="BMV7" s="16"/>
      <c r="BMW7" s="16"/>
      <c r="BMX7" s="16"/>
      <c r="BMY7" s="16"/>
      <c r="BMZ7" s="16"/>
      <c r="BNA7" s="16"/>
      <c r="BNB7" s="16"/>
      <c r="BNC7" s="16"/>
      <c r="BND7" s="16"/>
      <c r="BNE7" s="16"/>
    </row>
    <row r="8" spans="1:1721" s="3" customFormat="1" ht="408" x14ac:dyDescent="0.25">
      <c r="A8" s="190" t="s">
        <v>98</v>
      </c>
      <c r="B8" s="190" t="s">
        <v>100</v>
      </c>
      <c r="C8" s="190" t="s">
        <v>99</v>
      </c>
      <c r="D8" s="190" t="s">
        <v>1274</v>
      </c>
      <c r="E8" s="190" t="s">
        <v>695</v>
      </c>
      <c r="F8" s="190" t="s">
        <v>696</v>
      </c>
      <c r="G8" s="326" t="s">
        <v>1291</v>
      </c>
      <c r="H8" s="326" t="s">
        <v>1292</v>
      </c>
      <c r="I8" s="408" t="s">
        <v>1293</v>
      </c>
      <c r="J8" s="1086"/>
      <c r="K8" s="1028"/>
      <c r="L8" s="201" t="s">
        <v>1277</v>
      </c>
      <c r="M8" s="201" t="s">
        <v>1278</v>
      </c>
      <c r="N8" s="201" t="s">
        <v>1278</v>
      </c>
      <c r="O8" s="190" t="s">
        <v>1294</v>
      </c>
      <c r="P8" s="190" t="s">
        <v>1295</v>
      </c>
      <c r="Q8" s="190" t="s">
        <v>50</v>
      </c>
      <c r="R8" s="201">
        <v>0</v>
      </c>
      <c r="S8" s="201">
        <v>2</v>
      </c>
      <c r="T8" s="9" t="s">
        <v>1296</v>
      </c>
      <c r="U8" s="9" t="s">
        <v>1297</v>
      </c>
      <c r="V8" s="297" t="s">
        <v>51</v>
      </c>
      <c r="W8" s="7">
        <v>69</v>
      </c>
      <c r="X8" s="7">
        <v>80</v>
      </c>
      <c r="Y8" s="1029"/>
      <c r="Z8" s="1029"/>
      <c r="AA8" s="185"/>
      <c r="AB8" s="305" t="s">
        <v>652</v>
      </c>
      <c r="AC8" s="201">
        <v>2</v>
      </c>
      <c r="AD8" s="201">
        <v>0.25</v>
      </c>
      <c r="AE8" s="201" t="s">
        <v>1298</v>
      </c>
      <c r="AF8" s="305" t="s">
        <v>652</v>
      </c>
      <c r="AG8" s="7">
        <v>80</v>
      </c>
      <c r="AH8" s="7">
        <v>54</v>
      </c>
      <c r="AI8" s="1032" t="s">
        <v>1299</v>
      </c>
      <c r="AJ8" s="305" t="s">
        <v>653</v>
      </c>
      <c r="AK8" s="201">
        <v>2</v>
      </c>
      <c r="AL8" s="201">
        <v>0.3</v>
      </c>
      <c r="AM8" s="201" t="s">
        <v>1298</v>
      </c>
      <c r="AN8" s="305" t="s">
        <v>653</v>
      </c>
      <c r="AO8" s="7">
        <v>80</v>
      </c>
      <c r="AP8" s="7">
        <v>61.5</v>
      </c>
      <c r="AQ8" s="18" t="s">
        <v>1300</v>
      </c>
      <c r="AR8" s="305" t="s">
        <v>654</v>
      </c>
      <c r="AS8" s="201">
        <v>2</v>
      </c>
      <c r="AT8" s="302">
        <v>0.5</v>
      </c>
      <c r="AU8" s="194" t="s">
        <v>1301</v>
      </c>
      <c r="AV8" s="305" t="s">
        <v>654</v>
      </c>
      <c r="AW8" s="7">
        <v>80</v>
      </c>
      <c r="AX8" s="7">
        <v>62</v>
      </c>
      <c r="AY8" s="18" t="s">
        <v>1302</v>
      </c>
      <c r="AZ8" s="305" t="s">
        <v>655</v>
      </c>
      <c r="BA8" s="201">
        <v>2</v>
      </c>
      <c r="BB8" s="201">
        <v>1</v>
      </c>
      <c r="BC8" s="194" t="s">
        <v>1301</v>
      </c>
      <c r="BD8" s="305" t="s">
        <v>655</v>
      </c>
      <c r="BE8" s="7">
        <v>80</v>
      </c>
      <c r="BF8" s="7">
        <v>58</v>
      </c>
      <c r="BG8" s="18" t="s">
        <v>1303</v>
      </c>
      <c r="BH8" s="305" t="s">
        <v>656</v>
      </c>
      <c r="BI8" s="201">
        <v>2</v>
      </c>
      <c r="BJ8" s="201">
        <v>1.8</v>
      </c>
      <c r="BK8" s="194" t="s">
        <v>1301</v>
      </c>
      <c r="BL8" s="305" t="s">
        <v>656</v>
      </c>
      <c r="BM8" s="7">
        <v>80</v>
      </c>
      <c r="BN8" s="7" t="s">
        <v>1304</v>
      </c>
      <c r="BO8" s="18" t="s">
        <v>1305</v>
      </c>
      <c r="BP8" s="305" t="s">
        <v>657</v>
      </c>
      <c r="BQ8" s="201">
        <v>2</v>
      </c>
      <c r="BR8" s="201">
        <v>1.8</v>
      </c>
      <c r="BS8" s="194" t="s">
        <v>1301</v>
      </c>
      <c r="BT8" s="305" t="s">
        <v>657</v>
      </c>
      <c r="BU8" s="7">
        <v>80</v>
      </c>
      <c r="BV8" s="7">
        <v>60</v>
      </c>
      <c r="BW8" s="18" t="s">
        <v>1306</v>
      </c>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6"/>
      <c r="DL8" s="16"/>
      <c r="DM8" s="16"/>
      <c r="DN8" s="16"/>
      <c r="DO8" s="16"/>
      <c r="DP8" s="16"/>
      <c r="DQ8" s="16"/>
      <c r="DR8" s="16"/>
      <c r="DS8" s="16"/>
      <c r="DT8" s="16"/>
      <c r="DU8" s="16"/>
      <c r="DV8" s="16"/>
      <c r="DW8" s="16"/>
      <c r="DX8" s="16"/>
      <c r="DY8" s="16"/>
      <c r="DZ8" s="16"/>
      <c r="EA8" s="16"/>
      <c r="EB8" s="16"/>
      <c r="EC8" s="16"/>
      <c r="ED8" s="16"/>
      <c r="EE8" s="16"/>
      <c r="EF8" s="16"/>
      <c r="EG8" s="16"/>
      <c r="EH8" s="16"/>
      <c r="EI8" s="16"/>
      <c r="EJ8" s="16"/>
      <c r="EK8" s="16"/>
      <c r="EL8" s="16"/>
      <c r="EM8" s="16"/>
      <c r="EN8" s="16"/>
      <c r="EO8" s="16"/>
      <c r="EP8" s="16"/>
      <c r="EQ8" s="16"/>
      <c r="ER8" s="16"/>
      <c r="ES8" s="16"/>
      <c r="ET8" s="16"/>
      <c r="EU8" s="16"/>
      <c r="EV8" s="16"/>
      <c r="EW8" s="16"/>
      <c r="EX8" s="16"/>
      <c r="EY8" s="16"/>
      <c r="EZ8" s="16"/>
      <c r="FA8" s="16"/>
      <c r="FB8" s="16"/>
      <c r="FC8" s="16"/>
      <c r="FD8" s="16"/>
      <c r="FE8" s="16"/>
      <c r="FF8" s="16"/>
      <c r="FG8" s="16"/>
      <c r="FH8" s="16"/>
      <c r="FI8" s="16"/>
      <c r="FJ8" s="16"/>
      <c r="FK8" s="16"/>
      <c r="FL8" s="16"/>
      <c r="FM8" s="16"/>
      <c r="FN8" s="16"/>
      <c r="FO8" s="16"/>
      <c r="FP8" s="16"/>
      <c r="FQ8" s="16"/>
      <c r="FR8" s="16"/>
      <c r="FS8" s="16"/>
      <c r="FT8" s="16"/>
      <c r="FU8" s="16"/>
      <c r="FV8" s="16"/>
      <c r="FW8" s="16"/>
      <c r="FX8" s="16"/>
      <c r="FY8" s="16"/>
      <c r="FZ8" s="16"/>
      <c r="GA8" s="16"/>
      <c r="GB8" s="16"/>
      <c r="GC8" s="16"/>
      <c r="GD8" s="16"/>
      <c r="GE8" s="16"/>
      <c r="GF8" s="16"/>
      <c r="GG8" s="16"/>
      <c r="GH8" s="16"/>
      <c r="GI8" s="16"/>
      <c r="GJ8" s="16"/>
      <c r="GK8" s="16"/>
      <c r="GL8" s="16"/>
      <c r="GM8" s="16"/>
      <c r="GN8" s="16"/>
      <c r="GO8" s="16"/>
      <c r="GP8" s="16"/>
      <c r="GQ8" s="16"/>
      <c r="GR8" s="16"/>
      <c r="GS8" s="16"/>
      <c r="GT8" s="16"/>
      <c r="GU8" s="16"/>
      <c r="GV8" s="16"/>
      <c r="GW8" s="16"/>
      <c r="GX8" s="16"/>
      <c r="GY8" s="16"/>
      <c r="GZ8" s="16"/>
      <c r="HA8" s="16"/>
      <c r="HB8" s="16"/>
      <c r="HC8" s="16"/>
      <c r="HD8" s="16"/>
      <c r="HE8" s="16"/>
      <c r="HF8" s="16"/>
      <c r="HG8" s="16"/>
      <c r="HH8" s="16"/>
      <c r="HI8" s="16"/>
      <c r="HJ8" s="16"/>
      <c r="HK8" s="16"/>
      <c r="HL8" s="16"/>
      <c r="HM8" s="16"/>
      <c r="HN8" s="16"/>
      <c r="HO8" s="16"/>
      <c r="HP8" s="16"/>
      <c r="HQ8" s="16"/>
      <c r="HR8" s="16"/>
      <c r="HS8" s="16"/>
      <c r="HT8" s="16"/>
      <c r="HU8" s="16"/>
      <c r="HV8" s="16"/>
      <c r="HW8" s="16"/>
      <c r="HX8" s="16"/>
      <c r="HY8" s="16"/>
      <c r="HZ8" s="16"/>
      <c r="IA8" s="16"/>
      <c r="IB8" s="16"/>
      <c r="IC8" s="16"/>
      <c r="ID8" s="16"/>
      <c r="IE8" s="16"/>
      <c r="IF8" s="16"/>
      <c r="IG8" s="16"/>
      <c r="IH8" s="16"/>
      <c r="II8" s="16"/>
      <c r="IJ8" s="16"/>
      <c r="IK8" s="16"/>
      <c r="IL8" s="16"/>
      <c r="IM8" s="16"/>
      <c r="IN8" s="16"/>
      <c r="IO8" s="16"/>
      <c r="IP8" s="16"/>
      <c r="IQ8" s="16"/>
      <c r="IR8" s="16"/>
      <c r="IS8" s="16"/>
      <c r="IT8" s="16"/>
      <c r="IU8" s="16"/>
      <c r="IV8" s="16"/>
      <c r="IW8" s="16"/>
      <c r="IX8" s="16"/>
      <c r="IY8" s="16"/>
      <c r="IZ8" s="16"/>
      <c r="JA8" s="16"/>
      <c r="JB8" s="16"/>
      <c r="JC8" s="16"/>
      <c r="JD8" s="16"/>
      <c r="JE8" s="16"/>
      <c r="JF8" s="16"/>
      <c r="JG8" s="16"/>
      <c r="JH8" s="16"/>
      <c r="JI8" s="16"/>
      <c r="JJ8" s="16"/>
      <c r="JK8" s="16"/>
      <c r="JL8" s="16"/>
      <c r="JM8" s="16"/>
      <c r="JN8" s="16"/>
      <c r="JO8" s="16"/>
      <c r="JP8" s="16"/>
      <c r="JQ8" s="16"/>
      <c r="JR8" s="16"/>
      <c r="JS8" s="16"/>
      <c r="JT8" s="16"/>
      <c r="JU8" s="16"/>
      <c r="JV8" s="16"/>
      <c r="JW8" s="16"/>
      <c r="JX8" s="16"/>
      <c r="JY8" s="16"/>
      <c r="JZ8" s="16"/>
      <c r="KA8" s="16"/>
      <c r="KB8" s="16"/>
      <c r="KC8" s="16"/>
      <c r="KD8" s="16"/>
      <c r="KE8" s="16"/>
      <c r="KF8" s="16"/>
      <c r="KG8" s="16"/>
      <c r="KH8" s="16"/>
      <c r="KI8" s="16"/>
      <c r="KJ8" s="16"/>
      <c r="KK8" s="16"/>
      <c r="KL8" s="16"/>
      <c r="KM8" s="16"/>
      <c r="KN8" s="16"/>
      <c r="KO8" s="16"/>
      <c r="KP8" s="16"/>
      <c r="KQ8" s="16"/>
      <c r="KR8" s="16"/>
      <c r="KS8" s="16"/>
      <c r="KT8" s="16"/>
      <c r="KU8" s="16"/>
      <c r="KV8" s="16"/>
      <c r="KW8" s="16"/>
      <c r="KX8" s="16"/>
      <c r="KY8" s="16"/>
      <c r="KZ8" s="16"/>
      <c r="LA8" s="16"/>
      <c r="LB8" s="16"/>
      <c r="LC8" s="16"/>
      <c r="LD8" s="16"/>
      <c r="LE8" s="16"/>
      <c r="LF8" s="16"/>
      <c r="LG8" s="16"/>
      <c r="LH8" s="16"/>
      <c r="LI8" s="16"/>
      <c r="LJ8" s="16"/>
      <c r="LK8" s="16"/>
      <c r="LL8" s="16"/>
      <c r="LM8" s="16"/>
      <c r="LN8" s="16"/>
      <c r="LO8" s="16"/>
      <c r="LP8" s="16"/>
      <c r="LQ8" s="16"/>
      <c r="LR8" s="16"/>
      <c r="LS8" s="16"/>
      <c r="LT8" s="16"/>
      <c r="LU8" s="16"/>
      <c r="LV8" s="16"/>
      <c r="LW8" s="16"/>
      <c r="LX8" s="16"/>
      <c r="LY8" s="16"/>
      <c r="LZ8" s="16"/>
      <c r="MA8" s="16"/>
      <c r="MB8" s="16"/>
      <c r="MC8" s="16"/>
      <c r="MD8" s="16"/>
      <c r="ME8" s="16"/>
      <c r="MF8" s="16"/>
      <c r="MG8" s="16"/>
      <c r="MH8" s="16"/>
      <c r="MI8" s="16"/>
      <c r="MJ8" s="16"/>
      <c r="MK8" s="16"/>
      <c r="ML8" s="16"/>
      <c r="MM8" s="16"/>
      <c r="MN8" s="16"/>
      <c r="MO8" s="16"/>
      <c r="MP8" s="16"/>
      <c r="MQ8" s="16"/>
      <c r="MR8" s="16"/>
      <c r="MS8" s="16"/>
      <c r="MT8" s="16"/>
      <c r="MU8" s="16"/>
      <c r="MV8" s="16"/>
      <c r="MW8" s="16"/>
      <c r="MX8" s="16"/>
      <c r="MY8" s="16"/>
      <c r="MZ8" s="16"/>
      <c r="NA8" s="16"/>
      <c r="NB8" s="16"/>
      <c r="NC8" s="16"/>
      <c r="ND8" s="16"/>
      <c r="NE8" s="16"/>
      <c r="NF8" s="16"/>
      <c r="NG8" s="16"/>
      <c r="NH8" s="16"/>
      <c r="NI8" s="16"/>
      <c r="NJ8" s="16"/>
      <c r="NK8" s="16"/>
      <c r="NL8" s="16"/>
      <c r="NM8" s="16"/>
      <c r="NN8" s="16"/>
      <c r="NO8" s="16"/>
      <c r="NP8" s="16"/>
      <c r="NQ8" s="16"/>
      <c r="NR8" s="16"/>
      <c r="NS8" s="16"/>
      <c r="NT8" s="16"/>
      <c r="NU8" s="16"/>
      <c r="NV8" s="16"/>
      <c r="NW8" s="16"/>
      <c r="NX8" s="16"/>
      <c r="NY8" s="16"/>
      <c r="NZ8" s="16"/>
      <c r="OA8" s="16"/>
      <c r="OB8" s="16"/>
      <c r="OC8" s="16"/>
      <c r="OD8" s="16"/>
      <c r="OE8" s="16"/>
      <c r="OF8" s="16"/>
      <c r="OG8" s="16"/>
      <c r="OH8" s="16"/>
      <c r="OI8" s="16"/>
      <c r="OJ8" s="16"/>
      <c r="OK8" s="16"/>
      <c r="OL8" s="16"/>
      <c r="OM8" s="16"/>
      <c r="ON8" s="16"/>
      <c r="OO8" s="16"/>
      <c r="OP8" s="16"/>
      <c r="OQ8" s="16"/>
      <c r="OR8" s="16"/>
      <c r="OS8" s="16"/>
      <c r="OT8" s="16"/>
      <c r="OU8" s="16"/>
      <c r="OV8" s="16"/>
      <c r="OW8" s="16"/>
      <c r="OX8" s="16"/>
      <c r="OY8" s="16"/>
      <c r="OZ8" s="16"/>
      <c r="PA8" s="16"/>
      <c r="PB8" s="16"/>
      <c r="PC8" s="16"/>
      <c r="PD8" s="16"/>
      <c r="PE8" s="16"/>
      <c r="PF8" s="16"/>
      <c r="PG8" s="16"/>
      <c r="PH8" s="16"/>
      <c r="PI8" s="16"/>
      <c r="PJ8" s="16"/>
      <c r="PK8" s="16"/>
      <c r="PL8" s="16"/>
      <c r="PM8" s="16"/>
      <c r="PN8" s="16"/>
      <c r="PO8" s="16"/>
      <c r="PP8" s="16"/>
      <c r="PQ8" s="16"/>
      <c r="PR8" s="16"/>
      <c r="PS8" s="16"/>
      <c r="PT8" s="16"/>
      <c r="PU8" s="16"/>
      <c r="PV8" s="16"/>
      <c r="PW8" s="16"/>
      <c r="PX8" s="16"/>
      <c r="PY8" s="16"/>
      <c r="PZ8" s="16"/>
      <c r="QA8" s="16"/>
      <c r="QB8" s="16"/>
      <c r="QC8" s="16"/>
      <c r="QD8" s="16"/>
      <c r="QE8" s="16"/>
      <c r="QF8" s="16"/>
      <c r="QG8" s="16"/>
      <c r="QH8" s="16"/>
      <c r="QI8" s="16"/>
      <c r="QJ8" s="16"/>
      <c r="QK8" s="16"/>
      <c r="QL8" s="16"/>
      <c r="QM8" s="16"/>
      <c r="QN8" s="16"/>
      <c r="QO8" s="16"/>
      <c r="QP8" s="16"/>
      <c r="QQ8" s="16"/>
      <c r="QR8" s="16"/>
      <c r="QS8" s="16"/>
      <c r="QT8" s="16"/>
      <c r="QU8" s="16"/>
      <c r="QV8" s="16"/>
      <c r="QW8" s="16"/>
      <c r="QX8" s="16"/>
      <c r="QY8" s="16"/>
      <c r="QZ8" s="16"/>
      <c r="RA8" s="16"/>
      <c r="RB8" s="16"/>
      <c r="RC8" s="16"/>
      <c r="RD8" s="16"/>
      <c r="RE8" s="16"/>
      <c r="RF8" s="16"/>
      <c r="RG8" s="16"/>
      <c r="RH8" s="16"/>
      <c r="RI8" s="16"/>
      <c r="RJ8" s="16"/>
      <c r="RK8" s="16"/>
      <c r="RL8" s="16"/>
      <c r="RM8" s="16"/>
      <c r="RN8" s="16"/>
      <c r="RO8" s="16"/>
      <c r="RP8" s="16"/>
      <c r="RQ8" s="16"/>
      <c r="RR8" s="16"/>
      <c r="RS8" s="16"/>
      <c r="RT8" s="16"/>
      <c r="RU8" s="16"/>
      <c r="RV8" s="16"/>
      <c r="RW8" s="16"/>
      <c r="RX8" s="16"/>
      <c r="RY8" s="16"/>
      <c r="RZ8" s="16"/>
      <c r="SA8" s="16"/>
      <c r="SB8" s="16"/>
      <c r="SC8" s="16"/>
      <c r="SD8" s="16"/>
      <c r="SE8" s="16"/>
      <c r="SF8" s="16"/>
      <c r="SG8" s="16"/>
      <c r="SH8" s="16"/>
      <c r="SI8" s="16"/>
      <c r="SJ8" s="16"/>
      <c r="SK8" s="16"/>
      <c r="SL8" s="16"/>
      <c r="SM8" s="16"/>
      <c r="SN8" s="16"/>
      <c r="SO8" s="16"/>
      <c r="SP8" s="16"/>
      <c r="SQ8" s="16"/>
      <c r="SR8" s="16"/>
      <c r="SS8" s="16"/>
      <c r="ST8" s="16"/>
      <c r="SU8" s="16"/>
      <c r="SV8" s="16"/>
      <c r="SW8" s="16"/>
      <c r="SX8" s="16"/>
      <c r="SY8" s="16"/>
      <c r="SZ8" s="16"/>
      <c r="TA8" s="16"/>
      <c r="TB8" s="16"/>
      <c r="TC8" s="16"/>
      <c r="TD8" s="16"/>
      <c r="TE8" s="16"/>
      <c r="TF8" s="16"/>
      <c r="TG8" s="16"/>
      <c r="TH8" s="16"/>
      <c r="TI8" s="16"/>
      <c r="TJ8" s="16"/>
      <c r="TK8" s="16"/>
      <c r="TL8" s="16"/>
      <c r="TM8" s="16"/>
      <c r="TN8" s="16"/>
      <c r="TO8" s="16"/>
      <c r="TP8" s="16"/>
      <c r="TQ8" s="16"/>
      <c r="TR8" s="16"/>
      <c r="TS8" s="16"/>
      <c r="TT8" s="16"/>
      <c r="TU8" s="16"/>
      <c r="TV8" s="16"/>
      <c r="TW8" s="16"/>
      <c r="TX8" s="16"/>
      <c r="TY8" s="16"/>
      <c r="TZ8" s="16"/>
      <c r="UA8" s="16"/>
      <c r="UB8" s="16"/>
      <c r="UC8" s="16"/>
      <c r="UD8" s="16"/>
      <c r="UE8" s="16"/>
      <c r="UF8" s="16"/>
      <c r="UG8" s="16"/>
      <c r="UH8" s="16"/>
      <c r="UI8" s="16"/>
      <c r="UJ8" s="16"/>
      <c r="UK8" s="16"/>
      <c r="UL8" s="16"/>
      <c r="UM8" s="16"/>
      <c r="UN8" s="16"/>
      <c r="UO8" s="16"/>
      <c r="UP8" s="16"/>
      <c r="UQ8" s="16"/>
      <c r="UR8" s="16"/>
      <c r="US8" s="16"/>
      <c r="UT8" s="16"/>
      <c r="UU8" s="16"/>
      <c r="UV8" s="16"/>
      <c r="UW8" s="16"/>
      <c r="UX8" s="16"/>
      <c r="UY8" s="16"/>
      <c r="UZ8" s="16"/>
      <c r="VA8" s="16"/>
      <c r="VB8" s="16"/>
      <c r="VC8" s="16"/>
      <c r="VD8" s="16"/>
      <c r="VE8" s="16"/>
      <c r="VF8" s="16"/>
      <c r="VG8" s="16"/>
      <c r="VH8" s="16"/>
      <c r="VI8" s="16"/>
      <c r="VJ8" s="16"/>
      <c r="VK8" s="16"/>
      <c r="VL8" s="16"/>
      <c r="VM8" s="16"/>
      <c r="VN8" s="16"/>
      <c r="VO8" s="16"/>
      <c r="VP8" s="16"/>
      <c r="VQ8" s="16"/>
      <c r="VR8" s="16"/>
      <c r="VS8" s="16"/>
      <c r="VT8" s="16"/>
      <c r="VU8" s="16"/>
      <c r="VV8" s="16"/>
      <c r="VW8" s="16"/>
      <c r="VX8" s="16"/>
      <c r="VY8" s="16"/>
      <c r="VZ8" s="16"/>
      <c r="WA8" s="16"/>
      <c r="WB8" s="16"/>
      <c r="WC8" s="16"/>
      <c r="WD8" s="16"/>
      <c r="WE8" s="16"/>
      <c r="WF8" s="16"/>
      <c r="WG8" s="16"/>
      <c r="WH8" s="16"/>
      <c r="WI8" s="16"/>
      <c r="WJ8" s="16"/>
      <c r="WK8" s="16"/>
      <c r="WL8" s="16"/>
      <c r="WM8" s="16"/>
      <c r="WN8" s="16"/>
      <c r="WO8" s="16"/>
      <c r="WP8" s="16"/>
      <c r="WQ8" s="16"/>
      <c r="WR8" s="16"/>
      <c r="WS8" s="16"/>
      <c r="WT8" s="16"/>
      <c r="WU8" s="16"/>
      <c r="WV8" s="16"/>
      <c r="WW8" s="16"/>
      <c r="WX8" s="16"/>
      <c r="WY8" s="16"/>
      <c r="WZ8" s="16"/>
      <c r="XA8" s="16"/>
      <c r="XB8" s="16"/>
      <c r="XC8" s="16"/>
      <c r="XD8" s="16"/>
      <c r="XE8" s="16"/>
      <c r="XF8" s="16"/>
      <c r="XG8" s="16"/>
      <c r="XH8" s="16"/>
      <c r="XI8" s="16"/>
      <c r="XJ8" s="16"/>
      <c r="XK8" s="16"/>
      <c r="XL8" s="16"/>
      <c r="XM8" s="16"/>
      <c r="XN8" s="16"/>
      <c r="XO8" s="16"/>
      <c r="XP8" s="16"/>
      <c r="XQ8" s="16"/>
      <c r="XR8" s="16"/>
      <c r="XS8" s="16"/>
      <c r="XT8" s="16"/>
      <c r="XU8" s="16"/>
      <c r="XV8" s="16"/>
      <c r="XW8" s="16"/>
      <c r="XX8" s="16"/>
      <c r="XY8" s="16"/>
      <c r="XZ8" s="16"/>
      <c r="YA8" s="16"/>
      <c r="YB8" s="16"/>
      <c r="YC8" s="16"/>
      <c r="YD8" s="16"/>
      <c r="YE8" s="16"/>
      <c r="YF8" s="16"/>
      <c r="YG8" s="16"/>
      <c r="YH8" s="16"/>
      <c r="YI8" s="16"/>
      <c r="YJ8" s="16"/>
      <c r="YK8" s="16"/>
      <c r="YL8" s="16"/>
      <c r="YM8" s="16"/>
      <c r="YN8" s="16"/>
      <c r="YO8" s="16"/>
      <c r="YP8" s="16"/>
      <c r="YQ8" s="16"/>
      <c r="YR8" s="16"/>
      <c r="YS8" s="16"/>
      <c r="YT8" s="16"/>
      <c r="YU8" s="16"/>
      <c r="YV8" s="16"/>
      <c r="YW8" s="16"/>
      <c r="YX8" s="16"/>
      <c r="YY8" s="16"/>
      <c r="YZ8" s="16"/>
      <c r="ZA8" s="16"/>
      <c r="ZB8" s="16"/>
      <c r="ZC8" s="16"/>
      <c r="ZD8" s="16"/>
      <c r="ZE8" s="16"/>
      <c r="ZF8" s="16"/>
      <c r="ZG8" s="16"/>
      <c r="ZH8" s="16"/>
      <c r="ZI8" s="16"/>
      <c r="ZJ8" s="16"/>
      <c r="ZK8" s="16"/>
      <c r="ZL8" s="16"/>
      <c r="ZM8" s="16"/>
      <c r="ZN8" s="16"/>
      <c r="ZO8" s="16"/>
      <c r="ZP8" s="16"/>
      <c r="ZQ8" s="16"/>
      <c r="ZR8" s="16"/>
      <c r="ZS8" s="16"/>
      <c r="ZT8" s="16"/>
      <c r="ZU8" s="16"/>
      <c r="ZV8" s="16"/>
      <c r="ZW8" s="16"/>
      <c r="ZX8" s="16"/>
      <c r="ZY8" s="16"/>
      <c r="ZZ8" s="16"/>
      <c r="AAA8" s="16"/>
      <c r="AAB8" s="16"/>
      <c r="AAC8" s="16"/>
      <c r="AAD8" s="16"/>
      <c r="AAE8" s="16"/>
      <c r="AAF8" s="16"/>
      <c r="AAG8" s="16"/>
      <c r="AAH8" s="16"/>
      <c r="AAI8" s="16"/>
      <c r="AAJ8" s="16"/>
      <c r="AAK8" s="16"/>
      <c r="AAL8" s="16"/>
      <c r="AAM8" s="16"/>
      <c r="AAN8" s="16"/>
      <c r="AAO8" s="16"/>
      <c r="AAP8" s="16"/>
      <c r="AAQ8" s="16"/>
      <c r="AAR8" s="16"/>
      <c r="AAS8" s="16"/>
      <c r="AAT8" s="16"/>
      <c r="AAU8" s="16"/>
      <c r="AAV8" s="16"/>
      <c r="AAW8" s="16"/>
      <c r="AAX8" s="16"/>
      <c r="AAY8" s="16"/>
      <c r="AAZ8" s="16"/>
      <c r="ABA8" s="16"/>
      <c r="ABB8" s="16"/>
      <c r="ABC8" s="16"/>
      <c r="ABD8" s="16"/>
      <c r="ABE8" s="16"/>
      <c r="ABF8" s="16"/>
      <c r="ABG8" s="16"/>
      <c r="ABH8" s="16"/>
      <c r="ABI8" s="16"/>
      <c r="ABJ8" s="16"/>
      <c r="ABK8" s="16"/>
      <c r="ABL8" s="16"/>
      <c r="ABM8" s="16"/>
      <c r="ABN8" s="16"/>
      <c r="ABO8" s="16"/>
      <c r="ABP8" s="16"/>
      <c r="ABQ8" s="16"/>
      <c r="ABR8" s="16"/>
      <c r="ABS8" s="16"/>
      <c r="ABT8" s="16"/>
      <c r="ABU8" s="16"/>
      <c r="ABV8" s="16"/>
      <c r="ABW8" s="16"/>
      <c r="ABX8" s="16"/>
      <c r="ABY8" s="16"/>
      <c r="ABZ8" s="16"/>
      <c r="ACA8" s="16"/>
      <c r="ACB8" s="16"/>
      <c r="ACC8" s="16"/>
      <c r="ACD8" s="16"/>
      <c r="ACE8" s="16"/>
      <c r="ACF8" s="16"/>
      <c r="ACG8" s="16"/>
      <c r="ACH8" s="16"/>
      <c r="ACI8" s="16"/>
      <c r="ACJ8" s="16"/>
      <c r="ACK8" s="16"/>
      <c r="ACL8" s="16"/>
      <c r="ACM8" s="16"/>
      <c r="ACN8" s="16"/>
      <c r="ACO8" s="16"/>
      <c r="ACP8" s="16"/>
      <c r="ACQ8" s="16"/>
      <c r="ACR8" s="16"/>
      <c r="ACS8" s="16"/>
      <c r="ACT8" s="16"/>
      <c r="ACU8" s="16"/>
      <c r="ACV8" s="16"/>
      <c r="ACW8" s="16"/>
      <c r="ACX8" s="16"/>
      <c r="ACY8" s="16"/>
      <c r="ACZ8" s="16"/>
      <c r="ADA8" s="16"/>
      <c r="ADB8" s="16"/>
      <c r="ADC8" s="16"/>
      <c r="ADD8" s="16"/>
      <c r="ADE8" s="16"/>
      <c r="ADF8" s="16"/>
      <c r="ADG8" s="16"/>
      <c r="ADH8" s="16"/>
      <c r="ADI8" s="16"/>
      <c r="ADJ8" s="16"/>
      <c r="ADK8" s="16"/>
      <c r="ADL8" s="16"/>
      <c r="ADM8" s="16"/>
      <c r="ADN8" s="16"/>
      <c r="ADO8" s="16"/>
      <c r="ADP8" s="16"/>
      <c r="ADQ8" s="16"/>
      <c r="ADR8" s="16"/>
      <c r="ADS8" s="16"/>
      <c r="ADT8" s="16"/>
      <c r="ADU8" s="16"/>
      <c r="ADV8" s="16"/>
      <c r="ADW8" s="16"/>
      <c r="ADX8" s="16"/>
      <c r="ADY8" s="16"/>
      <c r="ADZ8" s="16"/>
      <c r="AEA8" s="16"/>
      <c r="AEB8" s="16"/>
      <c r="AEC8" s="16"/>
      <c r="AED8" s="16"/>
      <c r="AEE8" s="16"/>
      <c r="AEF8" s="16"/>
      <c r="AEG8" s="16"/>
      <c r="AEH8" s="16"/>
      <c r="AEI8" s="16"/>
      <c r="AEJ8" s="16"/>
      <c r="AEK8" s="16"/>
      <c r="AEL8" s="16"/>
      <c r="AEM8" s="16"/>
      <c r="AEN8" s="16"/>
      <c r="AEO8" s="16"/>
      <c r="AEP8" s="16"/>
      <c r="AEQ8" s="16"/>
      <c r="AER8" s="16"/>
      <c r="AES8" s="16"/>
      <c r="AET8" s="16"/>
      <c r="AEU8" s="16"/>
      <c r="AEV8" s="16"/>
      <c r="AEW8" s="16"/>
      <c r="AEX8" s="16"/>
      <c r="AEY8" s="16"/>
      <c r="AEZ8" s="16"/>
      <c r="AFA8" s="16"/>
      <c r="AFB8" s="16"/>
      <c r="AFC8" s="16"/>
      <c r="AFD8" s="16"/>
      <c r="AFE8" s="16"/>
      <c r="AFF8" s="16"/>
      <c r="AFG8" s="16"/>
      <c r="AFH8" s="16"/>
      <c r="AFI8" s="16"/>
      <c r="AFJ8" s="16"/>
      <c r="AFK8" s="16"/>
      <c r="AFL8" s="16"/>
      <c r="AFM8" s="16"/>
      <c r="AFN8" s="16"/>
      <c r="AFO8" s="16"/>
      <c r="AFP8" s="16"/>
      <c r="AFQ8" s="16"/>
      <c r="AFR8" s="16"/>
      <c r="AFS8" s="16"/>
      <c r="AFT8" s="16"/>
      <c r="AFU8" s="16"/>
      <c r="AFV8" s="16"/>
      <c r="AFW8" s="16"/>
      <c r="AFX8" s="16"/>
      <c r="AFY8" s="16"/>
      <c r="AFZ8" s="16"/>
      <c r="AGA8" s="16"/>
      <c r="AGB8" s="16"/>
      <c r="AGC8" s="16"/>
      <c r="AGD8" s="16"/>
      <c r="AGE8" s="16"/>
      <c r="AGF8" s="16"/>
      <c r="AGG8" s="16"/>
      <c r="AGH8" s="16"/>
      <c r="AGI8" s="16"/>
      <c r="AGJ8" s="16"/>
      <c r="AGK8" s="16"/>
      <c r="AGL8" s="16"/>
      <c r="AGM8" s="16"/>
      <c r="AGN8" s="16"/>
      <c r="AGO8" s="16"/>
      <c r="AGP8" s="16"/>
      <c r="AGQ8" s="16"/>
      <c r="AGR8" s="16"/>
      <c r="AGS8" s="16"/>
      <c r="AGT8" s="16"/>
      <c r="AGU8" s="16"/>
      <c r="AGV8" s="16"/>
      <c r="AGW8" s="16"/>
      <c r="AGX8" s="16"/>
      <c r="AGY8" s="16"/>
      <c r="AGZ8" s="16"/>
      <c r="AHA8" s="16"/>
      <c r="AHB8" s="16"/>
      <c r="AHC8" s="16"/>
      <c r="AHD8" s="16"/>
      <c r="AHE8" s="16"/>
      <c r="AHF8" s="16"/>
      <c r="AHG8" s="16"/>
      <c r="AHH8" s="16"/>
      <c r="AHI8" s="16"/>
      <c r="AHJ8" s="16"/>
      <c r="AHK8" s="16"/>
      <c r="AHL8" s="16"/>
      <c r="AHM8" s="16"/>
      <c r="AHN8" s="16"/>
      <c r="AHO8" s="16"/>
      <c r="AHP8" s="16"/>
      <c r="AHQ8" s="16"/>
      <c r="AHR8" s="16"/>
      <c r="AHS8" s="16"/>
      <c r="AHT8" s="16"/>
      <c r="AHU8" s="16"/>
      <c r="AHV8" s="16"/>
      <c r="AHW8" s="16"/>
      <c r="AHX8" s="16"/>
      <c r="AHY8" s="16"/>
      <c r="AHZ8" s="16"/>
      <c r="AIA8" s="16"/>
      <c r="AIB8" s="16"/>
      <c r="AIC8" s="16"/>
      <c r="AID8" s="16"/>
      <c r="AIE8" s="16"/>
      <c r="AIF8" s="16"/>
      <c r="AIG8" s="16"/>
      <c r="AIH8" s="16"/>
      <c r="AII8" s="16"/>
      <c r="AIJ8" s="16"/>
      <c r="AIK8" s="16"/>
      <c r="AIL8" s="16"/>
      <c r="AIM8" s="16"/>
      <c r="AIN8" s="16"/>
      <c r="AIO8" s="16"/>
      <c r="AIP8" s="16"/>
      <c r="AIQ8" s="16"/>
      <c r="AIR8" s="16"/>
      <c r="AIS8" s="16"/>
      <c r="AIT8" s="16"/>
      <c r="AIU8" s="16"/>
      <c r="AIV8" s="16"/>
      <c r="AIW8" s="16"/>
      <c r="AIX8" s="16"/>
      <c r="AIY8" s="16"/>
      <c r="AIZ8" s="16"/>
      <c r="AJA8" s="16"/>
      <c r="AJB8" s="16"/>
      <c r="AJC8" s="16"/>
      <c r="AJD8" s="16"/>
      <c r="AJE8" s="16"/>
      <c r="AJF8" s="16"/>
      <c r="AJG8" s="16"/>
      <c r="AJH8" s="16"/>
      <c r="AJI8" s="16"/>
      <c r="AJJ8" s="16"/>
      <c r="AJK8" s="16"/>
      <c r="AJL8" s="16"/>
      <c r="AJM8" s="16"/>
      <c r="AJN8" s="16"/>
      <c r="AJO8" s="16"/>
      <c r="AJP8" s="16"/>
      <c r="AJQ8" s="16"/>
      <c r="AJR8" s="16"/>
      <c r="AJS8" s="16"/>
      <c r="AJT8" s="16"/>
      <c r="AJU8" s="16"/>
      <c r="AJV8" s="16"/>
      <c r="AJW8" s="16"/>
      <c r="AJX8" s="16"/>
      <c r="AJY8" s="16"/>
      <c r="AJZ8" s="16"/>
      <c r="AKA8" s="16"/>
      <c r="AKB8" s="16"/>
      <c r="AKC8" s="16"/>
      <c r="AKD8" s="16"/>
      <c r="AKE8" s="16"/>
      <c r="AKF8" s="16"/>
      <c r="AKG8" s="16"/>
      <c r="AKH8" s="16"/>
      <c r="AKI8" s="16"/>
      <c r="AKJ8" s="16"/>
      <c r="AKK8" s="16"/>
      <c r="AKL8" s="16"/>
      <c r="AKM8" s="16"/>
      <c r="AKN8" s="16"/>
      <c r="AKO8" s="16"/>
      <c r="AKP8" s="16"/>
      <c r="AKQ8" s="16"/>
      <c r="AKR8" s="16"/>
      <c r="AKS8" s="16"/>
      <c r="AKT8" s="16"/>
      <c r="AKU8" s="16"/>
      <c r="AKV8" s="16"/>
      <c r="AKW8" s="16"/>
      <c r="AKX8" s="16"/>
      <c r="AKY8" s="16"/>
      <c r="AKZ8" s="16"/>
      <c r="ALA8" s="16"/>
      <c r="ALB8" s="16"/>
      <c r="ALC8" s="16"/>
      <c r="ALD8" s="16"/>
      <c r="ALE8" s="16"/>
      <c r="ALF8" s="16"/>
      <c r="ALG8" s="16"/>
      <c r="ALH8" s="16"/>
      <c r="ALI8" s="16"/>
      <c r="ALJ8" s="16"/>
      <c r="ALK8" s="16"/>
      <c r="ALL8" s="16"/>
      <c r="ALM8" s="16"/>
      <c r="ALN8" s="16"/>
      <c r="ALO8" s="16"/>
      <c r="ALP8" s="16"/>
      <c r="ALQ8" s="16"/>
      <c r="ALR8" s="16"/>
      <c r="ALS8" s="16"/>
      <c r="ALT8" s="16"/>
      <c r="ALU8" s="16"/>
      <c r="ALV8" s="16"/>
      <c r="ALW8" s="16"/>
      <c r="ALX8" s="16"/>
      <c r="ALY8" s="16"/>
      <c r="ALZ8" s="16"/>
      <c r="AMA8" s="16"/>
      <c r="AMB8" s="16"/>
      <c r="AMC8" s="16"/>
      <c r="AMD8" s="16"/>
      <c r="AME8" s="16"/>
      <c r="AMF8" s="16"/>
      <c r="AMG8" s="16"/>
      <c r="AMH8" s="16"/>
      <c r="AMI8" s="16"/>
      <c r="AMJ8" s="16"/>
      <c r="AMK8" s="16"/>
      <c r="AML8" s="16"/>
      <c r="AMM8" s="16"/>
      <c r="AMN8" s="16"/>
      <c r="AMO8" s="16"/>
      <c r="AMP8" s="16"/>
      <c r="AMQ8" s="16"/>
      <c r="AMR8" s="16"/>
      <c r="AMS8" s="16"/>
      <c r="AMT8" s="16"/>
      <c r="AMU8" s="16"/>
      <c r="AMV8" s="16"/>
      <c r="AMW8" s="16"/>
      <c r="AMX8" s="16"/>
      <c r="AMY8" s="16"/>
      <c r="AMZ8" s="16"/>
      <c r="ANA8" s="16"/>
      <c r="ANB8" s="16"/>
      <c r="ANC8" s="16"/>
      <c r="AND8" s="16"/>
      <c r="ANE8" s="16"/>
      <c r="ANF8" s="16"/>
      <c r="ANG8" s="16"/>
      <c r="ANH8" s="16"/>
      <c r="ANI8" s="16"/>
      <c r="ANJ8" s="16"/>
      <c r="ANK8" s="16"/>
      <c r="ANL8" s="16"/>
      <c r="ANM8" s="16"/>
      <c r="ANN8" s="16"/>
      <c r="ANO8" s="16"/>
      <c r="ANP8" s="16"/>
      <c r="ANQ8" s="16"/>
      <c r="ANR8" s="16"/>
      <c r="ANS8" s="16"/>
      <c r="ANT8" s="16"/>
      <c r="ANU8" s="16"/>
      <c r="ANV8" s="16"/>
      <c r="ANW8" s="16"/>
      <c r="ANX8" s="16"/>
      <c r="ANY8" s="16"/>
      <c r="ANZ8" s="16"/>
      <c r="AOA8" s="16"/>
      <c r="AOB8" s="16"/>
      <c r="AOC8" s="16"/>
      <c r="AOD8" s="16"/>
      <c r="AOE8" s="16"/>
      <c r="AOF8" s="16"/>
      <c r="AOG8" s="16"/>
      <c r="AOH8" s="16"/>
      <c r="AOI8" s="16"/>
      <c r="AOJ8" s="16"/>
      <c r="AOK8" s="16"/>
      <c r="AOL8" s="16"/>
      <c r="AOM8" s="16"/>
      <c r="AON8" s="16"/>
      <c r="AOO8" s="16"/>
      <c r="AOP8" s="16"/>
      <c r="AOQ8" s="16"/>
      <c r="AOR8" s="16"/>
      <c r="AOS8" s="16"/>
      <c r="AOT8" s="16"/>
      <c r="AOU8" s="16"/>
      <c r="AOV8" s="16"/>
      <c r="AOW8" s="16"/>
      <c r="AOX8" s="16"/>
      <c r="AOY8" s="16"/>
      <c r="AOZ8" s="16"/>
      <c r="APA8" s="16"/>
      <c r="APB8" s="16"/>
      <c r="APC8" s="16"/>
      <c r="APD8" s="16"/>
      <c r="APE8" s="16"/>
      <c r="APF8" s="16"/>
      <c r="APG8" s="16"/>
      <c r="APH8" s="16"/>
      <c r="API8" s="16"/>
      <c r="APJ8" s="16"/>
      <c r="APK8" s="16"/>
      <c r="APL8" s="16"/>
      <c r="APM8" s="16"/>
      <c r="APN8" s="16"/>
      <c r="APO8" s="16"/>
      <c r="APP8" s="16"/>
      <c r="APQ8" s="16"/>
      <c r="APR8" s="16"/>
      <c r="APS8" s="16"/>
      <c r="APT8" s="16"/>
      <c r="APU8" s="16"/>
      <c r="APV8" s="16"/>
      <c r="APW8" s="16"/>
      <c r="APX8" s="16"/>
      <c r="APY8" s="16"/>
      <c r="APZ8" s="16"/>
      <c r="AQA8" s="16"/>
      <c r="AQB8" s="16"/>
      <c r="AQC8" s="16"/>
      <c r="AQD8" s="16"/>
      <c r="AQE8" s="16"/>
      <c r="AQF8" s="16"/>
      <c r="AQG8" s="16"/>
      <c r="AQH8" s="16"/>
      <c r="AQI8" s="16"/>
      <c r="AQJ8" s="16"/>
      <c r="AQK8" s="16"/>
      <c r="AQL8" s="16"/>
      <c r="AQM8" s="16"/>
      <c r="AQN8" s="16"/>
      <c r="AQO8" s="16"/>
      <c r="AQP8" s="16"/>
      <c r="AQQ8" s="16"/>
      <c r="AQR8" s="16"/>
      <c r="AQS8" s="16"/>
      <c r="AQT8" s="16"/>
      <c r="AQU8" s="16"/>
      <c r="AQV8" s="16"/>
      <c r="AQW8" s="16"/>
      <c r="AQX8" s="16"/>
      <c r="AQY8" s="16"/>
      <c r="AQZ8" s="16"/>
      <c r="ARA8" s="16"/>
      <c r="ARB8" s="16"/>
      <c r="ARC8" s="16"/>
      <c r="ARD8" s="16"/>
      <c r="ARE8" s="16"/>
      <c r="ARF8" s="16"/>
      <c r="ARG8" s="16"/>
      <c r="ARH8" s="16"/>
      <c r="ARI8" s="16"/>
      <c r="ARJ8" s="16"/>
      <c r="ARK8" s="16"/>
      <c r="ARL8" s="16"/>
      <c r="ARM8" s="16"/>
      <c r="ARN8" s="16"/>
      <c r="ARO8" s="16"/>
      <c r="ARP8" s="16"/>
      <c r="ARQ8" s="16"/>
      <c r="ARR8" s="16"/>
      <c r="ARS8" s="16"/>
      <c r="ART8" s="16"/>
      <c r="ARU8" s="16"/>
      <c r="ARV8" s="16"/>
      <c r="ARW8" s="16"/>
      <c r="ARX8" s="16"/>
      <c r="ARY8" s="16"/>
      <c r="ARZ8" s="16"/>
      <c r="ASA8" s="16"/>
      <c r="ASB8" s="16"/>
      <c r="ASC8" s="16"/>
      <c r="ASD8" s="16"/>
      <c r="ASE8" s="16"/>
      <c r="ASF8" s="16"/>
      <c r="ASG8" s="16"/>
      <c r="ASH8" s="16"/>
      <c r="ASI8" s="16"/>
      <c r="ASJ8" s="16"/>
      <c r="ASK8" s="16"/>
      <c r="ASL8" s="16"/>
      <c r="ASM8" s="16"/>
      <c r="ASN8" s="16"/>
      <c r="ASO8" s="16"/>
      <c r="ASP8" s="16"/>
      <c r="ASQ8" s="16"/>
      <c r="ASR8" s="16"/>
      <c r="ASS8" s="16"/>
      <c r="AST8" s="16"/>
      <c r="ASU8" s="16"/>
      <c r="ASV8" s="16"/>
      <c r="ASW8" s="16"/>
      <c r="ASX8" s="16"/>
      <c r="ASY8" s="16"/>
      <c r="ASZ8" s="16"/>
      <c r="ATA8" s="16"/>
      <c r="ATB8" s="16"/>
      <c r="ATC8" s="16"/>
      <c r="ATD8" s="16"/>
      <c r="ATE8" s="16"/>
      <c r="ATF8" s="16"/>
      <c r="ATG8" s="16"/>
      <c r="ATH8" s="16"/>
      <c r="ATI8" s="16"/>
      <c r="ATJ8" s="16"/>
      <c r="ATK8" s="16"/>
      <c r="ATL8" s="16"/>
      <c r="ATM8" s="16"/>
      <c r="ATN8" s="16"/>
      <c r="ATO8" s="16"/>
      <c r="ATP8" s="16"/>
      <c r="ATQ8" s="16"/>
      <c r="ATR8" s="16"/>
      <c r="ATS8" s="16"/>
      <c r="ATT8" s="16"/>
      <c r="ATU8" s="16"/>
      <c r="ATV8" s="16"/>
      <c r="ATW8" s="16"/>
      <c r="ATX8" s="16"/>
      <c r="ATY8" s="16"/>
      <c r="ATZ8" s="16"/>
      <c r="AUA8" s="16"/>
      <c r="AUB8" s="16"/>
      <c r="AUC8" s="16"/>
      <c r="AUD8" s="16"/>
      <c r="AUE8" s="16"/>
      <c r="AUF8" s="16"/>
      <c r="AUG8" s="16"/>
      <c r="AUH8" s="16"/>
      <c r="AUI8" s="16"/>
      <c r="AUJ8" s="16"/>
      <c r="AUK8" s="16"/>
      <c r="AUL8" s="16"/>
      <c r="AUM8" s="16"/>
      <c r="AUN8" s="16"/>
      <c r="AUO8" s="16"/>
      <c r="AUP8" s="16"/>
      <c r="AUQ8" s="16"/>
      <c r="AUR8" s="16"/>
      <c r="AUS8" s="16"/>
      <c r="AUT8" s="16"/>
      <c r="AUU8" s="16"/>
      <c r="AUV8" s="16"/>
      <c r="AUW8" s="16"/>
      <c r="AUX8" s="16"/>
      <c r="AUY8" s="16"/>
      <c r="AUZ8" s="16"/>
      <c r="AVA8" s="16"/>
      <c r="AVB8" s="16"/>
      <c r="AVC8" s="16"/>
      <c r="AVD8" s="16"/>
      <c r="AVE8" s="16"/>
      <c r="AVF8" s="16"/>
      <c r="AVG8" s="16"/>
      <c r="AVH8" s="16"/>
      <c r="AVI8" s="16"/>
      <c r="AVJ8" s="16"/>
      <c r="AVK8" s="16"/>
      <c r="AVL8" s="16"/>
      <c r="AVM8" s="16"/>
      <c r="AVN8" s="16"/>
      <c r="AVO8" s="16"/>
      <c r="AVP8" s="16"/>
      <c r="AVQ8" s="16"/>
      <c r="AVR8" s="16"/>
      <c r="AVS8" s="16"/>
      <c r="AVT8" s="16"/>
      <c r="AVU8" s="16"/>
      <c r="AVV8" s="16"/>
      <c r="AVW8" s="16"/>
      <c r="AVX8" s="16"/>
      <c r="AVY8" s="16"/>
      <c r="AVZ8" s="16"/>
      <c r="AWA8" s="16"/>
      <c r="AWB8" s="16"/>
      <c r="AWC8" s="16"/>
      <c r="AWD8" s="16"/>
      <c r="AWE8" s="16"/>
      <c r="AWF8" s="16"/>
      <c r="AWG8" s="16"/>
      <c r="AWH8" s="16"/>
      <c r="AWI8" s="16"/>
      <c r="AWJ8" s="16"/>
      <c r="AWK8" s="16"/>
      <c r="AWL8" s="16"/>
      <c r="AWM8" s="16"/>
      <c r="AWN8" s="16"/>
      <c r="AWO8" s="16"/>
      <c r="AWP8" s="16"/>
      <c r="AWQ8" s="16"/>
      <c r="AWR8" s="16"/>
      <c r="AWS8" s="16"/>
      <c r="AWT8" s="16"/>
      <c r="AWU8" s="16"/>
      <c r="AWV8" s="16"/>
      <c r="AWW8" s="16"/>
      <c r="AWX8" s="16"/>
      <c r="AWY8" s="16"/>
      <c r="AWZ8" s="16"/>
      <c r="AXA8" s="16"/>
      <c r="AXB8" s="16"/>
      <c r="AXC8" s="16"/>
      <c r="AXD8" s="16"/>
      <c r="AXE8" s="16"/>
      <c r="AXF8" s="16"/>
      <c r="AXG8" s="16"/>
      <c r="AXH8" s="16"/>
      <c r="AXI8" s="16"/>
      <c r="AXJ8" s="16"/>
      <c r="AXK8" s="16"/>
      <c r="AXL8" s="16"/>
      <c r="AXM8" s="16"/>
      <c r="AXN8" s="16"/>
      <c r="AXO8" s="16"/>
      <c r="AXP8" s="16"/>
      <c r="AXQ8" s="16"/>
      <c r="AXR8" s="16"/>
      <c r="AXS8" s="16"/>
      <c r="AXT8" s="16"/>
      <c r="AXU8" s="16"/>
      <c r="AXV8" s="16"/>
      <c r="AXW8" s="16"/>
      <c r="AXX8" s="16"/>
      <c r="AXY8" s="16"/>
      <c r="AXZ8" s="16"/>
      <c r="AYA8" s="16"/>
      <c r="AYB8" s="16"/>
      <c r="AYC8" s="16"/>
      <c r="AYD8" s="16"/>
      <c r="AYE8" s="16"/>
      <c r="AYF8" s="16"/>
      <c r="AYG8" s="16"/>
      <c r="AYH8" s="16"/>
      <c r="AYI8" s="16"/>
      <c r="AYJ8" s="16"/>
      <c r="AYK8" s="16"/>
      <c r="AYL8" s="16"/>
      <c r="AYM8" s="16"/>
      <c r="AYN8" s="16"/>
      <c r="AYO8" s="16"/>
      <c r="AYP8" s="16"/>
      <c r="AYQ8" s="16"/>
      <c r="AYR8" s="16"/>
      <c r="AYS8" s="16"/>
      <c r="AYT8" s="16"/>
      <c r="AYU8" s="16"/>
      <c r="AYV8" s="16"/>
      <c r="AYW8" s="16"/>
      <c r="AYX8" s="16"/>
      <c r="AYY8" s="16"/>
      <c r="AYZ8" s="16"/>
      <c r="AZA8" s="16"/>
      <c r="AZB8" s="16"/>
      <c r="AZC8" s="16"/>
      <c r="AZD8" s="16"/>
      <c r="AZE8" s="16"/>
      <c r="AZF8" s="16"/>
      <c r="AZG8" s="16"/>
      <c r="AZH8" s="16"/>
      <c r="AZI8" s="16"/>
      <c r="AZJ8" s="16"/>
      <c r="AZK8" s="16"/>
      <c r="AZL8" s="16"/>
      <c r="AZM8" s="16"/>
      <c r="AZN8" s="16"/>
      <c r="AZO8" s="16"/>
      <c r="AZP8" s="16"/>
      <c r="AZQ8" s="16"/>
      <c r="AZR8" s="16"/>
      <c r="AZS8" s="16"/>
      <c r="AZT8" s="16"/>
      <c r="AZU8" s="16"/>
      <c r="AZV8" s="16"/>
      <c r="AZW8" s="16"/>
      <c r="AZX8" s="16"/>
      <c r="AZY8" s="16"/>
      <c r="AZZ8" s="16"/>
      <c r="BAA8" s="16"/>
      <c r="BAB8" s="16"/>
      <c r="BAC8" s="16"/>
      <c r="BAD8" s="16"/>
      <c r="BAE8" s="16"/>
      <c r="BAF8" s="16"/>
      <c r="BAG8" s="16"/>
      <c r="BAH8" s="16"/>
      <c r="BAI8" s="16"/>
      <c r="BAJ8" s="16"/>
      <c r="BAK8" s="16"/>
      <c r="BAL8" s="16"/>
      <c r="BAM8" s="16"/>
      <c r="BAN8" s="16"/>
      <c r="BAO8" s="16"/>
      <c r="BAP8" s="16"/>
      <c r="BAQ8" s="16"/>
      <c r="BAR8" s="16"/>
      <c r="BAS8" s="16"/>
      <c r="BAT8" s="16"/>
      <c r="BAU8" s="16"/>
      <c r="BAV8" s="16"/>
      <c r="BAW8" s="16"/>
      <c r="BAX8" s="16"/>
      <c r="BAY8" s="16"/>
      <c r="BAZ8" s="16"/>
      <c r="BBA8" s="16"/>
      <c r="BBB8" s="16"/>
      <c r="BBC8" s="16"/>
      <c r="BBD8" s="16"/>
      <c r="BBE8" s="16"/>
      <c r="BBF8" s="16"/>
      <c r="BBG8" s="16"/>
      <c r="BBH8" s="16"/>
      <c r="BBI8" s="16"/>
      <c r="BBJ8" s="16"/>
      <c r="BBK8" s="16"/>
      <c r="BBL8" s="16"/>
      <c r="BBM8" s="16"/>
      <c r="BBN8" s="16"/>
      <c r="BBO8" s="16"/>
      <c r="BBP8" s="16"/>
      <c r="BBQ8" s="16"/>
      <c r="BBR8" s="16"/>
      <c r="BBS8" s="16"/>
      <c r="BBT8" s="16"/>
      <c r="BBU8" s="16"/>
      <c r="BBV8" s="16"/>
      <c r="BBW8" s="16"/>
      <c r="BBX8" s="16"/>
      <c r="BBY8" s="16"/>
      <c r="BBZ8" s="16"/>
      <c r="BCA8" s="16"/>
      <c r="BCB8" s="16"/>
      <c r="BCC8" s="16"/>
      <c r="BCD8" s="16"/>
      <c r="BCE8" s="16"/>
      <c r="BCF8" s="16"/>
      <c r="BCG8" s="16"/>
      <c r="BCH8" s="16"/>
      <c r="BCI8" s="16"/>
      <c r="BCJ8" s="16"/>
      <c r="BCK8" s="16"/>
      <c r="BCL8" s="16"/>
      <c r="BCM8" s="16"/>
      <c r="BCN8" s="16"/>
      <c r="BCO8" s="16"/>
      <c r="BCP8" s="16"/>
      <c r="BCQ8" s="16"/>
      <c r="BCR8" s="16"/>
      <c r="BCS8" s="16"/>
      <c r="BCT8" s="16"/>
      <c r="BCU8" s="16"/>
      <c r="BCV8" s="16"/>
      <c r="BCW8" s="16"/>
      <c r="BCX8" s="16"/>
      <c r="BCY8" s="16"/>
      <c r="BCZ8" s="16"/>
      <c r="BDA8" s="16"/>
      <c r="BDB8" s="16"/>
      <c r="BDC8" s="16"/>
      <c r="BDD8" s="16"/>
      <c r="BDE8" s="16"/>
      <c r="BDF8" s="16"/>
      <c r="BDG8" s="16"/>
      <c r="BDH8" s="16"/>
      <c r="BDI8" s="16"/>
      <c r="BDJ8" s="16"/>
      <c r="BDK8" s="16"/>
      <c r="BDL8" s="16"/>
      <c r="BDM8" s="16"/>
      <c r="BDN8" s="16"/>
      <c r="BDO8" s="16"/>
      <c r="BDP8" s="16"/>
      <c r="BDQ8" s="16"/>
      <c r="BDR8" s="16"/>
      <c r="BDS8" s="16"/>
      <c r="BDT8" s="16"/>
      <c r="BDU8" s="16"/>
      <c r="BDV8" s="16"/>
      <c r="BDW8" s="16"/>
      <c r="BDX8" s="16"/>
      <c r="BDY8" s="16"/>
      <c r="BDZ8" s="16"/>
      <c r="BEA8" s="16"/>
      <c r="BEB8" s="16"/>
      <c r="BEC8" s="16"/>
      <c r="BED8" s="16"/>
      <c r="BEE8" s="16"/>
      <c r="BEF8" s="16"/>
      <c r="BEG8" s="16"/>
      <c r="BEH8" s="16"/>
      <c r="BEI8" s="16"/>
      <c r="BEJ8" s="16"/>
      <c r="BEK8" s="16"/>
      <c r="BEL8" s="16"/>
      <c r="BEM8" s="16"/>
      <c r="BEN8" s="16"/>
      <c r="BEO8" s="16"/>
      <c r="BEP8" s="16"/>
      <c r="BEQ8" s="16"/>
      <c r="BER8" s="16"/>
      <c r="BES8" s="16"/>
      <c r="BET8" s="16"/>
      <c r="BEU8" s="16"/>
      <c r="BEV8" s="16"/>
      <c r="BEW8" s="16"/>
      <c r="BEX8" s="16"/>
      <c r="BEY8" s="16"/>
      <c r="BEZ8" s="16"/>
      <c r="BFA8" s="16"/>
      <c r="BFB8" s="16"/>
      <c r="BFC8" s="16"/>
      <c r="BFD8" s="16"/>
      <c r="BFE8" s="16"/>
      <c r="BFF8" s="16"/>
      <c r="BFG8" s="16"/>
      <c r="BFH8" s="16"/>
      <c r="BFI8" s="16"/>
      <c r="BFJ8" s="16"/>
      <c r="BFK8" s="16"/>
      <c r="BFL8" s="16"/>
      <c r="BFM8" s="16"/>
      <c r="BFN8" s="16"/>
      <c r="BFO8" s="16"/>
      <c r="BFP8" s="16"/>
      <c r="BFQ8" s="16"/>
      <c r="BFR8" s="16"/>
      <c r="BFS8" s="16"/>
      <c r="BFT8" s="16"/>
      <c r="BFU8" s="16"/>
      <c r="BFV8" s="16"/>
      <c r="BFW8" s="16"/>
      <c r="BFX8" s="16"/>
      <c r="BFY8" s="16"/>
      <c r="BFZ8" s="16"/>
      <c r="BGA8" s="16"/>
      <c r="BGB8" s="16"/>
      <c r="BGC8" s="16"/>
      <c r="BGD8" s="16"/>
      <c r="BGE8" s="16"/>
      <c r="BGF8" s="16"/>
      <c r="BGG8" s="16"/>
      <c r="BGH8" s="16"/>
      <c r="BGI8" s="16"/>
      <c r="BGJ8" s="16"/>
      <c r="BGK8" s="16"/>
      <c r="BGL8" s="16"/>
      <c r="BGM8" s="16"/>
      <c r="BGN8" s="16"/>
      <c r="BGO8" s="16"/>
      <c r="BGP8" s="16"/>
      <c r="BGQ8" s="16"/>
      <c r="BGR8" s="16"/>
      <c r="BGS8" s="16"/>
      <c r="BGT8" s="16"/>
      <c r="BGU8" s="16"/>
      <c r="BGV8" s="16"/>
      <c r="BGW8" s="16"/>
      <c r="BGX8" s="16"/>
      <c r="BGY8" s="16"/>
      <c r="BGZ8" s="16"/>
      <c r="BHA8" s="16"/>
      <c r="BHB8" s="16"/>
      <c r="BHC8" s="16"/>
      <c r="BHD8" s="16"/>
      <c r="BHE8" s="16"/>
      <c r="BHF8" s="16"/>
      <c r="BHG8" s="16"/>
      <c r="BHH8" s="16"/>
      <c r="BHI8" s="16"/>
      <c r="BHJ8" s="16"/>
      <c r="BHK8" s="16"/>
      <c r="BHL8" s="16"/>
      <c r="BHM8" s="16"/>
      <c r="BHN8" s="16"/>
      <c r="BHO8" s="16"/>
      <c r="BHP8" s="16"/>
      <c r="BHQ8" s="16"/>
      <c r="BHR8" s="16"/>
      <c r="BHS8" s="16"/>
      <c r="BHT8" s="16"/>
      <c r="BHU8" s="16"/>
      <c r="BHV8" s="16"/>
      <c r="BHW8" s="16"/>
      <c r="BHX8" s="16"/>
      <c r="BHY8" s="16"/>
      <c r="BHZ8" s="16"/>
      <c r="BIA8" s="16"/>
      <c r="BIB8" s="16"/>
      <c r="BIC8" s="16"/>
      <c r="BID8" s="16"/>
      <c r="BIE8" s="16"/>
      <c r="BIF8" s="16"/>
      <c r="BIG8" s="16"/>
      <c r="BIH8" s="16"/>
      <c r="BII8" s="16"/>
      <c r="BIJ8" s="16"/>
      <c r="BIK8" s="16"/>
      <c r="BIL8" s="16"/>
      <c r="BIM8" s="16"/>
      <c r="BIN8" s="16"/>
      <c r="BIO8" s="16"/>
      <c r="BIP8" s="16"/>
      <c r="BIQ8" s="16"/>
      <c r="BIR8" s="16"/>
      <c r="BIS8" s="16"/>
      <c r="BIT8" s="16"/>
      <c r="BIU8" s="16"/>
      <c r="BIV8" s="16"/>
      <c r="BIW8" s="16"/>
      <c r="BIX8" s="16"/>
      <c r="BIY8" s="16"/>
      <c r="BIZ8" s="16"/>
      <c r="BJA8" s="16"/>
      <c r="BJB8" s="16"/>
      <c r="BJC8" s="16"/>
      <c r="BJD8" s="16"/>
      <c r="BJE8" s="16"/>
      <c r="BJF8" s="16"/>
      <c r="BJG8" s="16"/>
      <c r="BJH8" s="16"/>
      <c r="BJI8" s="16"/>
      <c r="BJJ8" s="16"/>
      <c r="BJK8" s="16"/>
      <c r="BJL8" s="16"/>
      <c r="BJM8" s="16"/>
      <c r="BJN8" s="16"/>
      <c r="BJO8" s="16"/>
      <c r="BJP8" s="16"/>
      <c r="BJQ8" s="16"/>
      <c r="BJR8" s="16"/>
      <c r="BJS8" s="16"/>
      <c r="BJT8" s="16"/>
      <c r="BJU8" s="16"/>
      <c r="BJV8" s="16"/>
      <c r="BJW8" s="16"/>
      <c r="BJX8" s="16"/>
      <c r="BJY8" s="16"/>
      <c r="BJZ8" s="16"/>
      <c r="BKA8" s="16"/>
      <c r="BKB8" s="16"/>
      <c r="BKC8" s="16"/>
      <c r="BKD8" s="16"/>
      <c r="BKE8" s="16"/>
      <c r="BKF8" s="16"/>
      <c r="BKG8" s="16"/>
      <c r="BKH8" s="16"/>
      <c r="BKI8" s="16"/>
      <c r="BKJ8" s="16"/>
      <c r="BKK8" s="16"/>
      <c r="BKL8" s="16"/>
      <c r="BKM8" s="16"/>
      <c r="BKN8" s="16"/>
      <c r="BKO8" s="16"/>
      <c r="BKP8" s="16"/>
      <c r="BKQ8" s="16"/>
      <c r="BKR8" s="16"/>
      <c r="BKS8" s="16"/>
      <c r="BKT8" s="16"/>
      <c r="BKU8" s="16"/>
      <c r="BKV8" s="16"/>
      <c r="BKW8" s="16"/>
      <c r="BKX8" s="16"/>
      <c r="BKY8" s="16"/>
      <c r="BKZ8" s="16"/>
      <c r="BLA8" s="16"/>
      <c r="BLB8" s="16"/>
      <c r="BLC8" s="16"/>
      <c r="BLD8" s="16"/>
      <c r="BLE8" s="16"/>
      <c r="BLF8" s="16"/>
      <c r="BLG8" s="16"/>
      <c r="BLH8" s="16"/>
      <c r="BLI8" s="16"/>
      <c r="BLJ8" s="16"/>
      <c r="BLK8" s="16"/>
      <c r="BLL8" s="16"/>
      <c r="BLM8" s="16"/>
      <c r="BLN8" s="16"/>
      <c r="BLO8" s="16"/>
      <c r="BLP8" s="16"/>
      <c r="BLQ8" s="16"/>
      <c r="BLR8" s="16"/>
      <c r="BLS8" s="16"/>
      <c r="BLT8" s="16"/>
      <c r="BLU8" s="16"/>
      <c r="BLV8" s="16"/>
      <c r="BLW8" s="16"/>
      <c r="BLX8" s="16"/>
      <c r="BLY8" s="16"/>
      <c r="BLZ8" s="16"/>
      <c r="BMA8" s="16"/>
      <c r="BMB8" s="16"/>
      <c r="BMC8" s="16"/>
      <c r="BMD8" s="16"/>
      <c r="BME8" s="16"/>
      <c r="BMF8" s="16"/>
      <c r="BMG8" s="16"/>
      <c r="BMH8" s="16"/>
      <c r="BMI8" s="16"/>
      <c r="BMJ8" s="16"/>
      <c r="BMK8" s="16"/>
      <c r="BML8" s="16"/>
      <c r="BMM8" s="16"/>
      <c r="BMN8" s="16"/>
      <c r="BMO8" s="16"/>
      <c r="BMP8" s="16"/>
      <c r="BMQ8" s="16"/>
      <c r="BMR8" s="16"/>
      <c r="BMS8" s="16"/>
      <c r="BMT8" s="16"/>
      <c r="BMU8" s="16"/>
      <c r="BMV8" s="16"/>
      <c r="BMW8" s="16"/>
      <c r="BMX8" s="16"/>
      <c r="BMY8" s="16"/>
      <c r="BMZ8" s="16"/>
      <c r="BNA8" s="16"/>
      <c r="BNB8" s="16"/>
      <c r="BNC8" s="16"/>
      <c r="BND8" s="16"/>
      <c r="BNE8" s="16"/>
    </row>
    <row r="9" spans="1:1721" s="4" customFormat="1" ht="132" x14ac:dyDescent="0.25">
      <c r="A9" s="191"/>
      <c r="B9" s="191"/>
      <c r="C9" s="191"/>
      <c r="D9" s="191"/>
      <c r="E9" s="191"/>
      <c r="F9" s="191"/>
      <c r="G9" s="326" t="s">
        <v>1291</v>
      </c>
      <c r="H9" s="326" t="s">
        <v>1292</v>
      </c>
      <c r="I9" s="429" t="s">
        <v>1307</v>
      </c>
      <c r="J9" s="1087"/>
      <c r="K9" s="1039"/>
      <c r="L9" s="202"/>
      <c r="M9" s="202"/>
      <c r="N9" s="202"/>
      <c r="O9" s="191"/>
      <c r="P9" s="191"/>
      <c r="Q9" s="191"/>
      <c r="R9" s="202"/>
      <c r="S9" s="202"/>
      <c r="T9" s="8" t="s">
        <v>1308</v>
      </c>
      <c r="U9" s="8" t="s">
        <v>1309</v>
      </c>
      <c r="V9" s="305" t="s">
        <v>50</v>
      </c>
      <c r="W9" s="6">
        <v>0</v>
      </c>
      <c r="X9" s="6">
        <v>3</v>
      </c>
      <c r="Y9" s="1031"/>
      <c r="Z9" s="1031"/>
      <c r="AA9" s="150"/>
      <c r="AB9" s="305" t="s">
        <v>652</v>
      </c>
      <c r="AC9" s="202"/>
      <c r="AD9" s="202"/>
      <c r="AE9" s="202"/>
      <c r="AF9" s="305" t="s">
        <v>652</v>
      </c>
      <c r="AG9" s="6">
        <v>3</v>
      </c>
      <c r="AH9" s="6">
        <v>1</v>
      </c>
      <c r="AI9" s="1038" t="s">
        <v>1310</v>
      </c>
      <c r="AJ9" s="305" t="s">
        <v>653</v>
      </c>
      <c r="AK9" s="202"/>
      <c r="AL9" s="202"/>
      <c r="AM9" s="202"/>
      <c r="AN9" s="305" t="s">
        <v>653</v>
      </c>
      <c r="AO9" s="6">
        <v>3</v>
      </c>
      <c r="AP9" s="6">
        <v>1</v>
      </c>
      <c r="AQ9" s="1038" t="s">
        <v>1310</v>
      </c>
      <c r="AR9" s="305" t="s">
        <v>654</v>
      </c>
      <c r="AS9" s="202"/>
      <c r="AT9" s="316"/>
      <c r="AU9" s="195"/>
      <c r="AV9" s="305" t="s">
        <v>654</v>
      </c>
      <c r="AW9" s="6">
        <v>3</v>
      </c>
      <c r="AX9" s="6">
        <v>1</v>
      </c>
      <c r="AY9" s="19" t="s">
        <v>1311</v>
      </c>
      <c r="AZ9" s="305" t="s">
        <v>655</v>
      </c>
      <c r="BA9" s="202"/>
      <c r="BB9" s="202"/>
      <c r="BC9" s="195"/>
      <c r="BD9" s="305" t="s">
        <v>655</v>
      </c>
      <c r="BE9" s="6">
        <v>3</v>
      </c>
      <c r="BF9" s="6">
        <v>2</v>
      </c>
      <c r="BG9" s="19" t="s">
        <v>1312</v>
      </c>
      <c r="BH9" s="305" t="s">
        <v>656</v>
      </c>
      <c r="BI9" s="202"/>
      <c r="BJ9" s="202"/>
      <c r="BK9" s="195"/>
      <c r="BL9" s="305" t="s">
        <v>656</v>
      </c>
      <c r="BM9" s="6">
        <v>3</v>
      </c>
      <c r="BN9" s="6">
        <v>3</v>
      </c>
      <c r="BO9" s="19" t="s">
        <v>1313</v>
      </c>
      <c r="BP9" s="305" t="s">
        <v>657</v>
      </c>
      <c r="BQ9" s="202"/>
      <c r="BR9" s="202"/>
      <c r="BS9" s="195"/>
      <c r="BT9" s="305" t="s">
        <v>657</v>
      </c>
      <c r="BU9" s="6">
        <v>3</v>
      </c>
      <c r="BV9" s="6">
        <v>3</v>
      </c>
      <c r="BW9" s="19" t="s">
        <v>1313</v>
      </c>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16"/>
      <c r="DN9" s="16"/>
      <c r="DO9" s="16"/>
      <c r="DP9" s="16"/>
      <c r="DQ9" s="16"/>
      <c r="DR9" s="16"/>
      <c r="DS9" s="16"/>
      <c r="DT9" s="16"/>
      <c r="DU9" s="16"/>
      <c r="DV9" s="16"/>
      <c r="DW9" s="16"/>
      <c r="DX9" s="16"/>
      <c r="DY9" s="16"/>
      <c r="DZ9" s="16"/>
      <c r="EA9" s="16"/>
      <c r="EB9" s="16"/>
      <c r="EC9" s="16"/>
      <c r="ED9" s="16"/>
      <c r="EE9" s="16"/>
      <c r="EF9" s="16"/>
      <c r="EG9" s="16"/>
      <c r="EH9" s="16"/>
      <c r="EI9" s="16"/>
      <c r="EJ9" s="16"/>
      <c r="EK9" s="16"/>
      <c r="EL9" s="16"/>
      <c r="EM9" s="16"/>
      <c r="EN9" s="16"/>
      <c r="EO9" s="16"/>
      <c r="EP9" s="16"/>
      <c r="EQ9" s="16"/>
      <c r="ER9" s="16"/>
      <c r="ES9" s="16"/>
      <c r="ET9" s="16"/>
      <c r="EU9" s="16"/>
      <c r="EV9" s="16"/>
      <c r="EW9" s="16"/>
      <c r="EX9" s="16"/>
      <c r="EY9" s="16"/>
      <c r="EZ9" s="16"/>
      <c r="FA9" s="16"/>
      <c r="FB9" s="16"/>
      <c r="FC9" s="16"/>
      <c r="FD9" s="16"/>
      <c r="FE9" s="16"/>
      <c r="FF9" s="16"/>
      <c r="FG9" s="16"/>
      <c r="FH9" s="16"/>
      <c r="FI9" s="16"/>
      <c r="FJ9" s="16"/>
      <c r="FK9" s="16"/>
      <c r="FL9" s="16"/>
      <c r="FM9" s="16"/>
      <c r="FN9" s="16"/>
      <c r="FO9" s="16"/>
      <c r="FP9" s="16"/>
      <c r="FQ9" s="16"/>
      <c r="FR9" s="16"/>
      <c r="FS9" s="16"/>
      <c r="FT9" s="16"/>
      <c r="FU9" s="16"/>
      <c r="FV9" s="16"/>
      <c r="FW9" s="16"/>
      <c r="FX9" s="16"/>
      <c r="FY9" s="16"/>
      <c r="FZ9" s="16"/>
      <c r="GA9" s="16"/>
      <c r="GB9" s="16"/>
      <c r="GC9" s="16"/>
      <c r="GD9" s="16"/>
      <c r="GE9" s="16"/>
      <c r="GF9" s="16"/>
      <c r="GG9" s="16"/>
      <c r="GH9" s="16"/>
      <c r="GI9" s="16"/>
      <c r="GJ9" s="16"/>
      <c r="GK9" s="16"/>
      <c r="GL9" s="16"/>
      <c r="GM9" s="16"/>
      <c r="GN9" s="16"/>
      <c r="GO9" s="16"/>
      <c r="GP9" s="16"/>
      <c r="GQ9" s="16"/>
      <c r="GR9" s="16"/>
      <c r="GS9" s="16"/>
      <c r="GT9" s="16"/>
      <c r="GU9" s="16"/>
      <c r="GV9" s="16"/>
      <c r="GW9" s="16"/>
      <c r="GX9" s="16"/>
      <c r="GY9" s="16"/>
      <c r="GZ9" s="16"/>
      <c r="HA9" s="16"/>
      <c r="HB9" s="16"/>
      <c r="HC9" s="16"/>
      <c r="HD9" s="16"/>
      <c r="HE9" s="16"/>
      <c r="HF9" s="16"/>
      <c r="HG9" s="16"/>
      <c r="HH9" s="16"/>
      <c r="HI9" s="16"/>
      <c r="HJ9" s="16"/>
      <c r="HK9" s="16"/>
      <c r="HL9" s="16"/>
      <c r="HM9" s="16"/>
      <c r="HN9" s="16"/>
      <c r="HO9" s="16"/>
      <c r="HP9" s="16"/>
      <c r="HQ9" s="16"/>
      <c r="HR9" s="16"/>
      <c r="HS9" s="16"/>
      <c r="HT9" s="16"/>
      <c r="HU9" s="16"/>
      <c r="HV9" s="16"/>
      <c r="HW9" s="16"/>
      <c r="HX9" s="16"/>
      <c r="HY9" s="16"/>
      <c r="HZ9" s="16"/>
      <c r="IA9" s="16"/>
      <c r="IB9" s="16"/>
      <c r="IC9" s="16"/>
      <c r="ID9" s="16"/>
      <c r="IE9" s="16"/>
      <c r="IF9" s="16"/>
      <c r="IG9" s="16"/>
      <c r="IH9" s="16"/>
      <c r="II9" s="16"/>
      <c r="IJ9" s="16"/>
      <c r="IK9" s="16"/>
      <c r="IL9" s="16"/>
      <c r="IM9" s="16"/>
      <c r="IN9" s="16"/>
      <c r="IO9" s="16"/>
      <c r="IP9" s="16"/>
      <c r="IQ9" s="16"/>
      <c r="IR9" s="16"/>
      <c r="IS9" s="16"/>
      <c r="IT9" s="16"/>
      <c r="IU9" s="16"/>
      <c r="IV9" s="16"/>
      <c r="IW9" s="16"/>
      <c r="IX9" s="16"/>
      <c r="IY9" s="16"/>
      <c r="IZ9" s="16"/>
      <c r="JA9" s="16"/>
      <c r="JB9" s="16"/>
      <c r="JC9" s="16"/>
      <c r="JD9" s="16"/>
      <c r="JE9" s="16"/>
      <c r="JF9" s="16"/>
      <c r="JG9" s="16"/>
      <c r="JH9" s="16"/>
      <c r="JI9" s="16"/>
      <c r="JJ9" s="16"/>
      <c r="JK9" s="16"/>
      <c r="JL9" s="16"/>
      <c r="JM9" s="16"/>
      <c r="JN9" s="16"/>
      <c r="JO9" s="16"/>
      <c r="JP9" s="16"/>
      <c r="JQ9" s="16"/>
      <c r="JR9" s="16"/>
      <c r="JS9" s="16"/>
      <c r="JT9" s="16"/>
      <c r="JU9" s="16"/>
      <c r="JV9" s="16"/>
      <c r="JW9" s="16"/>
      <c r="JX9" s="16"/>
      <c r="JY9" s="16"/>
      <c r="JZ9" s="16"/>
      <c r="KA9" s="16"/>
      <c r="KB9" s="16"/>
      <c r="KC9" s="16"/>
      <c r="KD9" s="16"/>
      <c r="KE9" s="16"/>
      <c r="KF9" s="16"/>
      <c r="KG9" s="16"/>
      <c r="KH9" s="16"/>
      <c r="KI9" s="16"/>
      <c r="KJ9" s="16"/>
      <c r="KK9" s="16"/>
      <c r="KL9" s="16"/>
      <c r="KM9" s="16"/>
      <c r="KN9" s="16"/>
      <c r="KO9" s="16"/>
      <c r="KP9" s="16"/>
      <c r="KQ9" s="16"/>
      <c r="KR9" s="16"/>
      <c r="KS9" s="16"/>
      <c r="KT9" s="16"/>
      <c r="KU9" s="16"/>
      <c r="KV9" s="16"/>
      <c r="KW9" s="16"/>
      <c r="KX9" s="16"/>
      <c r="KY9" s="16"/>
      <c r="KZ9" s="16"/>
      <c r="LA9" s="16"/>
      <c r="LB9" s="16"/>
      <c r="LC9" s="16"/>
      <c r="LD9" s="16"/>
      <c r="LE9" s="16"/>
      <c r="LF9" s="16"/>
      <c r="LG9" s="16"/>
      <c r="LH9" s="16"/>
      <c r="LI9" s="16"/>
      <c r="LJ9" s="16"/>
      <c r="LK9" s="16"/>
      <c r="LL9" s="16"/>
      <c r="LM9" s="16"/>
      <c r="LN9" s="16"/>
      <c r="LO9" s="16"/>
      <c r="LP9" s="16"/>
      <c r="LQ9" s="16"/>
      <c r="LR9" s="16"/>
      <c r="LS9" s="16"/>
      <c r="LT9" s="16"/>
      <c r="LU9" s="16"/>
      <c r="LV9" s="16"/>
      <c r="LW9" s="16"/>
      <c r="LX9" s="16"/>
      <c r="LY9" s="16"/>
      <c r="LZ9" s="16"/>
      <c r="MA9" s="16"/>
      <c r="MB9" s="16"/>
      <c r="MC9" s="16"/>
      <c r="MD9" s="16"/>
      <c r="ME9" s="16"/>
      <c r="MF9" s="16"/>
      <c r="MG9" s="16"/>
      <c r="MH9" s="16"/>
      <c r="MI9" s="16"/>
      <c r="MJ9" s="16"/>
      <c r="MK9" s="16"/>
      <c r="ML9" s="16"/>
      <c r="MM9" s="16"/>
      <c r="MN9" s="16"/>
      <c r="MO9" s="16"/>
      <c r="MP9" s="16"/>
      <c r="MQ9" s="16"/>
      <c r="MR9" s="16"/>
      <c r="MS9" s="16"/>
      <c r="MT9" s="16"/>
      <c r="MU9" s="16"/>
      <c r="MV9" s="16"/>
      <c r="MW9" s="16"/>
      <c r="MX9" s="16"/>
      <c r="MY9" s="16"/>
      <c r="MZ9" s="16"/>
      <c r="NA9" s="16"/>
      <c r="NB9" s="16"/>
      <c r="NC9" s="16"/>
      <c r="ND9" s="16"/>
      <c r="NE9" s="16"/>
      <c r="NF9" s="16"/>
      <c r="NG9" s="16"/>
      <c r="NH9" s="16"/>
      <c r="NI9" s="16"/>
      <c r="NJ9" s="16"/>
      <c r="NK9" s="16"/>
      <c r="NL9" s="16"/>
      <c r="NM9" s="16"/>
      <c r="NN9" s="16"/>
      <c r="NO9" s="16"/>
      <c r="NP9" s="16"/>
      <c r="NQ9" s="16"/>
      <c r="NR9" s="16"/>
      <c r="NS9" s="16"/>
      <c r="NT9" s="16"/>
      <c r="NU9" s="16"/>
      <c r="NV9" s="16"/>
      <c r="NW9" s="16"/>
      <c r="NX9" s="16"/>
      <c r="NY9" s="16"/>
      <c r="NZ9" s="16"/>
      <c r="OA9" s="16"/>
      <c r="OB9" s="16"/>
      <c r="OC9" s="16"/>
      <c r="OD9" s="16"/>
      <c r="OE9" s="16"/>
      <c r="OF9" s="16"/>
      <c r="OG9" s="16"/>
      <c r="OH9" s="16"/>
      <c r="OI9" s="16"/>
      <c r="OJ9" s="16"/>
      <c r="OK9" s="16"/>
      <c r="OL9" s="16"/>
      <c r="OM9" s="16"/>
      <c r="ON9" s="16"/>
      <c r="OO9" s="16"/>
      <c r="OP9" s="16"/>
      <c r="OQ9" s="16"/>
      <c r="OR9" s="16"/>
      <c r="OS9" s="16"/>
      <c r="OT9" s="16"/>
      <c r="OU9" s="16"/>
      <c r="OV9" s="16"/>
      <c r="OW9" s="16"/>
      <c r="OX9" s="16"/>
      <c r="OY9" s="16"/>
      <c r="OZ9" s="16"/>
      <c r="PA9" s="16"/>
      <c r="PB9" s="16"/>
      <c r="PC9" s="16"/>
      <c r="PD9" s="16"/>
      <c r="PE9" s="16"/>
      <c r="PF9" s="16"/>
      <c r="PG9" s="16"/>
      <c r="PH9" s="16"/>
      <c r="PI9" s="16"/>
      <c r="PJ9" s="16"/>
      <c r="PK9" s="16"/>
      <c r="PL9" s="16"/>
      <c r="PM9" s="16"/>
      <c r="PN9" s="16"/>
      <c r="PO9" s="16"/>
      <c r="PP9" s="16"/>
      <c r="PQ9" s="16"/>
      <c r="PR9" s="16"/>
      <c r="PS9" s="16"/>
      <c r="PT9" s="16"/>
      <c r="PU9" s="16"/>
      <c r="PV9" s="16"/>
      <c r="PW9" s="16"/>
      <c r="PX9" s="16"/>
      <c r="PY9" s="16"/>
      <c r="PZ9" s="16"/>
      <c r="QA9" s="16"/>
      <c r="QB9" s="16"/>
      <c r="QC9" s="16"/>
      <c r="QD9" s="16"/>
      <c r="QE9" s="16"/>
      <c r="QF9" s="16"/>
      <c r="QG9" s="16"/>
      <c r="QH9" s="16"/>
      <c r="QI9" s="16"/>
      <c r="QJ9" s="16"/>
      <c r="QK9" s="16"/>
      <c r="QL9" s="16"/>
      <c r="QM9" s="16"/>
      <c r="QN9" s="16"/>
      <c r="QO9" s="16"/>
      <c r="QP9" s="16"/>
      <c r="QQ9" s="16"/>
      <c r="QR9" s="16"/>
      <c r="QS9" s="16"/>
      <c r="QT9" s="16"/>
      <c r="QU9" s="16"/>
      <c r="QV9" s="16"/>
      <c r="QW9" s="16"/>
      <c r="QX9" s="16"/>
      <c r="QY9" s="16"/>
      <c r="QZ9" s="16"/>
      <c r="RA9" s="16"/>
      <c r="RB9" s="16"/>
      <c r="RC9" s="16"/>
      <c r="RD9" s="16"/>
      <c r="RE9" s="16"/>
      <c r="RF9" s="16"/>
      <c r="RG9" s="16"/>
      <c r="RH9" s="16"/>
      <c r="RI9" s="16"/>
      <c r="RJ9" s="16"/>
      <c r="RK9" s="16"/>
      <c r="RL9" s="16"/>
      <c r="RM9" s="16"/>
      <c r="RN9" s="16"/>
      <c r="RO9" s="16"/>
      <c r="RP9" s="16"/>
      <c r="RQ9" s="16"/>
      <c r="RR9" s="16"/>
      <c r="RS9" s="16"/>
      <c r="RT9" s="16"/>
      <c r="RU9" s="16"/>
      <c r="RV9" s="16"/>
      <c r="RW9" s="16"/>
      <c r="RX9" s="16"/>
      <c r="RY9" s="16"/>
      <c r="RZ9" s="16"/>
      <c r="SA9" s="16"/>
      <c r="SB9" s="16"/>
      <c r="SC9" s="16"/>
      <c r="SD9" s="16"/>
      <c r="SE9" s="16"/>
      <c r="SF9" s="16"/>
      <c r="SG9" s="16"/>
      <c r="SH9" s="16"/>
      <c r="SI9" s="16"/>
      <c r="SJ9" s="16"/>
      <c r="SK9" s="16"/>
      <c r="SL9" s="16"/>
      <c r="SM9" s="16"/>
      <c r="SN9" s="16"/>
      <c r="SO9" s="16"/>
      <c r="SP9" s="16"/>
      <c r="SQ9" s="16"/>
      <c r="SR9" s="16"/>
      <c r="SS9" s="16"/>
      <c r="ST9" s="16"/>
      <c r="SU9" s="16"/>
      <c r="SV9" s="16"/>
      <c r="SW9" s="16"/>
      <c r="SX9" s="16"/>
      <c r="SY9" s="16"/>
      <c r="SZ9" s="16"/>
      <c r="TA9" s="16"/>
      <c r="TB9" s="16"/>
      <c r="TC9" s="16"/>
      <c r="TD9" s="16"/>
      <c r="TE9" s="16"/>
      <c r="TF9" s="16"/>
      <c r="TG9" s="16"/>
      <c r="TH9" s="16"/>
      <c r="TI9" s="16"/>
      <c r="TJ9" s="16"/>
      <c r="TK9" s="16"/>
      <c r="TL9" s="16"/>
      <c r="TM9" s="16"/>
      <c r="TN9" s="16"/>
      <c r="TO9" s="16"/>
      <c r="TP9" s="16"/>
      <c r="TQ9" s="16"/>
      <c r="TR9" s="16"/>
      <c r="TS9" s="16"/>
      <c r="TT9" s="16"/>
      <c r="TU9" s="16"/>
      <c r="TV9" s="16"/>
      <c r="TW9" s="16"/>
      <c r="TX9" s="16"/>
      <c r="TY9" s="16"/>
      <c r="TZ9" s="16"/>
      <c r="UA9" s="16"/>
      <c r="UB9" s="16"/>
      <c r="UC9" s="16"/>
      <c r="UD9" s="16"/>
      <c r="UE9" s="16"/>
      <c r="UF9" s="16"/>
      <c r="UG9" s="16"/>
      <c r="UH9" s="16"/>
      <c r="UI9" s="16"/>
      <c r="UJ9" s="16"/>
      <c r="UK9" s="16"/>
      <c r="UL9" s="16"/>
      <c r="UM9" s="16"/>
      <c r="UN9" s="16"/>
      <c r="UO9" s="16"/>
      <c r="UP9" s="16"/>
      <c r="UQ9" s="16"/>
      <c r="UR9" s="16"/>
      <c r="US9" s="16"/>
      <c r="UT9" s="16"/>
      <c r="UU9" s="16"/>
      <c r="UV9" s="16"/>
      <c r="UW9" s="16"/>
      <c r="UX9" s="16"/>
      <c r="UY9" s="16"/>
      <c r="UZ9" s="16"/>
      <c r="VA9" s="16"/>
      <c r="VB9" s="16"/>
      <c r="VC9" s="16"/>
      <c r="VD9" s="16"/>
      <c r="VE9" s="16"/>
      <c r="VF9" s="16"/>
      <c r="VG9" s="16"/>
      <c r="VH9" s="16"/>
      <c r="VI9" s="16"/>
      <c r="VJ9" s="16"/>
      <c r="VK9" s="16"/>
      <c r="VL9" s="16"/>
      <c r="VM9" s="16"/>
      <c r="VN9" s="16"/>
      <c r="VO9" s="16"/>
      <c r="VP9" s="16"/>
      <c r="VQ9" s="16"/>
      <c r="VR9" s="16"/>
      <c r="VS9" s="16"/>
      <c r="VT9" s="16"/>
      <c r="VU9" s="16"/>
      <c r="VV9" s="16"/>
      <c r="VW9" s="16"/>
      <c r="VX9" s="16"/>
      <c r="VY9" s="16"/>
      <c r="VZ9" s="16"/>
      <c r="WA9" s="16"/>
      <c r="WB9" s="16"/>
      <c r="WC9" s="16"/>
      <c r="WD9" s="16"/>
      <c r="WE9" s="16"/>
      <c r="WF9" s="16"/>
      <c r="WG9" s="16"/>
      <c r="WH9" s="16"/>
      <c r="WI9" s="16"/>
      <c r="WJ9" s="16"/>
      <c r="WK9" s="16"/>
      <c r="WL9" s="16"/>
      <c r="WM9" s="16"/>
      <c r="WN9" s="16"/>
      <c r="WO9" s="16"/>
      <c r="WP9" s="16"/>
      <c r="WQ9" s="16"/>
      <c r="WR9" s="16"/>
      <c r="WS9" s="16"/>
      <c r="WT9" s="16"/>
      <c r="WU9" s="16"/>
      <c r="WV9" s="16"/>
      <c r="WW9" s="16"/>
      <c r="WX9" s="16"/>
      <c r="WY9" s="16"/>
      <c r="WZ9" s="16"/>
      <c r="XA9" s="16"/>
      <c r="XB9" s="16"/>
      <c r="XC9" s="16"/>
      <c r="XD9" s="16"/>
      <c r="XE9" s="16"/>
      <c r="XF9" s="16"/>
      <c r="XG9" s="16"/>
      <c r="XH9" s="16"/>
      <c r="XI9" s="16"/>
      <c r="XJ9" s="16"/>
      <c r="XK9" s="16"/>
      <c r="XL9" s="16"/>
      <c r="XM9" s="16"/>
      <c r="XN9" s="16"/>
      <c r="XO9" s="16"/>
      <c r="XP9" s="16"/>
      <c r="XQ9" s="16"/>
      <c r="XR9" s="16"/>
      <c r="XS9" s="16"/>
      <c r="XT9" s="16"/>
      <c r="XU9" s="16"/>
      <c r="XV9" s="16"/>
      <c r="XW9" s="16"/>
      <c r="XX9" s="16"/>
      <c r="XY9" s="16"/>
      <c r="XZ9" s="16"/>
      <c r="YA9" s="16"/>
      <c r="YB9" s="16"/>
      <c r="YC9" s="16"/>
      <c r="YD9" s="16"/>
      <c r="YE9" s="16"/>
      <c r="YF9" s="16"/>
      <c r="YG9" s="16"/>
      <c r="YH9" s="16"/>
      <c r="YI9" s="16"/>
      <c r="YJ9" s="16"/>
      <c r="YK9" s="16"/>
      <c r="YL9" s="16"/>
      <c r="YM9" s="16"/>
      <c r="YN9" s="16"/>
      <c r="YO9" s="16"/>
      <c r="YP9" s="16"/>
      <c r="YQ9" s="16"/>
      <c r="YR9" s="16"/>
      <c r="YS9" s="16"/>
      <c r="YT9" s="16"/>
      <c r="YU9" s="16"/>
      <c r="YV9" s="16"/>
      <c r="YW9" s="16"/>
      <c r="YX9" s="16"/>
      <c r="YY9" s="16"/>
      <c r="YZ9" s="16"/>
      <c r="ZA9" s="16"/>
      <c r="ZB9" s="16"/>
      <c r="ZC9" s="16"/>
      <c r="ZD9" s="16"/>
      <c r="ZE9" s="16"/>
      <c r="ZF9" s="16"/>
      <c r="ZG9" s="16"/>
      <c r="ZH9" s="16"/>
      <c r="ZI9" s="16"/>
      <c r="ZJ9" s="16"/>
      <c r="ZK9" s="16"/>
      <c r="ZL9" s="16"/>
      <c r="ZM9" s="16"/>
      <c r="ZN9" s="16"/>
      <c r="ZO9" s="16"/>
      <c r="ZP9" s="16"/>
      <c r="ZQ9" s="16"/>
      <c r="ZR9" s="16"/>
      <c r="ZS9" s="16"/>
      <c r="ZT9" s="16"/>
      <c r="ZU9" s="16"/>
      <c r="ZV9" s="16"/>
      <c r="ZW9" s="16"/>
      <c r="ZX9" s="16"/>
      <c r="ZY9" s="16"/>
      <c r="ZZ9" s="16"/>
      <c r="AAA9" s="16"/>
      <c r="AAB9" s="16"/>
      <c r="AAC9" s="16"/>
      <c r="AAD9" s="16"/>
      <c r="AAE9" s="16"/>
      <c r="AAF9" s="16"/>
      <c r="AAG9" s="16"/>
      <c r="AAH9" s="16"/>
      <c r="AAI9" s="16"/>
      <c r="AAJ9" s="16"/>
      <c r="AAK9" s="16"/>
      <c r="AAL9" s="16"/>
      <c r="AAM9" s="16"/>
      <c r="AAN9" s="16"/>
      <c r="AAO9" s="16"/>
      <c r="AAP9" s="16"/>
      <c r="AAQ9" s="16"/>
      <c r="AAR9" s="16"/>
      <c r="AAS9" s="16"/>
      <c r="AAT9" s="16"/>
      <c r="AAU9" s="16"/>
      <c r="AAV9" s="16"/>
      <c r="AAW9" s="16"/>
      <c r="AAX9" s="16"/>
      <c r="AAY9" s="16"/>
      <c r="AAZ9" s="16"/>
      <c r="ABA9" s="16"/>
      <c r="ABB9" s="16"/>
      <c r="ABC9" s="16"/>
      <c r="ABD9" s="16"/>
      <c r="ABE9" s="16"/>
      <c r="ABF9" s="16"/>
      <c r="ABG9" s="16"/>
      <c r="ABH9" s="16"/>
      <c r="ABI9" s="16"/>
      <c r="ABJ9" s="16"/>
      <c r="ABK9" s="16"/>
      <c r="ABL9" s="16"/>
      <c r="ABM9" s="16"/>
      <c r="ABN9" s="16"/>
      <c r="ABO9" s="16"/>
      <c r="ABP9" s="16"/>
      <c r="ABQ9" s="16"/>
      <c r="ABR9" s="16"/>
      <c r="ABS9" s="16"/>
      <c r="ABT9" s="16"/>
      <c r="ABU9" s="16"/>
      <c r="ABV9" s="16"/>
      <c r="ABW9" s="16"/>
      <c r="ABX9" s="16"/>
      <c r="ABY9" s="16"/>
      <c r="ABZ9" s="16"/>
      <c r="ACA9" s="16"/>
      <c r="ACB9" s="16"/>
      <c r="ACC9" s="16"/>
      <c r="ACD9" s="16"/>
      <c r="ACE9" s="16"/>
      <c r="ACF9" s="16"/>
      <c r="ACG9" s="16"/>
      <c r="ACH9" s="16"/>
      <c r="ACI9" s="16"/>
      <c r="ACJ9" s="16"/>
      <c r="ACK9" s="16"/>
      <c r="ACL9" s="16"/>
      <c r="ACM9" s="16"/>
      <c r="ACN9" s="16"/>
      <c r="ACO9" s="16"/>
      <c r="ACP9" s="16"/>
      <c r="ACQ9" s="16"/>
      <c r="ACR9" s="16"/>
      <c r="ACS9" s="16"/>
      <c r="ACT9" s="16"/>
      <c r="ACU9" s="16"/>
      <c r="ACV9" s="16"/>
      <c r="ACW9" s="16"/>
      <c r="ACX9" s="16"/>
      <c r="ACY9" s="16"/>
      <c r="ACZ9" s="16"/>
      <c r="ADA9" s="16"/>
      <c r="ADB9" s="16"/>
      <c r="ADC9" s="16"/>
      <c r="ADD9" s="16"/>
      <c r="ADE9" s="16"/>
      <c r="ADF9" s="16"/>
      <c r="ADG9" s="16"/>
      <c r="ADH9" s="16"/>
      <c r="ADI9" s="16"/>
      <c r="ADJ9" s="16"/>
      <c r="ADK9" s="16"/>
      <c r="ADL9" s="16"/>
      <c r="ADM9" s="16"/>
      <c r="ADN9" s="16"/>
      <c r="ADO9" s="16"/>
      <c r="ADP9" s="16"/>
      <c r="ADQ9" s="16"/>
      <c r="ADR9" s="16"/>
      <c r="ADS9" s="16"/>
      <c r="ADT9" s="16"/>
      <c r="ADU9" s="16"/>
      <c r="ADV9" s="16"/>
      <c r="ADW9" s="16"/>
      <c r="ADX9" s="16"/>
      <c r="ADY9" s="16"/>
      <c r="ADZ9" s="16"/>
      <c r="AEA9" s="16"/>
      <c r="AEB9" s="16"/>
      <c r="AEC9" s="16"/>
      <c r="AED9" s="16"/>
      <c r="AEE9" s="16"/>
      <c r="AEF9" s="16"/>
      <c r="AEG9" s="16"/>
      <c r="AEH9" s="16"/>
      <c r="AEI9" s="16"/>
      <c r="AEJ9" s="16"/>
      <c r="AEK9" s="16"/>
      <c r="AEL9" s="16"/>
      <c r="AEM9" s="16"/>
      <c r="AEN9" s="16"/>
      <c r="AEO9" s="16"/>
      <c r="AEP9" s="16"/>
      <c r="AEQ9" s="16"/>
      <c r="AER9" s="16"/>
      <c r="AES9" s="16"/>
      <c r="AET9" s="16"/>
      <c r="AEU9" s="16"/>
      <c r="AEV9" s="16"/>
      <c r="AEW9" s="16"/>
      <c r="AEX9" s="16"/>
      <c r="AEY9" s="16"/>
      <c r="AEZ9" s="16"/>
      <c r="AFA9" s="16"/>
      <c r="AFB9" s="16"/>
      <c r="AFC9" s="16"/>
      <c r="AFD9" s="16"/>
      <c r="AFE9" s="16"/>
      <c r="AFF9" s="16"/>
      <c r="AFG9" s="16"/>
      <c r="AFH9" s="16"/>
      <c r="AFI9" s="16"/>
      <c r="AFJ9" s="16"/>
      <c r="AFK9" s="16"/>
      <c r="AFL9" s="16"/>
      <c r="AFM9" s="16"/>
      <c r="AFN9" s="16"/>
      <c r="AFO9" s="16"/>
      <c r="AFP9" s="16"/>
      <c r="AFQ9" s="16"/>
      <c r="AFR9" s="16"/>
      <c r="AFS9" s="16"/>
      <c r="AFT9" s="16"/>
      <c r="AFU9" s="16"/>
      <c r="AFV9" s="16"/>
      <c r="AFW9" s="16"/>
      <c r="AFX9" s="16"/>
      <c r="AFY9" s="16"/>
      <c r="AFZ9" s="16"/>
      <c r="AGA9" s="16"/>
      <c r="AGB9" s="16"/>
      <c r="AGC9" s="16"/>
      <c r="AGD9" s="16"/>
      <c r="AGE9" s="16"/>
      <c r="AGF9" s="16"/>
      <c r="AGG9" s="16"/>
      <c r="AGH9" s="16"/>
      <c r="AGI9" s="16"/>
      <c r="AGJ9" s="16"/>
      <c r="AGK9" s="16"/>
      <c r="AGL9" s="16"/>
      <c r="AGM9" s="16"/>
      <c r="AGN9" s="16"/>
      <c r="AGO9" s="16"/>
      <c r="AGP9" s="16"/>
      <c r="AGQ9" s="16"/>
      <c r="AGR9" s="16"/>
      <c r="AGS9" s="16"/>
      <c r="AGT9" s="16"/>
      <c r="AGU9" s="16"/>
      <c r="AGV9" s="16"/>
      <c r="AGW9" s="16"/>
      <c r="AGX9" s="16"/>
      <c r="AGY9" s="16"/>
      <c r="AGZ9" s="16"/>
      <c r="AHA9" s="16"/>
      <c r="AHB9" s="16"/>
      <c r="AHC9" s="16"/>
      <c r="AHD9" s="16"/>
      <c r="AHE9" s="16"/>
      <c r="AHF9" s="16"/>
      <c r="AHG9" s="16"/>
      <c r="AHH9" s="16"/>
      <c r="AHI9" s="16"/>
      <c r="AHJ9" s="16"/>
      <c r="AHK9" s="16"/>
      <c r="AHL9" s="16"/>
      <c r="AHM9" s="16"/>
      <c r="AHN9" s="16"/>
      <c r="AHO9" s="16"/>
      <c r="AHP9" s="16"/>
      <c r="AHQ9" s="16"/>
      <c r="AHR9" s="16"/>
      <c r="AHS9" s="16"/>
      <c r="AHT9" s="16"/>
      <c r="AHU9" s="16"/>
      <c r="AHV9" s="16"/>
      <c r="AHW9" s="16"/>
      <c r="AHX9" s="16"/>
      <c r="AHY9" s="16"/>
      <c r="AHZ9" s="16"/>
      <c r="AIA9" s="16"/>
      <c r="AIB9" s="16"/>
      <c r="AIC9" s="16"/>
      <c r="AID9" s="16"/>
      <c r="AIE9" s="16"/>
      <c r="AIF9" s="16"/>
      <c r="AIG9" s="16"/>
      <c r="AIH9" s="16"/>
      <c r="AII9" s="16"/>
      <c r="AIJ9" s="16"/>
      <c r="AIK9" s="16"/>
      <c r="AIL9" s="16"/>
      <c r="AIM9" s="16"/>
      <c r="AIN9" s="16"/>
      <c r="AIO9" s="16"/>
      <c r="AIP9" s="16"/>
      <c r="AIQ9" s="16"/>
      <c r="AIR9" s="16"/>
      <c r="AIS9" s="16"/>
      <c r="AIT9" s="16"/>
      <c r="AIU9" s="16"/>
      <c r="AIV9" s="16"/>
      <c r="AIW9" s="16"/>
      <c r="AIX9" s="16"/>
      <c r="AIY9" s="16"/>
      <c r="AIZ9" s="16"/>
      <c r="AJA9" s="16"/>
      <c r="AJB9" s="16"/>
      <c r="AJC9" s="16"/>
      <c r="AJD9" s="16"/>
      <c r="AJE9" s="16"/>
      <c r="AJF9" s="16"/>
      <c r="AJG9" s="16"/>
      <c r="AJH9" s="16"/>
      <c r="AJI9" s="16"/>
      <c r="AJJ9" s="16"/>
      <c r="AJK9" s="16"/>
      <c r="AJL9" s="16"/>
      <c r="AJM9" s="16"/>
      <c r="AJN9" s="16"/>
      <c r="AJO9" s="16"/>
      <c r="AJP9" s="16"/>
      <c r="AJQ9" s="16"/>
      <c r="AJR9" s="16"/>
      <c r="AJS9" s="16"/>
      <c r="AJT9" s="16"/>
      <c r="AJU9" s="16"/>
      <c r="AJV9" s="16"/>
      <c r="AJW9" s="16"/>
      <c r="AJX9" s="16"/>
      <c r="AJY9" s="16"/>
      <c r="AJZ9" s="16"/>
      <c r="AKA9" s="16"/>
      <c r="AKB9" s="16"/>
      <c r="AKC9" s="16"/>
      <c r="AKD9" s="16"/>
      <c r="AKE9" s="16"/>
      <c r="AKF9" s="16"/>
      <c r="AKG9" s="16"/>
      <c r="AKH9" s="16"/>
      <c r="AKI9" s="16"/>
      <c r="AKJ9" s="16"/>
      <c r="AKK9" s="16"/>
      <c r="AKL9" s="16"/>
      <c r="AKM9" s="16"/>
      <c r="AKN9" s="16"/>
      <c r="AKO9" s="16"/>
      <c r="AKP9" s="16"/>
      <c r="AKQ9" s="16"/>
      <c r="AKR9" s="16"/>
      <c r="AKS9" s="16"/>
      <c r="AKT9" s="16"/>
      <c r="AKU9" s="16"/>
      <c r="AKV9" s="16"/>
      <c r="AKW9" s="16"/>
      <c r="AKX9" s="16"/>
      <c r="AKY9" s="16"/>
      <c r="AKZ9" s="16"/>
      <c r="ALA9" s="16"/>
      <c r="ALB9" s="16"/>
      <c r="ALC9" s="16"/>
      <c r="ALD9" s="16"/>
      <c r="ALE9" s="16"/>
      <c r="ALF9" s="16"/>
      <c r="ALG9" s="16"/>
      <c r="ALH9" s="16"/>
      <c r="ALI9" s="16"/>
      <c r="ALJ9" s="16"/>
      <c r="ALK9" s="16"/>
      <c r="ALL9" s="16"/>
      <c r="ALM9" s="16"/>
      <c r="ALN9" s="16"/>
      <c r="ALO9" s="16"/>
      <c r="ALP9" s="16"/>
      <c r="ALQ9" s="16"/>
      <c r="ALR9" s="16"/>
      <c r="ALS9" s="16"/>
      <c r="ALT9" s="16"/>
      <c r="ALU9" s="16"/>
      <c r="ALV9" s="16"/>
      <c r="ALW9" s="16"/>
      <c r="ALX9" s="16"/>
      <c r="ALY9" s="16"/>
      <c r="ALZ9" s="16"/>
      <c r="AMA9" s="16"/>
      <c r="AMB9" s="16"/>
      <c r="AMC9" s="16"/>
      <c r="AMD9" s="16"/>
      <c r="AME9" s="16"/>
      <c r="AMF9" s="16"/>
      <c r="AMG9" s="16"/>
      <c r="AMH9" s="16"/>
      <c r="AMI9" s="16"/>
      <c r="AMJ9" s="16"/>
      <c r="AMK9" s="16"/>
      <c r="AML9" s="16"/>
      <c r="AMM9" s="16"/>
      <c r="AMN9" s="16"/>
      <c r="AMO9" s="16"/>
      <c r="AMP9" s="16"/>
      <c r="AMQ9" s="16"/>
      <c r="AMR9" s="16"/>
      <c r="AMS9" s="16"/>
      <c r="AMT9" s="16"/>
      <c r="AMU9" s="16"/>
      <c r="AMV9" s="16"/>
      <c r="AMW9" s="16"/>
      <c r="AMX9" s="16"/>
      <c r="AMY9" s="16"/>
      <c r="AMZ9" s="16"/>
      <c r="ANA9" s="16"/>
      <c r="ANB9" s="16"/>
      <c r="ANC9" s="16"/>
      <c r="AND9" s="16"/>
      <c r="ANE9" s="16"/>
      <c r="ANF9" s="16"/>
      <c r="ANG9" s="16"/>
      <c r="ANH9" s="16"/>
      <c r="ANI9" s="16"/>
      <c r="ANJ9" s="16"/>
      <c r="ANK9" s="16"/>
      <c r="ANL9" s="16"/>
      <c r="ANM9" s="16"/>
      <c r="ANN9" s="16"/>
      <c r="ANO9" s="16"/>
      <c r="ANP9" s="16"/>
      <c r="ANQ9" s="16"/>
      <c r="ANR9" s="16"/>
      <c r="ANS9" s="16"/>
      <c r="ANT9" s="16"/>
      <c r="ANU9" s="16"/>
      <c r="ANV9" s="16"/>
      <c r="ANW9" s="16"/>
      <c r="ANX9" s="16"/>
      <c r="ANY9" s="16"/>
      <c r="ANZ9" s="16"/>
      <c r="AOA9" s="16"/>
      <c r="AOB9" s="16"/>
      <c r="AOC9" s="16"/>
      <c r="AOD9" s="16"/>
      <c r="AOE9" s="16"/>
      <c r="AOF9" s="16"/>
      <c r="AOG9" s="16"/>
      <c r="AOH9" s="16"/>
      <c r="AOI9" s="16"/>
      <c r="AOJ9" s="16"/>
      <c r="AOK9" s="16"/>
      <c r="AOL9" s="16"/>
      <c r="AOM9" s="16"/>
      <c r="AON9" s="16"/>
      <c r="AOO9" s="16"/>
      <c r="AOP9" s="16"/>
      <c r="AOQ9" s="16"/>
      <c r="AOR9" s="16"/>
      <c r="AOS9" s="16"/>
      <c r="AOT9" s="16"/>
      <c r="AOU9" s="16"/>
      <c r="AOV9" s="16"/>
      <c r="AOW9" s="16"/>
      <c r="AOX9" s="16"/>
      <c r="AOY9" s="16"/>
      <c r="AOZ9" s="16"/>
      <c r="APA9" s="16"/>
      <c r="APB9" s="16"/>
      <c r="APC9" s="16"/>
      <c r="APD9" s="16"/>
      <c r="APE9" s="16"/>
      <c r="APF9" s="16"/>
      <c r="APG9" s="16"/>
      <c r="APH9" s="16"/>
      <c r="API9" s="16"/>
      <c r="APJ9" s="16"/>
      <c r="APK9" s="16"/>
      <c r="APL9" s="16"/>
      <c r="APM9" s="16"/>
      <c r="APN9" s="16"/>
      <c r="APO9" s="16"/>
      <c r="APP9" s="16"/>
      <c r="APQ9" s="16"/>
      <c r="APR9" s="16"/>
      <c r="APS9" s="16"/>
      <c r="APT9" s="16"/>
      <c r="APU9" s="16"/>
      <c r="APV9" s="16"/>
      <c r="APW9" s="16"/>
      <c r="APX9" s="16"/>
      <c r="APY9" s="16"/>
      <c r="APZ9" s="16"/>
      <c r="AQA9" s="16"/>
      <c r="AQB9" s="16"/>
      <c r="AQC9" s="16"/>
      <c r="AQD9" s="16"/>
      <c r="AQE9" s="16"/>
      <c r="AQF9" s="16"/>
      <c r="AQG9" s="16"/>
      <c r="AQH9" s="16"/>
      <c r="AQI9" s="16"/>
      <c r="AQJ9" s="16"/>
      <c r="AQK9" s="16"/>
      <c r="AQL9" s="16"/>
      <c r="AQM9" s="16"/>
      <c r="AQN9" s="16"/>
      <c r="AQO9" s="16"/>
      <c r="AQP9" s="16"/>
      <c r="AQQ9" s="16"/>
      <c r="AQR9" s="16"/>
      <c r="AQS9" s="16"/>
      <c r="AQT9" s="16"/>
      <c r="AQU9" s="16"/>
      <c r="AQV9" s="16"/>
      <c r="AQW9" s="16"/>
      <c r="AQX9" s="16"/>
      <c r="AQY9" s="16"/>
      <c r="AQZ9" s="16"/>
      <c r="ARA9" s="16"/>
      <c r="ARB9" s="16"/>
      <c r="ARC9" s="16"/>
      <c r="ARD9" s="16"/>
      <c r="ARE9" s="16"/>
      <c r="ARF9" s="16"/>
      <c r="ARG9" s="16"/>
      <c r="ARH9" s="16"/>
      <c r="ARI9" s="16"/>
      <c r="ARJ9" s="16"/>
      <c r="ARK9" s="16"/>
      <c r="ARL9" s="16"/>
      <c r="ARM9" s="16"/>
      <c r="ARN9" s="16"/>
      <c r="ARO9" s="16"/>
      <c r="ARP9" s="16"/>
      <c r="ARQ9" s="16"/>
      <c r="ARR9" s="16"/>
      <c r="ARS9" s="16"/>
      <c r="ART9" s="16"/>
      <c r="ARU9" s="16"/>
      <c r="ARV9" s="16"/>
      <c r="ARW9" s="16"/>
      <c r="ARX9" s="16"/>
      <c r="ARY9" s="16"/>
      <c r="ARZ9" s="16"/>
      <c r="ASA9" s="16"/>
      <c r="ASB9" s="16"/>
      <c r="ASC9" s="16"/>
      <c r="ASD9" s="16"/>
      <c r="ASE9" s="16"/>
      <c r="ASF9" s="16"/>
      <c r="ASG9" s="16"/>
      <c r="ASH9" s="16"/>
      <c r="ASI9" s="16"/>
      <c r="ASJ9" s="16"/>
      <c r="ASK9" s="16"/>
      <c r="ASL9" s="16"/>
      <c r="ASM9" s="16"/>
      <c r="ASN9" s="16"/>
      <c r="ASO9" s="16"/>
      <c r="ASP9" s="16"/>
      <c r="ASQ9" s="16"/>
      <c r="ASR9" s="16"/>
      <c r="ASS9" s="16"/>
      <c r="AST9" s="16"/>
      <c r="ASU9" s="16"/>
      <c r="ASV9" s="16"/>
      <c r="ASW9" s="16"/>
      <c r="ASX9" s="16"/>
      <c r="ASY9" s="16"/>
      <c r="ASZ9" s="16"/>
      <c r="ATA9" s="16"/>
      <c r="ATB9" s="16"/>
      <c r="ATC9" s="16"/>
      <c r="ATD9" s="16"/>
      <c r="ATE9" s="16"/>
      <c r="ATF9" s="16"/>
      <c r="ATG9" s="16"/>
      <c r="ATH9" s="16"/>
      <c r="ATI9" s="16"/>
      <c r="ATJ9" s="16"/>
      <c r="ATK9" s="16"/>
      <c r="ATL9" s="16"/>
      <c r="ATM9" s="16"/>
      <c r="ATN9" s="16"/>
      <c r="ATO9" s="16"/>
      <c r="ATP9" s="16"/>
      <c r="ATQ9" s="16"/>
      <c r="ATR9" s="16"/>
      <c r="ATS9" s="16"/>
      <c r="ATT9" s="16"/>
      <c r="ATU9" s="16"/>
      <c r="ATV9" s="16"/>
      <c r="ATW9" s="16"/>
      <c r="ATX9" s="16"/>
      <c r="ATY9" s="16"/>
      <c r="ATZ9" s="16"/>
      <c r="AUA9" s="16"/>
      <c r="AUB9" s="16"/>
      <c r="AUC9" s="16"/>
      <c r="AUD9" s="16"/>
      <c r="AUE9" s="16"/>
      <c r="AUF9" s="16"/>
      <c r="AUG9" s="16"/>
      <c r="AUH9" s="16"/>
      <c r="AUI9" s="16"/>
      <c r="AUJ9" s="16"/>
      <c r="AUK9" s="16"/>
      <c r="AUL9" s="16"/>
      <c r="AUM9" s="16"/>
      <c r="AUN9" s="16"/>
      <c r="AUO9" s="16"/>
      <c r="AUP9" s="16"/>
      <c r="AUQ9" s="16"/>
      <c r="AUR9" s="16"/>
      <c r="AUS9" s="16"/>
      <c r="AUT9" s="16"/>
      <c r="AUU9" s="16"/>
      <c r="AUV9" s="16"/>
      <c r="AUW9" s="16"/>
      <c r="AUX9" s="16"/>
      <c r="AUY9" s="16"/>
      <c r="AUZ9" s="16"/>
      <c r="AVA9" s="16"/>
      <c r="AVB9" s="16"/>
      <c r="AVC9" s="16"/>
      <c r="AVD9" s="16"/>
      <c r="AVE9" s="16"/>
      <c r="AVF9" s="16"/>
      <c r="AVG9" s="16"/>
      <c r="AVH9" s="16"/>
      <c r="AVI9" s="16"/>
      <c r="AVJ9" s="16"/>
      <c r="AVK9" s="16"/>
      <c r="AVL9" s="16"/>
      <c r="AVM9" s="16"/>
      <c r="AVN9" s="16"/>
      <c r="AVO9" s="16"/>
      <c r="AVP9" s="16"/>
      <c r="AVQ9" s="16"/>
      <c r="AVR9" s="16"/>
      <c r="AVS9" s="16"/>
      <c r="AVT9" s="16"/>
      <c r="AVU9" s="16"/>
      <c r="AVV9" s="16"/>
      <c r="AVW9" s="16"/>
      <c r="AVX9" s="16"/>
      <c r="AVY9" s="16"/>
      <c r="AVZ9" s="16"/>
      <c r="AWA9" s="16"/>
      <c r="AWB9" s="16"/>
      <c r="AWC9" s="16"/>
      <c r="AWD9" s="16"/>
      <c r="AWE9" s="16"/>
      <c r="AWF9" s="16"/>
      <c r="AWG9" s="16"/>
      <c r="AWH9" s="16"/>
      <c r="AWI9" s="16"/>
      <c r="AWJ9" s="16"/>
      <c r="AWK9" s="16"/>
      <c r="AWL9" s="16"/>
      <c r="AWM9" s="16"/>
      <c r="AWN9" s="16"/>
      <c r="AWO9" s="16"/>
      <c r="AWP9" s="16"/>
      <c r="AWQ9" s="16"/>
      <c r="AWR9" s="16"/>
      <c r="AWS9" s="16"/>
      <c r="AWT9" s="16"/>
      <c r="AWU9" s="16"/>
      <c r="AWV9" s="16"/>
      <c r="AWW9" s="16"/>
      <c r="AWX9" s="16"/>
      <c r="AWY9" s="16"/>
      <c r="AWZ9" s="16"/>
      <c r="AXA9" s="16"/>
      <c r="AXB9" s="16"/>
      <c r="AXC9" s="16"/>
      <c r="AXD9" s="16"/>
      <c r="AXE9" s="16"/>
      <c r="AXF9" s="16"/>
      <c r="AXG9" s="16"/>
      <c r="AXH9" s="16"/>
      <c r="AXI9" s="16"/>
      <c r="AXJ9" s="16"/>
      <c r="AXK9" s="16"/>
      <c r="AXL9" s="16"/>
      <c r="AXM9" s="16"/>
      <c r="AXN9" s="16"/>
      <c r="AXO9" s="16"/>
      <c r="AXP9" s="16"/>
      <c r="AXQ9" s="16"/>
      <c r="AXR9" s="16"/>
      <c r="AXS9" s="16"/>
      <c r="AXT9" s="16"/>
      <c r="AXU9" s="16"/>
      <c r="AXV9" s="16"/>
      <c r="AXW9" s="16"/>
      <c r="AXX9" s="16"/>
      <c r="AXY9" s="16"/>
      <c r="AXZ9" s="16"/>
      <c r="AYA9" s="16"/>
      <c r="AYB9" s="16"/>
      <c r="AYC9" s="16"/>
      <c r="AYD9" s="16"/>
      <c r="AYE9" s="16"/>
      <c r="AYF9" s="16"/>
      <c r="AYG9" s="16"/>
      <c r="AYH9" s="16"/>
      <c r="AYI9" s="16"/>
      <c r="AYJ9" s="16"/>
      <c r="AYK9" s="16"/>
      <c r="AYL9" s="16"/>
      <c r="AYM9" s="16"/>
      <c r="AYN9" s="16"/>
      <c r="AYO9" s="16"/>
      <c r="AYP9" s="16"/>
      <c r="AYQ9" s="16"/>
      <c r="AYR9" s="16"/>
      <c r="AYS9" s="16"/>
      <c r="AYT9" s="16"/>
      <c r="AYU9" s="16"/>
      <c r="AYV9" s="16"/>
      <c r="AYW9" s="16"/>
      <c r="AYX9" s="16"/>
      <c r="AYY9" s="16"/>
      <c r="AYZ9" s="16"/>
      <c r="AZA9" s="16"/>
      <c r="AZB9" s="16"/>
      <c r="AZC9" s="16"/>
      <c r="AZD9" s="16"/>
      <c r="AZE9" s="16"/>
      <c r="AZF9" s="16"/>
      <c r="AZG9" s="16"/>
      <c r="AZH9" s="16"/>
      <c r="AZI9" s="16"/>
      <c r="AZJ9" s="16"/>
      <c r="AZK9" s="16"/>
      <c r="AZL9" s="16"/>
      <c r="AZM9" s="16"/>
      <c r="AZN9" s="16"/>
      <c r="AZO9" s="16"/>
      <c r="AZP9" s="16"/>
      <c r="AZQ9" s="16"/>
      <c r="AZR9" s="16"/>
      <c r="AZS9" s="16"/>
      <c r="AZT9" s="16"/>
      <c r="AZU9" s="16"/>
      <c r="AZV9" s="16"/>
      <c r="AZW9" s="16"/>
      <c r="AZX9" s="16"/>
      <c r="AZY9" s="16"/>
      <c r="AZZ9" s="16"/>
      <c r="BAA9" s="16"/>
      <c r="BAB9" s="16"/>
      <c r="BAC9" s="16"/>
      <c r="BAD9" s="16"/>
      <c r="BAE9" s="16"/>
      <c r="BAF9" s="16"/>
      <c r="BAG9" s="16"/>
      <c r="BAH9" s="16"/>
      <c r="BAI9" s="16"/>
      <c r="BAJ9" s="16"/>
      <c r="BAK9" s="16"/>
      <c r="BAL9" s="16"/>
      <c r="BAM9" s="16"/>
      <c r="BAN9" s="16"/>
      <c r="BAO9" s="16"/>
      <c r="BAP9" s="16"/>
      <c r="BAQ9" s="16"/>
      <c r="BAR9" s="16"/>
      <c r="BAS9" s="16"/>
      <c r="BAT9" s="16"/>
      <c r="BAU9" s="16"/>
      <c r="BAV9" s="16"/>
      <c r="BAW9" s="16"/>
      <c r="BAX9" s="16"/>
      <c r="BAY9" s="16"/>
      <c r="BAZ9" s="16"/>
      <c r="BBA9" s="16"/>
      <c r="BBB9" s="16"/>
      <c r="BBC9" s="16"/>
      <c r="BBD9" s="16"/>
      <c r="BBE9" s="16"/>
      <c r="BBF9" s="16"/>
      <c r="BBG9" s="16"/>
      <c r="BBH9" s="16"/>
      <c r="BBI9" s="16"/>
      <c r="BBJ9" s="16"/>
      <c r="BBK9" s="16"/>
      <c r="BBL9" s="16"/>
      <c r="BBM9" s="16"/>
      <c r="BBN9" s="16"/>
      <c r="BBO9" s="16"/>
      <c r="BBP9" s="16"/>
      <c r="BBQ9" s="16"/>
      <c r="BBR9" s="16"/>
      <c r="BBS9" s="16"/>
      <c r="BBT9" s="16"/>
      <c r="BBU9" s="16"/>
      <c r="BBV9" s="16"/>
      <c r="BBW9" s="16"/>
      <c r="BBX9" s="16"/>
      <c r="BBY9" s="16"/>
      <c r="BBZ9" s="16"/>
      <c r="BCA9" s="16"/>
      <c r="BCB9" s="16"/>
      <c r="BCC9" s="16"/>
      <c r="BCD9" s="16"/>
      <c r="BCE9" s="16"/>
      <c r="BCF9" s="16"/>
      <c r="BCG9" s="16"/>
      <c r="BCH9" s="16"/>
      <c r="BCI9" s="16"/>
      <c r="BCJ9" s="16"/>
      <c r="BCK9" s="16"/>
      <c r="BCL9" s="16"/>
      <c r="BCM9" s="16"/>
      <c r="BCN9" s="16"/>
      <c r="BCO9" s="16"/>
      <c r="BCP9" s="16"/>
      <c r="BCQ9" s="16"/>
      <c r="BCR9" s="16"/>
      <c r="BCS9" s="16"/>
      <c r="BCT9" s="16"/>
      <c r="BCU9" s="16"/>
      <c r="BCV9" s="16"/>
      <c r="BCW9" s="16"/>
      <c r="BCX9" s="16"/>
      <c r="BCY9" s="16"/>
      <c r="BCZ9" s="16"/>
      <c r="BDA9" s="16"/>
      <c r="BDB9" s="16"/>
      <c r="BDC9" s="16"/>
      <c r="BDD9" s="16"/>
      <c r="BDE9" s="16"/>
      <c r="BDF9" s="16"/>
      <c r="BDG9" s="16"/>
      <c r="BDH9" s="16"/>
      <c r="BDI9" s="16"/>
      <c r="BDJ9" s="16"/>
      <c r="BDK9" s="16"/>
      <c r="BDL9" s="16"/>
      <c r="BDM9" s="16"/>
      <c r="BDN9" s="16"/>
      <c r="BDO9" s="16"/>
      <c r="BDP9" s="16"/>
      <c r="BDQ9" s="16"/>
      <c r="BDR9" s="16"/>
      <c r="BDS9" s="16"/>
      <c r="BDT9" s="16"/>
      <c r="BDU9" s="16"/>
      <c r="BDV9" s="16"/>
      <c r="BDW9" s="16"/>
      <c r="BDX9" s="16"/>
      <c r="BDY9" s="16"/>
      <c r="BDZ9" s="16"/>
      <c r="BEA9" s="16"/>
      <c r="BEB9" s="16"/>
      <c r="BEC9" s="16"/>
      <c r="BED9" s="16"/>
      <c r="BEE9" s="16"/>
      <c r="BEF9" s="16"/>
      <c r="BEG9" s="16"/>
      <c r="BEH9" s="16"/>
      <c r="BEI9" s="16"/>
      <c r="BEJ9" s="16"/>
      <c r="BEK9" s="16"/>
      <c r="BEL9" s="16"/>
      <c r="BEM9" s="16"/>
      <c r="BEN9" s="16"/>
      <c r="BEO9" s="16"/>
      <c r="BEP9" s="16"/>
      <c r="BEQ9" s="16"/>
      <c r="BER9" s="16"/>
      <c r="BES9" s="16"/>
      <c r="BET9" s="16"/>
      <c r="BEU9" s="16"/>
      <c r="BEV9" s="16"/>
      <c r="BEW9" s="16"/>
      <c r="BEX9" s="16"/>
      <c r="BEY9" s="16"/>
      <c r="BEZ9" s="16"/>
      <c r="BFA9" s="16"/>
      <c r="BFB9" s="16"/>
      <c r="BFC9" s="16"/>
      <c r="BFD9" s="16"/>
      <c r="BFE9" s="16"/>
      <c r="BFF9" s="16"/>
      <c r="BFG9" s="16"/>
      <c r="BFH9" s="16"/>
      <c r="BFI9" s="16"/>
      <c r="BFJ9" s="16"/>
      <c r="BFK9" s="16"/>
      <c r="BFL9" s="16"/>
      <c r="BFM9" s="16"/>
      <c r="BFN9" s="16"/>
      <c r="BFO9" s="16"/>
      <c r="BFP9" s="16"/>
      <c r="BFQ9" s="16"/>
      <c r="BFR9" s="16"/>
      <c r="BFS9" s="16"/>
      <c r="BFT9" s="16"/>
      <c r="BFU9" s="16"/>
      <c r="BFV9" s="16"/>
      <c r="BFW9" s="16"/>
      <c r="BFX9" s="16"/>
      <c r="BFY9" s="16"/>
      <c r="BFZ9" s="16"/>
      <c r="BGA9" s="16"/>
      <c r="BGB9" s="16"/>
      <c r="BGC9" s="16"/>
      <c r="BGD9" s="16"/>
      <c r="BGE9" s="16"/>
      <c r="BGF9" s="16"/>
      <c r="BGG9" s="16"/>
      <c r="BGH9" s="16"/>
      <c r="BGI9" s="16"/>
      <c r="BGJ9" s="16"/>
      <c r="BGK9" s="16"/>
      <c r="BGL9" s="16"/>
      <c r="BGM9" s="16"/>
      <c r="BGN9" s="16"/>
      <c r="BGO9" s="16"/>
      <c r="BGP9" s="16"/>
      <c r="BGQ9" s="16"/>
      <c r="BGR9" s="16"/>
      <c r="BGS9" s="16"/>
      <c r="BGT9" s="16"/>
      <c r="BGU9" s="16"/>
      <c r="BGV9" s="16"/>
      <c r="BGW9" s="16"/>
      <c r="BGX9" s="16"/>
      <c r="BGY9" s="16"/>
      <c r="BGZ9" s="16"/>
      <c r="BHA9" s="16"/>
      <c r="BHB9" s="16"/>
      <c r="BHC9" s="16"/>
      <c r="BHD9" s="16"/>
      <c r="BHE9" s="16"/>
      <c r="BHF9" s="16"/>
      <c r="BHG9" s="16"/>
      <c r="BHH9" s="16"/>
      <c r="BHI9" s="16"/>
      <c r="BHJ9" s="16"/>
      <c r="BHK9" s="16"/>
      <c r="BHL9" s="16"/>
      <c r="BHM9" s="16"/>
      <c r="BHN9" s="16"/>
      <c r="BHO9" s="16"/>
      <c r="BHP9" s="16"/>
      <c r="BHQ9" s="16"/>
      <c r="BHR9" s="16"/>
      <c r="BHS9" s="16"/>
      <c r="BHT9" s="16"/>
      <c r="BHU9" s="16"/>
      <c r="BHV9" s="16"/>
      <c r="BHW9" s="16"/>
      <c r="BHX9" s="16"/>
      <c r="BHY9" s="16"/>
      <c r="BHZ9" s="16"/>
      <c r="BIA9" s="16"/>
      <c r="BIB9" s="16"/>
      <c r="BIC9" s="16"/>
      <c r="BID9" s="16"/>
      <c r="BIE9" s="16"/>
      <c r="BIF9" s="16"/>
      <c r="BIG9" s="16"/>
      <c r="BIH9" s="16"/>
      <c r="BII9" s="16"/>
      <c r="BIJ9" s="16"/>
      <c r="BIK9" s="16"/>
      <c r="BIL9" s="16"/>
      <c r="BIM9" s="16"/>
      <c r="BIN9" s="16"/>
      <c r="BIO9" s="16"/>
      <c r="BIP9" s="16"/>
      <c r="BIQ9" s="16"/>
      <c r="BIR9" s="16"/>
      <c r="BIS9" s="16"/>
      <c r="BIT9" s="16"/>
      <c r="BIU9" s="16"/>
      <c r="BIV9" s="16"/>
      <c r="BIW9" s="16"/>
      <c r="BIX9" s="16"/>
      <c r="BIY9" s="16"/>
      <c r="BIZ9" s="16"/>
      <c r="BJA9" s="16"/>
      <c r="BJB9" s="16"/>
      <c r="BJC9" s="16"/>
      <c r="BJD9" s="16"/>
      <c r="BJE9" s="16"/>
      <c r="BJF9" s="16"/>
      <c r="BJG9" s="16"/>
      <c r="BJH9" s="16"/>
      <c r="BJI9" s="16"/>
      <c r="BJJ9" s="16"/>
      <c r="BJK9" s="16"/>
      <c r="BJL9" s="16"/>
      <c r="BJM9" s="16"/>
      <c r="BJN9" s="16"/>
      <c r="BJO9" s="16"/>
      <c r="BJP9" s="16"/>
      <c r="BJQ9" s="16"/>
      <c r="BJR9" s="16"/>
      <c r="BJS9" s="16"/>
      <c r="BJT9" s="16"/>
      <c r="BJU9" s="16"/>
      <c r="BJV9" s="16"/>
      <c r="BJW9" s="16"/>
      <c r="BJX9" s="16"/>
      <c r="BJY9" s="16"/>
      <c r="BJZ9" s="16"/>
      <c r="BKA9" s="16"/>
      <c r="BKB9" s="16"/>
      <c r="BKC9" s="16"/>
      <c r="BKD9" s="16"/>
      <c r="BKE9" s="16"/>
      <c r="BKF9" s="16"/>
      <c r="BKG9" s="16"/>
      <c r="BKH9" s="16"/>
      <c r="BKI9" s="16"/>
      <c r="BKJ9" s="16"/>
      <c r="BKK9" s="16"/>
      <c r="BKL9" s="16"/>
      <c r="BKM9" s="16"/>
      <c r="BKN9" s="16"/>
      <c r="BKO9" s="16"/>
      <c r="BKP9" s="16"/>
      <c r="BKQ9" s="16"/>
      <c r="BKR9" s="16"/>
      <c r="BKS9" s="16"/>
      <c r="BKT9" s="16"/>
      <c r="BKU9" s="16"/>
      <c r="BKV9" s="16"/>
      <c r="BKW9" s="16"/>
      <c r="BKX9" s="16"/>
      <c r="BKY9" s="16"/>
      <c r="BKZ9" s="16"/>
      <c r="BLA9" s="16"/>
      <c r="BLB9" s="16"/>
      <c r="BLC9" s="16"/>
      <c r="BLD9" s="16"/>
      <c r="BLE9" s="16"/>
      <c r="BLF9" s="16"/>
      <c r="BLG9" s="16"/>
      <c r="BLH9" s="16"/>
      <c r="BLI9" s="16"/>
      <c r="BLJ9" s="16"/>
      <c r="BLK9" s="16"/>
      <c r="BLL9" s="16"/>
      <c r="BLM9" s="16"/>
      <c r="BLN9" s="16"/>
      <c r="BLO9" s="16"/>
      <c r="BLP9" s="16"/>
      <c r="BLQ9" s="16"/>
      <c r="BLR9" s="16"/>
      <c r="BLS9" s="16"/>
      <c r="BLT9" s="16"/>
      <c r="BLU9" s="16"/>
      <c r="BLV9" s="16"/>
      <c r="BLW9" s="16"/>
      <c r="BLX9" s="16"/>
      <c r="BLY9" s="16"/>
      <c r="BLZ9" s="16"/>
      <c r="BMA9" s="16"/>
      <c r="BMB9" s="16"/>
      <c r="BMC9" s="16"/>
      <c r="BMD9" s="16"/>
      <c r="BME9" s="16"/>
      <c r="BMF9" s="16"/>
      <c r="BMG9" s="16"/>
      <c r="BMH9" s="16"/>
      <c r="BMI9" s="16"/>
      <c r="BMJ9" s="16"/>
      <c r="BMK9" s="16"/>
      <c r="BML9" s="16"/>
      <c r="BMM9" s="16"/>
      <c r="BMN9" s="16"/>
      <c r="BMO9" s="16"/>
      <c r="BMP9" s="16"/>
      <c r="BMQ9" s="16"/>
      <c r="BMR9" s="16"/>
      <c r="BMS9" s="16"/>
      <c r="BMT9" s="16"/>
      <c r="BMU9" s="16"/>
      <c r="BMV9" s="16"/>
      <c r="BMW9" s="16"/>
      <c r="BMX9" s="16"/>
      <c r="BMY9" s="16"/>
      <c r="BMZ9" s="16"/>
      <c r="BNA9" s="16"/>
      <c r="BNB9" s="16"/>
      <c r="BNC9" s="16"/>
      <c r="BND9" s="16"/>
      <c r="BNE9" s="16"/>
    </row>
    <row r="11" spans="1:1721" ht="12" x14ac:dyDescent="0.25">
      <c r="BO11" s="1088"/>
    </row>
  </sheetData>
  <sheetProtection algorithmName="SHA-512" hashValue="Fld1jguWJJfucbGUPQmdeyvbiiH23Xl8JHne8HcpiRx58rqBuvUAlvCyCGettUIw1zepDInrqdcrPe7Gnn/DOw==" saltValue="lBU3d+ejKS+/0pZVsmyU7A==" spinCount="100000" sheet="1" objects="1" scenarios="1" selectLockedCells="1" selectUnlockedCells="1"/>
  <mergeCells count="51">
    <mergeCell ref="BJ8:BJ9"/>
    <mergeCell ref="BK8:BK9"/>
    <mergeCell ref="BQ8:BQ9"/>
    <mergeCell ref="BR8:BR9"/>
    <mergeCell ref="BS8:BS9"/>
    <mergeCell ref="AT8:AT9"/>
    <mergeCell ref="AU8:AU9"/>
    <mergeCell ref="BA8:BA9"/>
    <mergeCell ref="BB8:BB9"/>
    <mergeCell ref="BC8:BC9"/>
    <mergeCell ref="BI8:BI9"/>
    <mergeCell ref="AD8:AD9"/>
    <mergeCell ref="AE8:AE9"/>
    <mergeCell ref="AK8:AK9"/>
    <mergeCell ref="AL8:AL9"/>
    <mergeCell ref="AM8:AM9"/>
    <mergeCell ref="AS8:AS9"/>
    <mergeCell ref="O8:O9"/>
    <mergeCell ref="P8:P9"/>
    <mergeCell ref="Q8:Q9"/>
    <mergeCell ref="R8:R9"/>
    <mergeCell ref="S8:S9"/>
    <mergeCell ref="AC8:AC9"/>
    <mergeCell ref="A8:A9"/>
    <mergeCell ref="B8:B9"/>
    <mergeCell ref="C8:C9"/>
    <mergeCell ref="D8:D9"/>
    <mergeCell ref="E8:E9"/>
    <mergeCell ref="F8:F9"/>
    <mergeCell ref="BP5:BS5"/>
    <mergeCell ref="BT5:BW5"/>
    <mergeCell ref="J7:J9"/>
    <mergeCell ref="K7:K9"/>
    <mergeCell ref="Y7:Y9"/>
    <mergeCell ref="Z7:Z9"/>
    <mergeCell ref="AA7:AA9"/>
    <mergeCell ref="L8:L9"/>
    <mergeCell ref="M8:M9"/>
    <mergeCell ref="N8:N9"/>
    <mergeCell ref="AR5:AU5"/>
    <mergeCell ref="AV5:AY5"/>
    <mergeCell ref="AZ5:BC5"/>
    <mergeCell ref="BD5:BG5"/>
    <mergeCell ref="BH5:BK5"/>
    <mergeCell ref="BL5:BO5"/>
    <mergeCell ref="C2:O2"/>
    <mergeCell ref="M4:M5"/>
    <mergeCell ref="A5:C5"/>
    <mergeCell ref="D5:F5"/>
    <mergeCell ref="G5:I5"/>
    <mergeCell ref="J5:L5"/>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22"/>
  <sheetViews>
    <sheetView workbookViewId="0">
      <selection activeCell="K8" sqref="K8"/>
    </sheetView>
  </sheetViews>
  <sheetFormatPr baseColWidth="10" defaultRowHeight="15" x14ac:dyDescent="0.25"/>
  <sheetData>
    <row r="1" spans="1:10" x14ac:dyDescent="0.25">
      <c r="A1">
        <v>353</v>
      </c>
      <c r="B1">
        <v>1551</v>
      </c>
      <c r="C1">
        <v>1395</v>
      </c>
      <c r="E1" t="s">
        <v>123</v>
      </c>
      <c r="G1" t="s">
        <v>138</v>
      </c>
      <c r="H1">
        <v>638</v>
      </c>
      <c r="I1">
        <v>1622</v>
      </c>
      <c r="J1">
        <v>2285</v>
      </c>
    </row>
    <row r="2" spans="1:10" x14ac:dyDescent="0.25">
      <c r="A2">
        <v>316</v>
      </c>
      <c r="B2">
        <v>644</v>
      </c>
      <c r="C2">
        <v>366</v>
      </c>
      <c r="E2" t="s">
        <v>124</v>
      </c>
      <c r="G2" t="s">
        <v>140</v>
      </c>
      <c r="H2">
        <v>124</v>
      </c>
      <c r="I2">
        <v>1717</v>
      </c>
      <c r="J2">
        <v>2284</v>
      </c>
    </row>
    <row r="3" spans="1:10" x14ac:dyDescent="0.25">
      <c r="A3">
        <v>293</v>
      </c>
      <c r="B3">
        <v>1834</v>
      </c>
      <c r="C3">
        <v>759</v>
      </c>
      <c r="E3" t="s">
        <v>125</v>
      </c>
      <c r="G3" t="s">
        <v>158</v>
      </c>
      <c r="H3">
        <v>165</v>
      </c>
      <c r="I3">
        <v>2141</v>
      </c>
      <c r="J3">
        <v>2151</v>
      </c>
    </row>
    <row r="4" spans="1:10" x14ac:dyDescent="0.25">
      <c r="A4">
        <v>294</v>
      </c>
      <c r="B4">
        <v>622</v>
      </c>
      <c r="C4">
        <v>1420</v>
      </c>
      <c r="E4" t="s">
        <v>126</v>
      </c>
      <c r="G4" t="s">
        <v>169</v>
      </c>
      <c r="H4">
        <v>186</v>
      </c>
      <c r="I4">
        <v>1016</v>
      </c>
      <c r="J4">
        <v>1506</v>
      </c>
    </row>
    <row r="5" spans="1:10" x14ac:dyDescent="0.25">
      <c r="A5">
        <v>128</v>
      </c>
      <c r="B5">
        <v>1116</v>
      </c>
      <c r="C5">
        <v>718</v>
      </c>
      <c r="E5" t="s">
        <v>127</v>
      </c>
      <c r="G5" t="s">
        <v>180</v>
      </c>
      <c r="H5">
        <v>171</v>
      </c>
      <c r="I5">
        <v>1114</v>
      </c>
      <c r="J5">
        <v>2286</v>
      </c>
    </row>
    <row r="6" spans="1:10" x14ac:dyDescent="0.25">
      <c r="A6">
        <v>336</v>
      </c>
      <c r="B6">
        <v>693</v>
      </c>
      <c r="C6">
        <v>718</v>
      </c>
      <c r="E6" t="s">
        <v>128</v>
      </c>
      <c r="G6" t="s">
        <v>168</v>
      </c>
      <c r="H6">
        <v>286</v>
      </c>
      <c r="I6">
        <v>1776</v>
      </c>
      <c r="J6">
        <v>673</v>
      </c>
    </row>
    <row r="7" spans="1:10" x14ac:dyDescent="0.25">
      <c r="A7">
        <v>305</v>
      </c>
      <c r="B7">
        <v>1830</v>
      </c>
      <c r="C7">
        <v>1440</v>
      </c>
      <c r="E7" t="s">
        <v>129</v>
      </c>
      <c r="G7" t="s">
        <v>172</v>
      </c>
      <c r="H7">
        <v>287</v>
      </c>
      <c r="I7">
        <v>1602</v>
      </c>
      <c r="J7">
        <v>530</v>
      </c>
    </row>
    <row r="8" spans="1:10" x14ac:dyDescent="0.25">
      <c r="A8">
        <v>307</v>
      </c>
      <c r="B8">
        <v>1555</v>
      </c>
      <c r="C8">
        <v>1279</v>
      </c>
      <c r="E8" t="s">
        <v>130</v>
      </c>
      <c r="G8" t="s">
        <v>170</v>
      </c>
      <c r="H8">
        <v>298</v>
      </c>
      <c r="I8">
        <v>1177</v>
      </c>
      <c r="J8">
        <v>615</v>
      </c>
    </row>
    <row r="9" spans="1:10" x14ac:dyDescent="0.25">
      <c r="A9">
        <v>308</v>
      </c>
      <c r="B9">
        <v>1852</v>
      </c>
      <c r="C9">
        <v>645</v>
      </c>
      <c r="E9" t="s">
        <v>131</v>
      </c>
      <c r="G9" t="s">
        <v>174</v>
      </c>
      <c r="H9">
        <v>461</v>
      </c>
      <c r="I9">
        <v>1266</v>
      </c>
      <c r="J9">
        <v>615</v>
      </c>
    </row>
    <row r="10" spans="1:10" x14ac:dyDescent="0.25">
      <c r="A10">
        <v>263</v>
      </c>
      <c r="B10">
        <v>1264</v>
      </c>
      <c r="C10">
        <v>1089</v>
      </c>
      <c r="E10" t="s">
        <v>132</v>
      </c>
      <c r="G10" t="s">
        <v>182</v>
      </c>
      <c r="H10">
        <v>107</v>
      </c>
      <c r="I10">
        <v>6</v>
      </c>
      <c r="J10">
        <v>1110</v>
      </c>
    </row>
    <row r="11" spans="1:10" x14ac:dyDescent="0.25">
      <c r="A11">
        <v>262</v>
      </c>
      <c r="B11">
        <v>671</v>
      </c>
      <c r="C11">
        <v>200</v>
      </c>
      <c r="E11" t="s">
        <v>125</v>
      </c>
      <c r="G11" t="s">
        <v>171</v>
      </c>
      <c r="H11">
        <v>168</v>
      </c>
      <c r="I11">
        <v>2120</v>
      </c>
      <c r="J11">
        <v>319</v>
      </c>
    </row>
    <row r="12" spans="1:10" x14ac:dyDescent="0.25">
      <c r="A12">
        <v>379</v>
      </c>
      <c r="B12">
        <v>833</v>
      </c>
      <c r="C12">
        <v>201</v>
      </c>
      <c r="E12" t="s">
        <v>126</v>
      </c>
      <c r="G12" t="s">
        <v>184</v>
      </c>
      <c r="H12">
        <v>712</v>
      </c>
      <c r="I12">
        <v>1446</v>
      </c>
      <c r="J12">
        <v>5</v>
      </c>
    </row>
    <row r="13" spans="1:10" x14ac:dyDescent="0.25">
      <c r="A13">
        <v>361</v>
      </c>
      <c r="B13">
        <v>662</v>
      </c>
      <c r="C13">
        <v>952</v>
      </c>
      <c r="E13" t="s">
        <v>129</v>
      </c>
      <c r="G13" t="s">
        <v>181</v>
      </c>
      <c r="H13">
        <v>125</v>
      </c>
      <c r="I13">
        <v>1178</v>
      </c>
      <c r="J13">
        <v>1257</v>
      </c>
    </row>
    <row r="14" spans="1:10" x14ac:dyDescent="0.25">
      <c r="A14">
        <v>333</v>
      </c>
      <c r="B14">
        <v>659</v>
      </c>
      <c r="C14">
        <v>1229</v>
      </c>
      <c r="E14" t="s">
        <v>133</v>
      </c>
      <c r="G14" t="s">
        <v>176</v>
      </c>
      <c r="H14">
        <v>527</v>
      </c>
      <c r="I14">
        <v>1088</v>
      </c>
      <c r="J14">
        <v>1714</v>
      </c>
    </row>
    <row r="15" spans="1:10" x14ac:dyDescent="0.25">
      <c r="A15">
        <v>343</v>
      </c>
      <c r="B15">
        <v>799</v>
      </c>
      <c r="C15">
        <v>1587</v>
      </c>
      <c r="E15" t="s">
        <v>134</v>
      </c>
      <c r="G15" t="s">
        <v>177</v>
      </c>
      <c r="H15">
        <v>528</v>
      </c>
      <c r="I15">
        <v>1275</v>
      </c>
      <c r="J15">
        <v>2084</v>
      </c>
    </row>
    <row r="16" spans="1:10" x14ac:dyDescent="0.25">
      <c r="A16">
        <v>377</v>
      </c>
      <c r="B16">
        <v>980</v>
      </c>
      <c r="C16">
        <v>1456</v>
      </c>
      <c r="E16" t="s">
        <v>135</v>
      </c>
      <c r="G16" t="s">
        <v>175</v>
      </c>
      <c r="H16">
        <v>1126</v>
      </c>
      <c r="I16">
        <v>1254</v>
      </c>
      <c r="J16">
        <v>489</v>
      </c>
    </row>
    <row r="17" spans="1:10" x14ac:dyDescent="0.25">
      <c r="A17">
        <v>309</v>
      </c>
      <c r="B17">
        <v>916</v>
      </c>
      <c r="C17">
        <v>1487</v>
      </c>
      <c r="E17" t="s">
        <v>136</v>
      </c>
      <c r="G17" t="s">
        <v>179</v>
      </c>
      <c r="H17">
        <v>267</v>
      </c>
      <c r="I17">
        <v>1530</v>
      </c>
      <c r="J17">
        <v>6</v>
      </c>
    </row>
    <row r="18" spans="1:10" x14ac:dyDescent="0.25">
      <c r="A18">
        <v>310</v>
      </c>
      <c r="B18">
        <v>877</v>
      </c>
      <c r="C18">
        <v>1091</v>
      </c>
      <c r="E18" t="s">
        <v>137</v>
      </c>
      <c r="G18" t="s">
        <v>202</v>
      </c>
      <c r="H18">
        <v>315</v>
      </c>
      <c r="I18">
        <v>1102</v>
      </c>
      <c r="J18">
        <v>1100</v>
      </c>
    </row>
    <row r="19" spans="1:10" x14ac:dyDescent="0.25">
      <c r="A19">
        <v>311</v>
      </c>
      <c r="B19">
        <v>1158</v>
      </c>
      <c r="C19">
        <v>362</v>
      </c>
      <c r="E19" t="s">
        <v>138</v>
      </c>
      <c r="G19" t="s">
        <v>154</v>
      </c>
      <c r="H19">
        <v>101</v>
      </c>
      <c r="I19">
        <v>681</v>
      </c>
      <c r="J19">
        <v>443</v>
      </c>
    </row>
    <row r="20" spans="1:10" x14ac:dyDescent="0.25">
      <c r="A20">
        <v>354</v>
      </c>
      <c r="B20">
        <v>971</v>
      </c>
      <c r="C20">
        <v>408</v>
      </c>
      <c r="E20" t="s">
        <v>139</v>
      </c>
      <c r="G20" t="s">
        <v>178</v>
      </c>
      <c r="H20">
        <v>101</v>
      </c>
      <c r="I20">
        <v>1642</v>
      </c>
      <c r="J20">
        <v>2123</v>
      </c>
    </row>
    <row r="21" spans="1:10" x14ac:dyDescent="0.25">
      <c r="A21">
        <v>337</v>
      </c>
      <c r="B21">
        <v>1194</v>
      </c>
      <c r="C21">
        <v>243</v>
      </c>
      <c r="E21" t="s">
        <v>140</v>
      </c>
      <c r="G21" t="s">
        <v>149</v>
      </c>
      <c r="H21">
        <v>596</v>
      </c>
      <c r="I21">
        <v>429</v>
      </c>
      <c r="J21">
        <v>2137</v>
      </c>
    </row>
    <row r="22" spans="1:10" x14ac:dyDescent="0.25">
      <c r="A22">
        <v>370</v>
      </c>
      <c r="B22">
        <v>930</v>
      </c>
      <c r="E22" t="s">
        <v>141</v>
      </c>
      <c r="G22" t="s">
        <v>144</v>
      </c>
      <c r="H22">
        <v>167</v>
      </c>
      <c r="I22">
        <v>1276</v>
      </c>
      <c r="J22">
        <v>1152</v>
      </c>
    </row>
    <row r="23" spans="1:10" x14ac:dyDescent="0.25">
      <c r="A23">
        <v>332</v>
      </c>
      <c r="B23">
        <v>284</v>
      </c>
      <c r="E23" t="s">
        <v>142</v>
      </c>
      <c r="G23" t="s">
        <v>145</v>
      </c>
      <c r="H23">
        <v>4</v>
      </c>
      <c r="I23">
        <v>427</v>
      </c>
      <c r="J23">
        <v>1444</v>
      </c>
    </row>
    <row r="24" spans="1:10" x14ac:dyDescent="0.25">
      <c r="A24">
        <v>380</v>
      </c>
      <c r="B24">
        <v>1316</v>
      </c>
      <c r="E24" t="s">
        <v>143</v>
      </c>
      <c r="G24" t="s">
        <v>146</v>
      </c>
      <c r="H24">
        <v>732</v>
      </c>
      <c r="I24">
        <v>1203</v>
      </c>
      <c r="J24">
        <v>2066</v>
      </c>
    </row>
    <row r="25" spans="1:10" x14ac:dyDescent="0.25">
      <c r="A25">
        <v>381</v>
      </c>
      <c r="B25">
        <v>867</v>
      </c>
      <c r="E25" t="s">
        <v>144</v>
      </c>
      <c r="G25" t="s">
        <v>185</v>
      </c>
      <c r="H25">
        <v>212</v>
      </c>
      <c r="I25">
        <v>497</v>
      </c>
      <c r="J25">
        <v>585</v>
      </c>
    </row>
    <row r="26" spans="1:10" x14ac:dyDescent="0.25">
      <c r="A26">
        <v>382</v>
      </c>
      <c r="B26">
        <v>1532</v>
      </c>
      <c r="E26" t="s">
        <v>145</v>
      </c>
      <c r="G26" t="s">
        <v>198</v>
      </c>
      <c r="H26">
        <v>1363</v>
      </c>
      <c r="I26">
        <v>312</v>
      </c>
      <c r="J26">
        <v>2092</v>
      </c>
    </row>
    <row r="27" spans="1:10" x14ac:dyDescent="0.25">
      <c r="A27">
        <v>386</v>
      </c>
      <c r="B27">
        <v>1136</v>
      </c>
      <c r="E27" t="s">
        <v>146</v>
      </c>
      <c r="G27" t="s">
        <v>133</v>
      </c>
      <c r="H27">
        <v>915</v>
      </c>
      <c r="I27">
        <v>813</v>
      </c>
      <c r="J27">
        <v>2072</v>
      </c>
    </row>
    <row r="28" spans="1:10" x14ac:dyDescent="0.25">
      <c r="A28">
        <v>384</v>
      </c>
      <c r="B28">
        <v>1311</v>
      </c>
      <c r="E28" t="s">
        <v>147</v>
      </c>
      <c r="G28" t="s">
        <v>187</v>
      </c>
      <c r="H28">
        <v>597</v>
      </c>
      <c r="J28">
        <v>340</v>
      </c>
    </row>
    <row r="29" spans="1:10" x14ac:dyDescent="0.25">
      <c r="A29">
        <v>387</v>
      </c>
      <c r="B29">
        <v>406</v>
      </c>
      <c r="E29" t="s">
        <v>148</v>
      </c>
      <c r="G29" t="s">
        <v>188</v>
      </c>
      <c r="H29">
        <v>1393</v>
      </c>
      <c r="J29">
        <v>351</v>
      </c>
    </row>
    <row r="30" spans="1:10" x14ac:dyDescent="0.25">
      <c r="A30">
        <v>383</v>
      </c>
      <c r="B30">
        <v>1533</v>
      </c>
      <c r="E30" t="s">
        <v>149</v>
      </c>
      <c r="G30" t="s">
        <v>189</v>
      </c>
      <c r="H30">
        <v>1233</v>
      </c>
      <c r="J30">
        <v>1426</v>
      </c>
    </row>
    <row r="31" spans="1:10" x14ac:dyDescent="0.25">
      <c r="A31">
        <v>394</v>
      </c>
      <c r="B31">
        <v>1784</v>
      </c>
      <c r="E31" t="s">
        <v>150</v>
      </c>
      <c r="G31" t="s">
        <v>190</v>
      </c>
      <c r="H31">
        <v>761</v>
      </c>
      <c r="J31">
        <v>2082</v>
      </c>
    </row>
    <row r="32" spans="1:10" x14ac:dyDescent="0.25">
      <c r="A32">
        <v>399</v>
      </c>
      <c r="B32">
        <v>1863</v>
      </c>
      <c r="E32" t="s">
        <v>151</v>
      </c>
      <c r="G32" t="s">
        <v>191</v>
      </c>
      <c r="H32">
        <v>763</v>
      </c>
      <c r="J32">
        <v>1469</v>
      </c>
    </row>
    <row r="33" spans="1:10" x14ac:dyDescent="0.25">
      <c r="A33">
        <v>403</v>
      </c>
      <c r="B33">
        <v>816</v>
      </c>
      <c r="E33" t="s">
        <v>152</v>
      </c>
      <c r="G33" t="s">
        <v>192</v>
      </c>
      <c r="H33">
        <v>587</v>
      </c>
      <c r="J33">
        <v>1529</v>
      </c>
    </row>
    <row r="34" spans="1:10" x14ac:dyDescent="0.25">
      <c r="A34">
        <v>404</v>
      </c>
      <c r="B34">
        <v>817</v>
      </c>
      <c r="E34" t="s">
        <v>153</v>
      </c>
      <c r="G34" t="s">
        <v>155</v>
      </c>
      <c r="H34">
        <v>1067</v>
      </c>
      <c r="J34">
        <v>815</v>
      </c>
    </row>
    <row r="35" spans="1:10" x14ac:dyDescent="0.25">
      <c r="A35">
        <v>411</v>
      </c>
      <c r="B35">
        <v>1504</v>
      </c>
      <c r="E35" t="s">
        <v>154</v>
      </c>
      <c r="G35" t="s">
        <v>193</v>
      </c>
      <c r="H35">
        <v>1086</v>
      </c>
      <c r="J35">
        <v>1175</v>
      </c>
    </row>
    <row r="36" spans="1:10" x14ac:dyDescent="0.25">
      <c r="A36">
        <v>412</v>
      </c>
      <c r="B36">
        <v>805</v>
      </c>
      <c r="E36" t="s">
        <v>155</v>
      </c>
      <c r="G36" t="s">
        <v>194</v>
      </c>
      <c r="H36">
        <v>713</v>
      </c>
      <c r="J36">
        <v>1251</v>
      </c>
    </row>
    <row r="37" spans="1:10" x14ac:dyDescent="0.25">
      <c r="A37">
        <v>413</v>
      </c>
      <c r="B37">
        <v>428</v>
      </c>
      <c r="E37" t="s">
        <v>156</v>
      </c>
      <c r="G37" t="s">
        <v>195</v>
      </c>
      <c r="H37">
        <v>513</v>
      </c>
      <c r="J37">
        <v>1769</v>
      </c>
    </row>
    <row r="38" spans="1:10" x14ac:dyDescent="0.25">
      <c r="A38">
        <v>416</v>
      </c>
      <c r="B38">
        <v>1213</v>
      </c>
      <c r="E38" t="s">
        <v>157</v>
      </c>
      <c r="G38" t="s">
        <v>196</v>
      </c>
      <c r="H38">
        <v>562</v>
      </c>
      <c r="J38">
        <v>628</v>
      </c>
    </row>
    <row r="39" spans="1:10" x14ac:dyDescent="0.25">
      <c r="A39">
        <v>415</v>
      </c>
      <c r="B39">
        <v>427</v>
      </c>
      <c r="E39" t="s">
        <v>158</v>
      </c>
      <c r="G39" t="s">
        <v>197</v>
      </c>
      <c r="H39">
        <v>249</v>
      </c>
      <c r="J39">
        <v>1603</v>
      </c>
    </row>
    <row r="40" spans="1:10" x14ac:dyDescent="0.25">
      <c r="A40">
        <v>417</v>
      </c>
      <c r="B40">
        <v>465</v>
      </c>
      <c r="E40" t="s">
        <v>159</v>
      </c>
      <c r="G40" t="s">
        <v>186</v>
      </c>
      <c r="H40">
        <v>1087</v>
      </c>
      <c r="J40">
        <v>2089</v>
      </c>
    </row>
    <row r="41" spans="1:10" x14ac:dyDescent="0.25">
      <c r="A41">
        <v>418</v>
      </c>
      <c r="B41">
        <v>466</v>
      </c>
      <c r="E41" t="s">
        <v>160</v>
      </c>
      <c r="G41" t="s">
        <v>128</v>
      </c>
      <c r="H41">
        <v>716</v>
      </c>
      <c r="J41">
        <v>1715</v>
      </c>
    </row>
    <row r="42" spans="1:10" x14ac:dyDescent="0.25">
      <c r="A42">
        <v>385</v>
      </c>
      <c r="B42">
        <v>1831</v>
      </c>
      <c r="E42" t="s">
        <v>161</v>
      </c>
      <c r="G42" t="s">
        <v>147</v>
      </c>
      <c r="H42">
        <v>725</v>
      </c>
      <c r="J42">
        <v>924</v>
      </c>
    </row>
    <row r="43" spans="1:10" x14ac:dyDescent="0.25">
      <c r="A43">
        <v>432</v>
      </c>
      <c r="B43">
        <v>1783</v>
      </c>
      <c r="E43" t="s">
        <v>162</v>
      </c>
      <c r="G43" t="s">
        <v>148</v>
      </c>
      <c r="H43">
        <v>726</v>
      </c>
      <c r="J43">
        <v>316</v>
      </c>
    </row>
    <row r="44" spans="1:10" x14ac:dyDescent="0.25">
      <c r="A44">
        <v>517</v>
      </c>
      <c r="B44">
        <v>1785</v>
      </c>
      <c r="E44" t="s">
        <v>163</v>
      </c>
      <c r="G44" t="s">
        <v>142</v>
      </c>
      <c r="H44">
        <v>777</v>
      </c>
      <c r="J44">
        <v>653</v>
      </c>
    </row>
    <row r="45" spans="1:10" x14ac:dyDescent="0.25">
      <c r="A45">
        <v>419</v>
      </c>
      <c r="B45">
        <v>981</v>
      </c>
      <c r="E45" t="s">
        <v>164</v>
      </c>
      <c r="G45" t="s">
        <v>166</v>
      </c>
      <c r="H45">
        <v>911</v>
      </c>
      <c r="J45">
        <v>927</v>
      </c>
    </row>
    <row r="46" spans="1:10" x14ac:dyDescent="0.25">
      <c r="A46">
        <v>424</v>
      </c>
      <c r="B46">
        <v>1787</v>
      </c>
      <c r="E46" t="s">
        <v>165</v>
      </c>
      <c r="G46" t="s">
        <v>183</v>
      </c>
      <c r="H46">
        <v>595</v>
      </c>
      <c r="J46">
        <v>2287</v>
      </c>
    </row>
    <row r="47" spans="1:10" x14ac:dyDescent="0.25">
      <c r="A47">
        <v>426</v>
      </c>
      <c r="B47">
        <v>1115</v>
      </c>
      <c r="E47" t="s">
        <v>166</v>
      </c>
      <c r="G47" t="s">
        <v>199</v>
      </c>
      <c r="H47">
        <v>912</v>
      </c>
      <c r="J47">
        <v>2150</v>
      </c>
    </row>
    <row r="48" spans="1:10" x14ac:dyDescent="0.25">
      <c r="A48">
        <v>421</v>
      </c>
      <c r="B48">
        <v>1295</v>
      </c>
      <c r="E48" t="s">
        <v>167</v>
      </c>
      <c r="G48" t="s">
        <v>159</v>
      </c>
      <c r="H48">
        <v>913</v>
      </c>
      <c r="J48">
        <v>235</v>
      </c>
    </row>
    <row r="49" spans="1:10" x14ac:dyDescent="0.25">
      <c r="A49">
        <v>431</v>
      </c>
      <c r="B49">
        <v>798</v>
      </c>
      <c r="E49" t="s">
        <v>168</v>
      </c>
      <c r="G49" t="s">
        <v>152</v>
      </c>
      <c r="H49">
        <v>914</v>
      </c>
      <c r="J49">
        <v>2283</v>
      </c>
    </row>
    <row r="50" spans="1:10" x14ac:dyDescent="0.25">
      <c r="A50">
        <v>430</v>
      </c>
      <c r="B50">
        <v>515</v>
      </c>
      <c r="E50" t="s">
        <v>169</v>
      </c>
      <c r="G50" t="s">
        <v>173</v>
      </c>
      <c r="H50">
        <v>770</v>
      </c>
      <c r="J50">
        <v>1105</v>
      </c>
    </row>
    <row r="51" spans="1:10" x14ac:dyDescent="0.25">
      <c r="A51">
        <v>433</v>
      </c>
      <c r="B51">
        <v>1741</v>
      </c>
      <c r="E51" t="s">
        <v>170</v>
      </c>
      <c r="G51" t="s">
        <v>123</v>
      </c>
      <c r="H51">
        <v>769</v>
      </c>
      <c r="J51">
        <v>1199</v>
      </c>
    </row>
    <row r="52" spans="1:10" x14ac:dyDescent="0.25">
      <c r="A52">
        <v>434</v>
      </c>
      <c r="B52">
        <v>1296</v>
      </c>
      <c r="E52" t="s">
        <v>171</v>
      </c>
      <c r="G52" t="s">
        <v>127</v>
      </c>
      <c r="H52">
        <v>771</v>
      </c>
      <c r="J52">
        <v>982</v>
      </c>
    </row>
    <row r="53" spans="1:10" x14ac:dyDescent="0.25">
      <c r="A53">
        <v>443</v>
      </c>
      <c r="B53">
        <v>982</v>
      </c>
      <c r="E53" t="s">
        <v>172</v>
      </c>
      <c r="G53" t="s">
        <v>153</v>
      </c>
      <c r="H53">
        <v>561</v>
      </c>
      <c r="J53">
        <v>2290</v>
      </c>
    </row>
    <row r="54" spans="1:10" x14ac:dyDescent="0.25">
      <c r="A54">
        <v>425</v>
      </c>
      <c r="B54">
        <v>988</v>
      </c>
      <c r="E54" t="s">
        <v>173</v>
      </c>
      <c r="G54" t="s">
        <v>125</v>
      </c>
      <c r="H54">
        <v>772</v>
      </c>
      <c r="J54">
        <v>995</v>
      </c>
    </row>
    <row r="55" spans="1:10" x14ac:dyDescent="0.25">
      <c r="A55">
        <v>448</v>
      </c>
      <c r="B55">
        <v>1050</v>
      </c>
      <c r="E55" t="s">
        <v>174</v>
      </c>
      <c r="G55" t="s">
        <v>125</v>
      </c>
      <c r="H55">
        <v>736</v>
      </c>
      <c r="J55">
        <v>2111</v>
      </c>
    </row>
    <row r="56" spans="1:10" x14ac:dyDescent="0.25">
      <c r="A56">
        <v>450</v>
      </c>
      <c r="B56">
        <v>659</v>
      </c>
      <c r="E56" t="s">
        <v>175</v>
      </c>
      <c r="G56" t="s">
        <v>143</v>
      </c>
      <c r="H56">
        <v>774</v>
      </c>
      <c r="J56">
        <v>1193</v>
      </c>
    </row>
    <row r="57" spans="1:10" x14ac:dyDescent="0.25">
      <c r="A57">
        <v>452</v>
      </c>
      <c r="B57">
        <v>1236</v>
      </c>
      <c r="E57" t="s">
        <v>176</v>
      </c>
      <c r="G57" t="s">
        <v>201</v>
      </c>
      <c r="H57">
        <v>775</v>
      </c>
      <c r="J57">
        <v>533</v>
      </c>
    </row>
    <row r="58" spans="1:10" x14ac:dyDescent="0.25">
      <c r="A58">
        <v>453</v>
      </c>
      <c r="E58" t="s">
        <v>177</v>
      </c>
      <c r="G58" t="s">
        <v>135</v>
      </c>
      <c r="H58">
        <v>764</v>
      </c>
      <c r="J58">
        <v>529</v>
      </c>
    </row>
    <row r="59" spans="1:10" x14ac:dyDescent="0.25">
      <c r="A59">
        <v>455</v>
      </c>
      <c r="E59" t="s">
        <v>178</v>
      </c>
      <c r="G59" t="s">
        <v>129</v>
      </c>
      <c r="H59">
        <v>734</v>
      </c>
      <c r="J59">
        <v>2152</v>
      </c>
    </row>
    <row r="60" spans="1:10" x14ac:dyDescent="0.25">
      <c r="A60">
        <v>472</v>
      </c>
      <c r="E60" t="s">
        <v>179</v>
      </c>
      <c r="G60" t="s">
        <v>129</v>
      </c>
      <c r="H60">
        <v>714</v>
      </c>
      <c r="J60">
        <v>531</v>
      </c>
    </row>
    <row r="61" spans="1:10" x14ac:dyDescent="0.25">
      <c r="A61">
        <v>474</v>
      </c>
      <c r="E61" t="s">
        <v>179</v>
      </c>
      <c r="G61" t="s">
        <v>150</v>
      </c>
      <c r="H61">
        <v>715</v>
      </c>
      <c r="J61">
        <v>503</v>
      </c>
    </row>
    <row r="62" spans="1:10" x14ac:dyDescent="0.25">
      <c r="A62">
        <v>480</v>
      </c>
      <c r="E62" t="s">
        <v>180</v>
      </c>
      <c r="G62" t="s">
        <v>126</v>
      </c>
      <c r="H62">
        <v>717</v>
      </c>
      <c r="J62">
        <v>902</v>
      </c>
    </row>
    <row r="63" spans="1:10" x14ac:dyDescent="0.25">
      <c r="A63">
        <v>481</v>
      </c>
      <c r="E63" t="s">
        <v>181</v>
      </c>
      <c r="G63" t="s">
        <v>126</v>
      </c>
      <c r="H63">
        <v>728</v>
      </c>
      <c r="J63">
        <v>679</v>
      </c>
    </row>
    <row r="64" spans="1:10" x14ac:dyDescent="0.25">
      <c r="A64">
        <v>496</v>
      </c>
      <c r="E64" t="s">
        <v>182</v>
      </c>
      <c r="G64" t="s">
        <v>151</v>
      </c>
      <c r="H64">
        <v>776</v>
      </c>
      <c r="J64">
        <v>957</v>
      </c>
    </row>
    <row r="65" spans="1:10" x14ac:dyDescent="0.25">
      <c r="A65">
        <v>423</v>
      </c>
      <c r="E65" t="s">
        <v>183</v>
      </c>
      <c r="G65" t="s">
        <v>124</v>
      </c>
      <c r="H65">
        <v>773</v>
      </c>
      <c r="J65">
        <v>2282</v>
      </c>
    </row>
    <row r="66" spans="1:10" x14ac:dyDescent="0.25">
      <c r="A66">
        <v>563</v>
      </c>
      <c r="E66" t="s">
        <v>184</v>
      </c>
      <c r="G66" t="s">
        <v>131</v>
      </c>
      <c r="H66">
        <v>1206</v>
      </c>
      <c r="J66">
        <v>648</v>
      </c>
    </row>
    <row r="67" spans="1:10" x14ac:dyDescent="0.25">
      <c r="A67">
        <v>571</v>
      </c>
      <c r="E67" t="s">
        <v>185</v>
      </c>
      <c r="G67" t="s">
        <v>141</v>
      </c>
      <c r="H67">
        <v>718</v>
      </c>
      <c r="J67">
        <v>1856</v>
      </c>
    </row>
    <row r="68" spans="1:10" x14ac:dyDescent="0.25">
      <c r="A68">
        <v>577</v>
      </c>
      <c r="E68" t="s">
        <v>186</v>
      </c>
      <c r="G68" t="s">
        <v>130</v>
      </c>
      <c r="H68">
        <v>719</v>
      </c>
      <c r="J68">
        <v>1312</v>
      </c>
    </row>
    <row r="69" spans="1:10" x14ac:dyDescent="0.25">
      <c r="A69">
        <v>578</v>
      </c>
      <c r="E69" t="s">
        <v>187</v>
      </c>
      <c r="G69" t="s">
        <v>132</v>
      </c>
      <c r="H69">
        <v>721</v>
      </c>
      <c r="J69">
        <v>610</v>
      </c>
    </row>
    <row r="70" spans="1:10" x14ac:dyDescent="0.25">
      <c r="A70">
        <v>579</v>
      </c>
      <c r="E70" t="s">
        <v>188</v>
      </c>
      <c r="G70" t="s">
        <v>136</v>
      </c>
      <c r="H70">
        <v>495</v>
      </c>
      <c r="J70">
        <v>803</v>
      </c>
    </row>
    <row r="71" spans="1:10" x14ac:dyDescent="0.25">
      <c r="A71">
        <v>599</v>
      </c>
      <c r="E71" t="s">
        <v>189</v>
      </c>
      <c r="G71" t="s">
        <v>137</v>
      </c>
      <c r="H71">
        <v>722</v>
      </c>
      <c r="J71">
        <v>929</v>
      </c>
    </row>
    <row r="72" spans="1:10" x14ac:dyDescent="0.25">
      <c r="A72">
        <v>617</v>
      </c>
      <c r="E72" t="s">
        <v>190</v>
      </c>
      <c r="G72" t="s">
        <v>139</v>
      </c>
      <c r="H72">
        <v>724</v>
      </c>
      <c r="J72">
        <v>818</v>
      </c>
    </row>
    <row r="73" spans="1:10" x14ac:dyDescent="0.25">
      <c r="A73">
        <v>633</v>
      </c>
      <c r="E73" t="s">
        <v>191</v>
      </c>
      <c r="G73" t="s">
        <v>200</v>
      </c>
      <c r="H73">
        <v>768</v>
      </c>
      <c r="J73">
        <v>1311</v>
      </c>
    </row>
    <row r="74" spans="1:10" x14ac:dyDescent="0.25">
      <c r="A74">
        <v>635</v>
      </c>
      <c r="E74" t="s">
        <v>192</v>
      </c>
      <c r="G74" t="s">
        <v>134</v>
      </c>
      <c r="H74">
        <v>762</v>
      </c>
      <c r="J74">
        <v>370</v>
      </c>
    </row>
    <row r="75" spans="1:10" x14ac:dyDescent="0.25">
      <c r="A75">
        <v>639</v>
      </c>
      <c r="E75" t="s">
        <v>193</v>
      </c>
      <c r="G75" t="s">
        <v>156</v>
      </c>
      <c r="H75">
        <v>737</v>
      </c>
      <c r="J75">
        <v>316</v>
      </c>
    </row>
    <row r="76" spans="1:10" x14ac:dyDescent="0.25">
      <c r="A76">
        <v>643</v>
      </c>
      <c r="E76" t="s">
        <v>194</v>
      </c>
      <c r="G76" t="s">
        <v>157</v>
      </c>
      <c r="H76">
        <v>738</v>
      </c>
      <c r="J76">
        <v>424</v>
      </c>
    </row>
    <row r="77" spans="1:10" x14ac:dyDescent="0.25">
      <c r="A77">
        <v>656</v>
      </c>
      <c r="E77" t="s">
        <v>195</v>
      </c>
      <c r="G77" t="s">
        <v>162</v>
      </c>
      <c r="H77">
        <v>739</v>
      </c>
      <c r="J77">
        <v>2064</v>
      </c>
    </row>
    <row r="78" spans="1:10" x14ac:dyDescent="0.25">
      <c r="A78">
        <v>657</v>
      </c>
      <c r="E78" t="s">
        <v>196</v>
      </c>
      <c r="G78" t="s">
        <v>164</v>
      </c>
      <c r="H78">
        <v>743</v>
      </c>
      <c r="J78">
        <v>1920</v>
      </c>
    </row>
    <row r="79" spans="1:10" x14ac:dyDescent="0.25">
      <c r="A79">
        <v>675</v>
      </c>
      <c r="E79" t="s">
        <v>197</v>
      </c>
      <c r="G79" t="s">
        <v>165</v>
      </c>
      <c r="H79">
        <v>744</v>
      </c>
      <c r="J79">
        <v>2093</v>
      </c>
    </row>
    <row r="80" spans="1:10" x14ac:dyDescent="0.25">
      <c r="A80">
        <v>681</v>
      </c>
      <c r="E80" t="s">
        <v>198</v>
      </c>
      <c r="G80" t="s">
        <v>163</v>
      </c>
      <c r="H80">
        <v>745</v>
      </c>
      <c r="J80">
        <v>2087</v>
      </c>
    </row>
    <row r="81" spans="1:10" x14ac:dyDescent="0.25">
      <c r="A81">
        <v>687</v>
      </c>
      <c r="E81" t="s">
        <v>199</v>
      </c>
      <c r="G81" t="s">
        <v>161</v>
      </c>
      <c r="H81">
        <v>274</v>
      </c>
      <c r="J81">
        <v>693</v>
      </c>
    </row>
    <row r="82" spans="1:10" x14ac:dyDescent="0.25">
      <c r="A82">
        <v>689</v>
      </c>
      <c r="E82" t="s">
        <v>200</v>
      </c>
      <c r="G82" t="s">
        <v>160</v>
      </c>
      <c r="H82">
        <v>750</v>
      </c>
      <c r="J82">
        <v>1774</v>
      </c>
    </row>
    <row r="83" spans="1:10" x14ac:dyDescent="0.25">
      <c r="A83">
        <v>694</v>
      </c>
      <c r="E83" t="s">
        <v>201</v>
      </c>
      <c r="G83" t="s">
        <v>167</v>
      </c>
      <c r="H83">
        <v>752</v>
      </c>
      <c r="J83">
        <v>177</v>
      </c>
    </row>
    <row r="84" spans="1:10" x14ac:dyDescent="0.25">
      <c r="A84">
        <v>702</v>
      </c>
      <c r="H84">
        <v>753</v>
      </c>
      <c r="J84">
        <v>997</v>
      </c>
    </row>
    <row r="85" spans="1:10" x14ac:dyDescent="0.25">
      <c r="A85">
        <v>703</v>
      </c>
      <c r="H85">
        <v>629</v>
      </c>
      <c r="J85">
        <v>183</v>
      </c>
    </row>
    <row r="86" spans="1:10" x14ac:dyDescent="0.25">
      <c r="A86">
        <v>735</v>
      </c>
      <c r="H86">
        <v>232</v>
      </c>
      <c r="J86">
        <v>563</v>
      </c>
    </row>
    <row r="87" spans="1:10" x14ac:dyDescent="0.25">
      <c r="A87">
        <v>741</v>
      </c>
      <c r="H87">
        <v>630</v>
      </c>
      <c r="J87">
        <v>385</v>
      </c>
    </row>
    <row r="88" spans="1:10" x14ac:dyDescent="0.25">
      <c r="A88">
        <v>765</v>
      </c>
      <c r="H88">
        <v>391</v>
      </c>
      <c r="J88">
        <v>190</v>
      </c>
    </row>
    <row r="89" spans="1:10" x14ac:dyDescent="0.25">
      <c r="A89">
        <v>766</v>
      </c>
      <c r="H89">
        <v>631</v>
      </c>
      <c r="J89">
        <v>279</v>
      </c>
    </row>
    <row r="90" spans="1:10" x14ac:dyDescent="0.25">
      <c r="A90">
        <v>769</v>
      </c>
      <c r="H90">
        <v>632</v>
      </c>
      <c r="J90">
        <v>534</v>
      </c>
    </row>
    <row r="91" spans="1:10" x14ac:dyDescent="0.25">
      <c r="A91">
        <v>780</v>
      </c>
      <c r="H91">
        <v>637</v>
      </c>
      <c r="J91">
        <v>1494</v>
      </c>
    </row>
    <row r="92" spans="1:10" x14ac:dyDescent="0.25">
      <c r="A92">
        <v>783</v>
      </c>
      <c r="H92">
        <v>727</v>
      </c>
      <c r="J92">
        <v>678</v>
      </c>
    </row>
    <row r="93" spans="1:10" x14ac:dyDescent="0.25">
      <c r="A93">
        <v>793</v>
      </c>
      <c r="H93">
        <v>754</v>
      </c>
      <c r="J93">
        <v>1855</v>
      </c>
    </row>
    <row r="94" spans="1:10" x14ac:dyDescent="0.25">
      <c r="A94">
        <v>795</v>
      </c>
      <c r="H94">
        <v>757</v>
      </c>
      <c r="J94">
        <v>2068</v>
      </c>
    </row>
    <row r="95" spans="1:10" x14ac:dyDescent="0.25">
      <c r="A95">
        <v>828</v>
      </c>
      <c r="H95">
        <v>758</v>
      </c>
      <c r="J95">
        <v>14</v>
      </c>
    </row>
    <row r="96" spans="1:10" x14ac:dyDescent="0.25">
      <c r="A96">
        <v>831</v>
      </c>
      <c r="H96">
        <v>759</v>
      </c>
      <c r="J96">
        <v>1106</v>
      </c>
    </row>
    <row r="97" spans="1:10" x14ac:dyDescent="0.25">
      <c r="A97">
        <v>832</v>
      </c>
      <c r="H97">
        <v>760</v>
      </c>
      <c r="J97">
        <v>928</v>
      </c>
    </row>
    <row r="98" spans="1:10" x14ac:dyDescent="0.25">
      <c r="A98">
        <v>839</v>
      </c>
      <c r="H98">
        <v>593</v>
      </c>
      <c r="J98">
        <v>412</v>
      </c>
    </row>
    <row r="99" spans="1:10" x14ac:dyDescent="0.25">
      <c r="A99">
        <v>844</v>
      </c>
      <c r="H99">
        <v>594</v>
      </c>
      <c r="J99">
        <v>1560</v>
      </c>
    </row>
    <row r="100" spans="1:10" x14ac:dyDescent="0.25">
      <c r="A100">
        <v>852</v>
      </c>
      <c r="H100">
        <v>741</v>
      </c>
      <c r="J100">
        <v>447</v>
      </c>
    </row>
    <row r="101" spans="1:10" x14ac:dyDescent="0.25">
      <c r="A101">
        <v>869</v>
      </c>
      <c r="H101">
        <v>755</v>
      </c>
      <c r="J101">
        <v>680</v>
      </c>
    </row>
    <row r="102" spans="1:10" x14ac:dyDescent="0.25">
      <c r="A102">
        <v>879</v>
      </c>
      <c r="H102">
        <v>756</v>
      </c>
      <c r="J102">
        <v>2070</v>
      </c>
    </row>
    <row r="103" spans="1:10" x14ac:dyDescent="0.25">
      <c r="A103">
        <v>880</v>
      </c>
      <c r="H103">
        <v>175</v>
      </c>
    </row>
    <row r="104" spans="1:10" x14ac:dyDescent="0.25">
      <c r="A104">
        <v>899</v>
      </c>
      <c r="H104">
        <v>265</v>
      </c>
    </row>
    <row r="105" spans="1:10" x14ac:dyDescent="0.25">
      <c r="A105">
        <v>917</v>
      </c>
      <c r="H105">
        <v>164</v>
      </c>
    </row>
    <row r="106" spans="1:10" x14ac:dyDescent="0.25">
      <c r="A106">
        <v>918</v>
      </c>
      <c r="H106">
        <v>172</v>
      </c>
    </row>
    <row r="107" spans="1:10" x14ac:dyDescent="0.25">
      <c r="A107">
        <v>924</v>
      </c>
      <c r="H107">
        <v>649</v>
      </c>
    </row>
    <row r="108" spans="1:10" x14ac:dyDescent="0.25">
      <c r="A108">
        <v>931</v>
      </c>
    </row>
    <row r="109" spans="1:10" x14ac:dyDescent="0.25">
      <c r="A109">
        <v>933</v>
      </c>
    </row>
    <row r="110" spans="1:10" x14ac:dyDescent="0.25">
      <c r="A110">
        <v>932</v>
      </c>
    </row>
    <row r="111" spans="1:10" x14ac:dyDescent="0.25">
      <c r="A111">
        <v>946</v>
      </c>
    </row>
    <row r="112" spans="1:10" x14ac:dyDescent="0.25">
      <c r="A112">
        <v>947</v>
      </c>
    </row>
    <row r="113" spans="1:1" x14ac:dyDescent="0.25">
      <c r="A113">
        <v>948</v>
      </c>
    </row>
    <row r="114" spans="1:1" x14ac:dyDescent="0.25">
      <c r="A114">
        <v>950</v>
      </c>
    </row>
    <row r="115" spans="1:1" x14ac:dyDescent="0.25">
      <c r="A115">
        <v>954</v>
      </c>
    </row>
    <row r="116" spans="1:1" x14ac:dyDescent="0.25">
      <c r="A116">
        <v>956</v>
      </c>
    </row>
    <row r="117" spans="1:1" x14ac:dyDescent="0.25">
      <c r="A117">
        <v>957</v>
      </c>
    </row>
    <row r="118" spans="1:1" x14ac:dyDescent="0.25">
      <c r="A118">
        <v>958</v>
      </c>
    </row>
    <row r="119" spans="1:1" x14ac:dyDescent="0.25">
      <c r="A119">
        <v>972</v>
      </c>
    </row>
    <row r="120" spans="1:1" x14ac:dyDescent="0.25">
      <c r="A120">
        <v>973</v>
      </c>
    </row>
    <row r="121" spans="1:1" x14ac:dyDescent="0.25">
      <c r="A121">
        <v>975</v>
      </c>
    </row>
    <row r="122" spans="1:1" x14ac:dyDescent="0.25">
      <c r="A122">
        <v>977</v>
      </c>
    </row>
    <row r="123" spans="1:1" x14ac:dyDescent="0.25">
      <c r="A123">
        <v>984</v>
      </c>
    </row>
    <row r="124" spans="1:1" x14ac:dyDescent="0.25">
      <c r="A124">
        <v>985</v>
      </c>
    </row>
    <row r="125" spans="1:1" x14ac:dyDescent="0.25">
      <c r="A125">
        <v>987</v>
      </c>
    </row>
    <row r="126" spans="1:1" x14ac:dyDescent="0.25">
      <c r="A126">
        <v>989</v>
      </c>
    </row>
    <row r="127" spans="1:1" x14ac:dyDescent="0.25">
      <c r="A127">
        <v>990</v>
      </c>
    </row>
    <row r="128" spans="1:1" x14ac:dyDescent="0.25">
      <c r="A128">
        <v>991</v>
      </c>
    </row>
    <row r="129" spans="1:1" x14ac:dyDescent="0.25">
      <c r="A129">
        <v>992</v>
      </c>
    </row>
    <row r="130" spans="1:1" x14ac:dyDescent="0.25">
      <c r="A130">
        <v>993</v>
      </c>
    </row>
    <row r="131" spans="1:1" x14ac:dyDescent="0.25">
      <c r="A131">
        <v>1008</v>
      </c>
    </row>
    <row r="132" spans="1:1" x14ac:dyDescent="0.25">
      <c r="A132">
        <v>1009</v>
      </c>
    </row>
    <row r="133" spans="1:1" x14ac:dyDescent="0.25">
      <c r="A133">
        <v>1010</v>
      </c>
    </row>
    <row r="134" spans="1:1" x14ac:dyDescent="0.25">
      <c r="A134">
        <v>1012</v>
      </c>
    </row>
    <row r="135" spans="1:1" x14ac:dyDescent="0.25">
      <c r="A135">
        <v>1016</v>
      </c>
    </row>
    <row r="136" spans="1:1" x14ac:dyDescent="0.25">
      <c r="A136">
        <v>1018</v>
      </c>
    </row>
    <row r="137" spans="1:1" x14ac:dyDescent="0.25">
      <c r="A137">
        <v>1019</v>
      </c>
    </row>
    <row r="138" spans="1:1" x14ac:dyDescent="0.25">
      <c r="A138">
        <v>1020</v>
      </c>
    </row>
    <row r="139" spans="1:1" x14ac:dyDescent="0.25">
      <c r="A139">
        <v>1021</v>
      </c>
    </row>
    <row r="140" spans="1:1" x14ac:dyDescent="0.25">
      <c r="A140">
        <v>1029</v>
      </c>
    </row>
    <row r="141" spans="1:1" x14ac:dyDescent="0.25">
      <c r="A141">
        <v>1030</v>
      </c>
    </row>
    <row r="142" spans="1:1" x14ac:dyDescent="0.25">
      <c r="A142">
        <v>1037</v>
      </c>
    </row>
    <row r="143" spans="1:1" x14ac:dyDescent="0.25">
      <c r="A143">
        <v>1038</v>
      </c>
    </row>
    <row r="144" spans="1:1" x14ac:dyDescent="0.25">
      <c r="A144">
        <v>1039</v>
      </c>
    </row>
    <row r="145" spans="1:1" x14ac:dyDescent="0.25">
      <c r="A145">
        <v>1041</v>
      </c>
    </row>
    <row r="146" spans="1:1" x14ac:dyDescent="0.25">
      <c r="A146">
        <v>1048</v>
      </c>
    </row>
    <row r="147" spans="1:1" x14ac:dyDescent="0.25">
      <c r="A147">
        <v>1071</v>
      </c>
    </row>
    <row r="148" spans="1:1" x14ac:dyDescent="0.25">
      <c r="A148">
        <v>1072</v>
      </c>
    </row>
    <row r="149" spans="1:1" x14ac:dyDescent="0.25">
      <c r="A149">
        <v>1073</v>
      </c>
    </row>
    <row r="150" spans="1:1" x14ac:dyDescent="0.25">
      <c r="A150">
        <v>1082</v>
      </c>
    </row>
    <row r="151" spans="1:1" x14ac:dyDescent="0.25">
      <c r="A151">
        <v>1097</v>
      </c>
    </row>
    <row r="152" spans="1:1" x14ac:dyDescent="0.25">
      <c r="A152">
        <v>1098</v>
      </c>
    </row>
    <row r="153" spans="1:1" x14ac:dyDescent="0.25">
      <c r="A153">
        <v>1105</v>
      </c>
    </row>
    <row r="154" spans="1:1" x14ac:dyDescent="0.25">
      <c r="A154">
        <v>1106</v>
      </c>
    </row>
    <row r="155" spans="1:1" x14ac:dyDescent="0.25">
      <c r="A155">
        <v>1107</v>
      </c>
    </row>
    <row r="156" spans="1:1" x14ac:dyDescent="0.25">
      <c r="A156">
        <v>1108</v>
      </c>
    </row>
    <row r="157" spans="1:1" x14ac:dyDescent="0.25">
      <c r="A157">
        <v>1110</v>
      </c>
    </row>
    <row r="158" spans="1:1" x14ac:dyDescent="0.25">
      <c r="A158">
        <v>1111</v>
      </c>
    </row>
    <row r="159" spans="1:1" x14ac:dyDescent="0.25">
      <c r="A159">
        <v>1112</v>
      </c>
    </row>
    <row r="160" spans="1:1" x14ac:dyDescent="0.25">
      <c r="A160">
        <v>1123</v>
      </c>
    </row>
    <row r="161" spans="1:1" x14ac:dyDescent="0.25">
      <c r="A161">
        <v>1140</v>
      </c>
    </row>
    <row r="162" spans="1:1" x14ac:dyDescent="0.25">
      <c r="A162">
        <v>1141</v>
      </c>
    </row>
    <row r="163" spans="1:1" x14ac:dyDescent="0.25">
      <c r="A163">
        <v>1142</v>
      </c>
    </row>
    <row r="164" spans="1:1" x14ac:dyDescent="0.25">
      <c r="A164">
        <v>1143</v>
      </c>
    </row>
    <row r="165" spans="1:1" x14ac:dyDescent="0.25">
      <c r="A165">
        <v>1145</v>
      </c>
    </row>
    <row r="166" spans="1:1" x14ac:dyDescent="0.25">
      <c r="A166">
        <v>1155</v>
      </c>
    </row>
    <row r="167" spans="1:1" x14ac:dyDescent="0.25">
      <c r="A167">
        <v>1156</v>
      </c>
    </row>
    <row r="168" spans="1:1" x14ac:dyDescent="0.25">
      <c r="A168">
        <v>1160</v>
      </c>
    </row>
    <row r="169" spans="1:1" x14ac:dyDescent="0.25">
      <c r="A169">
        <v>1162</v>
      </c>
    </row>
    <row r="170" spans="1:1" x14ac:dyDescent="0.25">
      <c r="A170">
        <v>1187</v>
      </c>
    </row>
    <row r="171" spans="1:1" x14ac:dyDescent="0.25">
      <c r="A171">
        <v>1195</v>
      </c>
    </row>
    <row r="172" spans="1:1" x14ac:dyDescent="0.25">
      <c r="A172">
        <v>1196</v>
      </c>
    </row>
    <row r="173" spans="1:1" x14ac:dyDescent="0.25">
      <c r="A173">
        <v>1204</v>
      </c>
    </row>
    <row r="174" spans="1:1" x14ac:dyDescent="0.25">
      <c r="A174">
        <v>1206</v>
      </c>
    </row>
    <row r="175" spans="1:1" x14ac:dyDescent="0.25">
      <c r="A175">
        <v>1207</v>
      </c>
    </row>
    <row r="176" spans="1:1" x14ac:dyDescent="0.25">
      <c r="A176">
        <v>1608</v>
      </c>
    </row>
    <row r="177" spans="1:1" x14ac:dyDescent="0.25">
      <c r="A177">
        <v>1210</v>
      </c>
    </row>
    <row r="178" spans="1:1" x14ac:dyDescent="0.25">
      <c r="A178">
        <v>1211</v>
      </c>
    </row>
    <row r="179" spans="1:1" x14ac:dyDescent="0.25">
      <c r="A179">
        <v>1212</v>
      </c>
    </row>
    <row r="180" spans="1:1" x14ac:dyDescent="0.25">
      <c r="A180">
        <v>1214</v>
      </c>
    </row>
    <row r="181" spans="1:1" x14ac:dyDescent="0.25">
      <c r="A181">
        <v>1225</v>
      </c>
    </row>
    <row r="182" spans="1:1" x14ac:dyDescent="0.25">
      <c r="A182">
        <v>1237</v>
      </c>
    </row>
    <row r="183" spans="1:1" x14ac:dyDescent="0.25">
      <c r="A183">
        <v>1238</v>
      </c>
    </row>
    <row r="184" spans="1:1" x14ac:dyDescent="0.25">
      <c r="A184">
        <v>1239</v>
      </c>
    </row>
    <row r="185" spans="1:1" x14ac:dyDescent="0.25">
      <c r="A185">
        <v>1240</v>
      </c>
    </row>
    <row r="186" spans="1:1" x14ac:dyDescent="0.25">
      <c r="A186">
        <v>1252</v>
      </c>
    </row>
    <row r="187" spans="1:1" x14ac:dyDescent="0.25">
      <c r="A187">
        <v>1253</v>
      </c>
    </row>
    <row r="188" spans="1:1" x14ac:dyDescent="0.25">
      <c r="A188">
        <v>1254</v>
      </c>
    </row>
    <row r="189" spans="1:1" x14ac:dyDescent="0.25">
      <c r="A189">
        <v>1255</v>
      </c>
    </row>
    <row r="190" spans="1:1" x14ac:dyDescent="0.25">
      <c r="A190">
        <v>1257</v>
      </c>
    </row>
    <row r="191" spans="1:1" x14ac:dyDescent="0.25">
      <c r="A191">
        <v>1258</v>
      </c>
    </row>
    <row r="192" spans="1:1" x14ac:dyDescent="0.25">
      <c r="A192">
        <v>1263</v>
      </c>
    </row>
    <row r="193" spans="1:1" x14ac:dyDescent="0.25">
      <c r="A193">
        <v>1272</v>
      </c>
    </row>
    <row r="194" spans="1:1" x14ac:dyDescent="0.25">
      <c r="A194">
        <v>1274</v>
      </c>
    </row>
    <row r="195" spans="1:1" x14ac:dyDescent="0.25">
      <c r="A195">
        <v>1277</v>
      </c>
    </row>
    <row r="196" spans="1:1" x14ac:dyDescent="0.25">
      <c r="A196">
        <v>1289</v>
      </c>
    </row>
    <row r="197" spans="1:1" x14ac:dyDescent="0.25">
      <c r="A197">
        <v>1291</v>
      </c>
    </row>
    <row r="198" spans="1:1" x14ac:dyDescent="0.25">
      <c r="A198">
        <v>1292</v>
      </c>
    </row>
    <row r="199" spans="1:1" x14ac:dyDescent="0.25">
      <c r="A199">
        <v>1293</v>
      </c>
    </row>
    <row r="200" spans="1:1" x14ac:dyDescent="0.25">
      <c r="A200">
        <v>1294</v>
      </c>
    </row>
    <row r="201" spans="1:1" x14ac:dyDescent="0.25">
      <c r="A201">
        <v>1299</v>
      </c>
    </row>
    <row r="202" spans="1:1" x14ac:dyDescent="0.25">
      <c r="A202">
        <v>1300</v>
      </c>
    </row>
    <row r="203" spans="1:1" x14ac:dyDescent="0.25">
      <c r="A203">
        <v>1302</v>
      </c>
    </row>
    <row r="204" spans="1:1" x14ac:dyDescent="0.25">
      <c r="A204">
        <v>1304</v>
      </c>
    </row>
    <row r="205" spans="1:1" x14ac:dyDescent="0.25">
      <c r="A205">
        <v>1306</v>
      </c>
    </row>
    <row r="206" spans="1:1" x14ac:dyDescent="0.25">
      <c r="A206">
        <v>1308</v>
      </c>
    </row>
    <row r="207" spans="1:1" x14ac:dyDescent="0.25">
      <c r="A207">
        <v>1309</v>
      </c>
    </row>
    <row r="208" spans="1:1" x14ac:dyDescent="0.25">
      <c r="A208">
        <v>1310</v>
      </c>
    </row>
    <row r="209" spans="1:1" x14ac:dyDescent="0.25">
      <c r="A209">
        <v>1329</v>
      </c>
    </row>
    <row r="210" spans="1:1" x14ac:dyDescent="0.25">
      <c r="A210">
        <v>1330</v>
      </c>
    </row>
    <row r="211" spans="1:1" x14ac:dyDescent="0.25">
      <c r="A211">
        <v>1331</v>
      </c>
    </row>
    <row r="212" spans="1:1" x14ac:dyDescent="0.25">
      <c r="A212">
        <v>1334</v>
      </c>
    </row>
    <row r="213" spans="1:1" x14ac:dyDescent="0.25">
      <c r="A213">
        <v>1335</v>
      </c>
    </row>
    <row r="214" spans="1:1" x14ac:dyDescent="0.25">
      <c r="A214">
        <v>1337</v>
      </c>
    </row>
    <row r="215" spans="1:1" x14ac:dyDescent="0.25">
      <c r="A215">
        <v>1341</v>
      </c>
    </row>
    <row r="216" spans="1:1" x14ac:dyDescent="0.25">
      <c r="A216">
        <v>1361</v>
      </c>
    </row>
    <row r="217" spans="1:1" x14ac:dyDescent="0.25">
      <c r="A217">
        <v>1362</v>
      </c>
    </row>
    <row r="218" spans="1:1" x14ac:dyDescent="0.25">
      <c r="A218">
        <v>1363</v>
      </c>
    </row>
    <row r="219" spans="1:1" x14ac:dyDescent="0.25">
      <c r="A219">
        <v>1364</v>
      </c>
    </row>
    <row r="220" spans="1:1" x14ac:dyDescent="0.25">
      <c r="A220">
        <v>1365</v>
      </c>
    </row>
    <row r="221" spans="1:1" x14ac:dyDescent="0.25">
      <c r="A221">
        <v>1366</v>
      </c>
    </row>
    <row r="222" spans="1:1" x14ac:dyDescent="0.25">
      <c r="A222">
        <v>1367</v>
      </c>
    </row>
    <row r="223" spans="1:1" x14ac:dyDescent="0.25">
      <c r="A223">
        <v>1373</v>
      </c>
    </row>
    <row r="224" spans="1:1" x14ac:dyDescent="0.25">
      <c r="A224">
        <v>1374</v>
      </c>
    </row>
    <row r="225" spans="1:1" x14ac:dyDescent="0.25">
      <c r="A225">
        <v>1375</v>
      </c>
    </row>
    <row r="226" spans="1:1" x14ac:dyDescent="0.25">
      <c r="A226">
        <v>1377</v>
      </c>
    </row>
    <row r="227" spans="1:1" x14ac:dyDescent="0.25">
      <c r="A227">
        <v>1378</v>
      </c>
    </row>
    <row r="228" spans="1:1" x14ac:dyDescent="0.25">
      <c r="A228">
        <v>1379</v>
      </c>
    </row>
    <row r="229" spans="1:1" x14ac:dyDescent="0.25">
      <c r="A229">
        <v>1386</v>
      </c>
    </row>
    <row r="230" spans="1:1" x14ac:dyDescent="0.25">
      <c r="A230">
        <v>1387</v>
      </c>
    </row>
    <row r="231" spans="1:1" x14ac:dyDescent="0.25">
      <c r="A231">
        <v>1389</v>
      </c>
    </row>
    <row r="232" spans="1:1" x14ac:dyDescent="0.25">
      <c r="A232">
        <v>1390</v>
      </c>
    </row>
    <row r="233" spans="1:1" x14ac:dyDescent="0.25">
      <c r="A233">
        <v>1392</v>
      </c>
    </row>
    <row r="234" spans="1:1" x14ac:dyDescent="0.25">
      <c r="A234">
        <v>1393</v>
      </c>
    </row>
    <row r="235" spans="1:1" x14ac:dyDescent="0.25">
      <c r="A235">
        <v>1394</v>
      </c>
    </row>
    <row r="236" spans="1:1" x14ac:dyDescent="0.25">
      <c r="A236">
        <v>1396</v>
      </c>
    </row>
    <row r="237" spans="1:1" x14ac:dyDescent="0.25">
      <c r="A237">
        <v>1397</v>
      </c>
    </row>
    <row r="238" spans="1:1" x14ac:dyDescent="0.25">
      <c r="A238">
        <v>1409</v>
      </c>
    </row>
    <row r="239" spans="1:1" x14ac:dyDescent="0.25">
      <c r="A239">
        <v>1399</v>
      </c>
    </row>
    <row r="240" spans="1:1" x14ac:dyDescent="0.25">
      <c r="A240">
        <v>1410</v>
      </c>
    </row>
    <row r="241" spans="1:1" x14ac:dyDescent="0.25">
      <c r="A241">
        <v>1411</v>
      </c>
    </row>
    <row r="242" spans="1:1" x14ac:dyDescent="0.25">
      <c r="A242">
        <v>1412</v>
      </c>
    </row>
    <row r="243" spans="1:1" x14ac:dyDescent="0.25">
      <c r="A243">
        <v>1431</v>
      </c>
    </row>
    <row r="244" spans="1:1" x14ac:dyDescent="0.25">
      <c r="A244">
        <v>1432</v>
      </c>
    </row>
    <row r="245" spans="1:1" x14ac:dyDescent="0.25">
      <c r="A245">
        <v>1433</v>
      </c>
    </row>
    <row r="246" spans="1:1" x14ac:dyDescent="0.25">
      <c r="A246">
        <v>1434</v>
      </c>
    </row>
    <row r="247" spans="1:1" x14ac:dyDescent="0.25">
      <c r="A247">
        <v>1435</v>
      </c>
    </row>
    <row r="248" spans="1:1" x14ac:dyDescent="0.25">
      <c r="A248">
        <v>1436</v>
      </c>
    </row>
    <row r="249" spans="1:1" x14ac:dyDescent="0.25">
      <c r="A249">
        <v>1438</v>
      </c>
    </row>
    <row r="250" spans="1:1" x14ac:dyDescent="0.25">
      <c r="A250">
        <v>1442</v>
      </c>
    </row>
    <row r="251" spans="1:1" x14ac:dyDescent="0.25">
      <c r="A251">
        <v>1443</v>
      </c>
    </row>
    <row r="252" spans="1:1" x14ac:dyDescent="0.25">
      <c r="A252">
        <v>1451</v>
      </c>
    </row>
    <row r="253" spans="1:1" x14ac:dyDescent="0.25">
      <c r="A253">
        <v>1483</v>
      </c>
    </row>
    <row r="254" spans="1:1" x14ac:dyDescent="0.25">
      <c r="A254">
        <v>1452</v>
      </c>
    </row>
    <row r="255" spans="1:1" x14ac:dyDescent="0.25">
      <c r="A255">
        <v>1453</v>
      </c>
    </row>
    <row r="256" spans="1:1" x14ac:dyDescent="0.25">
      <c r="A256">
        <v>1454</v>
      </c>
    </row>
    <row r="257" spans="1:1" x14ac:dyDescent="0.25">
      <c r="A257">
        <v>1455</v>
      </c>
    </row>
    <row r="258" spans="1:1" x14ac:dyDescent="0.25">
      <c r="A258">
        <v>1484</v>
      </c>
    </row>
    <row r="259" spans="1:1" x14ac:dyDescent="0.25">
      <c r="A259">
        <v>1458</v>
      </c>
    </row>
    <row r="260" spans="1:1" x14ac:dyDescent="0.25">
      <c r="A260">
        <v>1460</v>
      </c>
    </row>
    <row r="261" spans="1:1" x14ac:dyDescent="0.25">
      <c r="A261">
        <v>1461</v>
      </c>
    </row>
    <row r="262" spans="1:1" x14ac:dyDescent="0.25">
      <c r="A262">
        <v>1462</v>
      </c>
    </row>
    <row r="263" spans="1:1" x14ac:dyDescent="0.25">
      <c r="A263">
        <v>1463</v>
      </c>
    </row>
    <row r="264" spans="1:1" x14ac:dyDescent="0.25">
      <c r="A264">
        <v>1464</v>
      </c>
    </row>
    <row r="265" spans="1:1" x14ac:dyDescent="0.25">
      <c r="A265">
        <v>1466</v>
      </c>
    </row>
    <row r="266" spans="1:1" x14ac:dyDescent="0.25">
      <c r="A266">
        <v>1467</v>
      </c>
    </row>
    <row r="267" spans="1:1" x14ac:dyDescent="0.25">
      <c r="A267">
        <v>1468</v>
      </c>
    </row>
    <row r="268" spans="1:1" x14ac:dyDescent="0.25">
      <c r="A268">
        <v>1619</v>
      </c>
    </row>
    <row r="269" spans="1:1" x14ac:dyDescent="0.25">
      <c r="A269">
        <v>1470</v>
      </c>
    </row>
    <row r="270" spans="1:1" x14ac:dyDescent="0.25">
      <c r="A270">
        <v>1472</v>
      </c>
    </row>
    <row r="271" spans="1:1" x14ac:dyDescent="0.25">
      <c r="A271">
        <v>1473</v>
      </c>
    </row>
    <row r="272" spans="1:1" x14ac:dyDescent="0.25">
      <c r="A272">
        <v>1474</v>
      </c>
    </row>
    <row r="273" spans="1:1" x14ac:dyDescent="0.25">
      <c r="A273">
        <v>1475</v>
      </c>
    </row>
    <row r="274" spans="1:1" x14ac:dyDescent="0.25">
      <c r="A274">
        <v>1476</v>
      </c>
    </row>
    <row r="275" spans="1:1" x14ac:dyDescent="0.25">
      <c r="A275">
        <v>1477</v>
      </c>
    </row>
    <row r="276" spans="1:1" x14ac:dyDescent="0.25">
      <c r="A276">
        <v>1478</v>
      </c>
    </row>
    <row r="277" spans="1:1" x14ac:dyDescent="0.25">
      <c r="A277">
        <v>1479</v>
      </c>
    </row>
    <row r="278" spans="1:1" x14ac:dyDescent="0.25">
      <c r="A278">
        <v>1480</v>
      </c>
    </row>
    <row r="279" spans="1:1" x14ac:dyDescent="0.25">
      <c r="A279">
        <v>1481</v>
      </c>
    </row>
    <row r="280" spans="1:1" x14ac:dyDescent="0.25">
      <c r="A280">
        <v>1559</v>
      </c>
    </row>
    <row r="281" spans="1:1" x14ac:dyDescent="0.25">
      <c r="A281">
        <v>1560</v>
      </c>
    </row>
    <row r="282" spans="1:1" x14ac:dyDescent="0.25">
      <c r="A282">
        <v>1561</v>
      </c>
    </row>
    <row r="283" spans="1:1" x14ac:dyDescent="0.25">
      <c r="A283">
        <v>1562</v>
      </c>
    </row>
    <row r="284" spans="1:1" x14ac:dyDescent="0.25">
      <c r="A284">
        <v>1563</v>
      </c>
    </row>
    <row r="285" spans="1:1" x14ac:dyDescent="0.25">
      <c r="A285">
        <v>1564</v>
      </c>
    </row>
    <row r="286" spans="1:1" x14ac:dyDescent="0.25">
      <c r="A286">
        <v>1565</v>
      </c>
    </row>
    <row r="287" spans="1:1" x14ac:dyDescent="0.25">
      <c r="A287">
        <v>1566</v>
      </c>
    </row>
    <row r="288" spans="1:1" x14ac:dyDescent="0.25">
      <c r="A288">
        <v>1567</v>
      </c>
    </row>
    <row r="289" spans="1:1" x14ac:dyDescent="0.25">
      <c r="A289">
        <v>1568</v>
      </c>
    </row>
    <row r="290" spans="1:1" x14ac:dyDescent="0.25">
      <c r="A290">
        <v>1569</v>
      </c>
    </row>
    <row r="291" spans="1:1" x14ac:dyDescent="0.25">
      <c r="A291">
        <v>1570</v>
      </c>
    </row>
    <row r="292" spans="1:1" x14ac:dyDescent="0.25">
      <c r="A292">
        <v>1571</v>
      </c>
    </row>
    <row r="293" spans="1:1" x14ac:dyDescent="0.25">
      <c r="A293">
        <v>1572</v>
      </c>
    </row>
    <row r="294" spans="1:1" x14ac:dyDescent="0.25">
      <c r="A294">
        <v>1573</v>
      </c>
    </row>
    <row r="295" spans="1:1" x14ac:dyDescent="0.25">
      <c r="A295">
        <v>1664</v>
      </c>
    </row>
    <row r="296" spans="1:1" x14ac:dyDescent="0.25">
      <c r="A296">
        <v>1690</v>
      </c>
    </row>
    <row r="297" spans="1:1" x14ac:dyDescent="0.25">
      <c r="A297">
        <v>1691</v>
      </c>
    </row>
    <row r="298" spans="1:1" x14ac:dyDescent="0.25">
      <c r="A298">
        <v>1703</v>
      </c>
    </row>
    <row r="299" spans="1:1" x14ac:dyDescent="0.25">
      <c r="A299">
        <v>1685</v>
      </c>
    </row>
    <row r="300" spans="1:1" x14ac:dyDescent="0.25">
      <c r="A300">
        <v>1686</v>
      </c>
    </row>
    <row r="301" spans="1:1" x14ac:dyDescent="0.25">
      <c r="A301">
        <v>1687</v>
      </c>
    </row>
    <row r="302" spans="1:1" x14ac:dyDescent="0.25">
      <c r="A302">
        <v>1689</v>
      </c>
    </row>
    <row r="303" spans="1:1" x14ac:dyDescent="0.25">
      <c r="A303">
        <v>1681</v>
      </c>
    </row>
    <row r="304" spans="1:1" x14ac:dyDescent="0.25">
      <c r="A304">
        <v>1682</v>
      </c>
    </row>
    <row r="305" spans="1:1" x14ac:dyDescent="0.25">
      <c r="A305">
        <v>1610</v>
      </c>
    </row>
    <row r="306" spans="1:1" x14ac:dyDescent="0.25">
      <c r="A306">
        <v>1617</v>
      </c>
    </row>
    <row r="307" spans="1:1" x14ac:dyDescent="0.25">
      <c r="A307">
        <v>1620</v>
      </c>
    </row>
    <row r="308" spans="1:1" x14ac:dyDescent="0.25">
      <c r="A308">
        <v>1621</v>
      </c>
    </row>
    <row r="309" spans="1:1" x14ac:dyDescent="0.25">
      <c r="A309">
        <v>1622</v>
      </c>
    </row>
    <row r="310" spans="1:1" x14ac:dyDescent="0.25">
      <c r="A310">
        <v>1616</v>
      </c>
    </row>
    <row r="311" spans="1:1" x14ac:dyDescent="0.25">
      <c r="A311">
        <v>1618</v>
      </c>
    </row>
    <row r="312" spans="1:1" x14ac:dyDescent="0.25">
      <c r="A312">
        <v>1684</v>
      </c>
    </row>
    <row r="313" spans="1:1" x14ac:dyDescent="0.25">
      <c r="A313">
        <v>1683</v>
      </c>
    </row>
    <row r="314" spans="1:1" x14ac:dyDescent="0.25">
      <c r="A314">
        <v>1700</v>
      </c>
    </row>
    <row r="315" spans="1:1" x14ac:dyDescent="0.25">
      <c r="A315">
        <v>1611</v>
      </c>
    </row>
    <row r="316" spans="1:1" x14ac:dyDescent="0.25">
      <c r="A316">
        <v>1677</v>
      </c>
    </row>
    <row r="317" spans="1:1" x14ac:dyDescent="0.25">
      <c r="A317">
        <v>1678</v>
      </c>
    </row>
    <row r="318" spans="1:1" x14ac:dyDescent="0.25">
      <c r="A318">
        <v>1688</v>
      </c>
    </row>
    <row r="319" spans="1:1" x14ac:dyDescent="0.25">
      <c r="A319">
        <v>1680</v>
      </c>
    </row>
    <row r="320" spans="1:1" x14ac:dyDescent="0.25">
      <c r="A320">
        <v>1609</v>
      </c>
    </row>
    <row r="321" spans="1:1" x14ac:dyDescent="0.25">
      <c r="A321">
        <v>1603</v>
      </c>
    </row>
    <row r="322" spans="1:1" x14ac:dyDescent="0.25">
      <c r="A322">
        <v>1605</v>
      </c>
    </row>
    <row r="323" spans="1:1" x14ac:dyDescent="0.25">
      <c r="A323">
        <v>1624</v>
      </c>
    </row>
    <row r="324" spans="1:1" x14ac:dyDescent="0.25">
      <c r="A324">
        <v>1629</v>
      </c>
    </row>
    <row r="325" spans="1:1" x14ac:dyDescent="0.25">
      <c r="A325">
        <v>1626</v>
      </c>
    </row>
    <row r="326" spans="1:1" x14ac:dyDescent="0.25">
      <c r="A326">
        <v>1623</v>
      </c>
    </row>
    <row r="327" spans="1:1" x14ac:dyDescent="0.25">
      <c r="A327">
        <v>1671</v>
      </c>
    </row>
    <row r="328" spans="1:1" x14ac:dyDescent="0.25">
      <c r="A328">
        <v>1627</v>
      </c>
    </row>
    <row r="329" spans="1:1" x14ac:dyDescent="0.25">
      <c r="A329">
        <v>1612</v>
      </c>
    </row>
    <row r="330" spans="1:1" x14ac:dyDescent="0.25">
      <c r="A330">
        <v>1651</v>
      </c>
    </row>
    <row r="331" spans="1:1" x14ac:dyDescent="0.25">
      <c r="A331">
        <v>1625</v>
      </c>
    </row>
    <row r="332" spans="1:1" x14ac:dyDescent="0.25">
      <c r="A332">
        <v>1692</v>
      </c>
    </row>
    <row r="333" spans="1:1" x14ac:dyDescent="0.25">
      <c r="A333">
        <v>1663</v>
      </c>
    </row>
    <row r="334" spans="1:1" x14ac:dyDescent="0.25">
      <c r="A334">
        <v>1613</v>
      </c>
    </row>
    <row r="335" spans="1:1" x14ac:dyDescent="0.25">
      <c r="A335">
        <v>1615</v>
      </c>
    </row>
    <row r="336" spans="1:1" x14ac:dyDescent="0.25">
      <c r="A336">
        <v>1614</v>
      </c>
    </row>
    <row r="337" spans="1:1" x14ac:dyDescent="0.25">
      <c r="A337">
        <v>1284</v>
      </c>
    </row>
    <row r="338" spans="1:1" x14ac:dyDescent="0.25">
      <c r="A338">
        <v>1294</v>
      </c>
    </row>
    <row r="339" spans="1:1" x14ac:dyDescent="0.25">
      <c r="A339">
        <v>1408</v>
      </c>
    </row>
    <row r="340" spans="1:1" x14ac:dyDescent="0.25">
      <c r="A340">
        <v>1642</v>
      </c>
    </row>
    <row r="341" spans="1:1" x14ac:dyDescent="0.25">
      <c r="A341">
        <v>1643</v>
      </c>
    </row>
    <row r="342" spans="1:1" x14ac:dyDescent="0.25">
      <c r="A342">
        <v>1644</v>
      </c>
    </row>
    <row r="343" spans="1:1" x14ac:dyDescent="0.25">
      <c r="A343">
        <v>1653</v>
      </c>
    </row>
    <row r="344" spans="1:1" x14ac:dyDescent="0.25">
      <c r="A344">
        <v>1658</v>
      </c>
    </row>
    <row r="345" spans="1:1" x14ac:dyDescent="0.25">
      <c r="A345">
        <v>1659</v>
      </c>
    </row>
    <row r="346" spans="1:1" x14ac:dyDescent="0.25">
      <c r="A346">
        <v>1660</v>
      </c>
    </row>
    <row r="347" spans="1:1" x14ac:dyDescent="0.25">
      <c r="A347">
        <v>1661</v>
      </c>
    </row>
    <row r="348" spans="1:1" x14ac:dyDescent="0.25">
      <c r="A348">
        <v>1665</v>
      </c>
    </row>
    <row r="349" spans="1:1" x14ac:dyDescent="0.25">
      <c r="A349">
        <v>1679</v>
      </c>
    </row>
    <row r="350" spans="1:1" x14ac:dyDescent="0.25">
      <c r="A350">
        <v>1693</v>
      </c>
    </row>
    <row r="351" spans="1:1" x14ac:dyDescent="0.25">
      <c r="A351">
        <v>1699</v>
      </c>
    </row>
    <row r="352" spans="1:1" x14ac:dyDescent="0.25">
      <c r="A352">
        <v>1704</v>
      </c>
    </row>
    <row r="353" spans="1:1" x14ac:dyDescent="0.25">
      <c r="A353">
        <v>1705</v>
      </c>
    </row>
    <row r="354" spans="1:1" x14ac:dyDescent="0.25">
      <c r="A354">
        <v>1706</v>
      </c>
    </row>
    <row r="355" spans="1:1" x14ac:dyDescent="0.25">
      <c r="A355">
        <v>1709</v>
      </c>
    </row>
    <row r="356" spans="1:1" x14ac:dyDescent="0.25">
      <c r="A356">
        <v>1710</v>
      </c>
    </row>
    <row r="357" spans="1:1" x14ac:dyDescent="0.25">
      <c r="A357">
        <v>1711</v>
      </c>
    </row>
    <row r="358" spans="1:1" x14ac:dyDescent="0.25">
      <c r="A358">
        <v>1712</v>
      </c>
    </row>
    <row r="359" spans="1:1" x14ac:dyDescent="0.25">
      <c r="A359">
        <v>1713</v>
      </c>
    </row>
    <row r="360" spans="1:1" x14ac:dyDescent="0.25">
      <c r="A360">
        <v>1714</v>
      </c>
    </row>
    <row r="361" spans="1:1" x14ac:dyDescent="0.25">
      <c r="A361">
        <v>1717</v>
      </c>
    </row>
    <row r="362" spans="1:1" x14ac:dyDescent="0.25">
      <c r="A362">
        <v>1718</v>
      </c>
    </row>
    <row r="363" spans="1:1" x14ac:dyDescent="0.25">
      <c r="A363">
        <v>1719</v>
      </c>
    </row>
    <row r="364" spans="1:1" x14ac:dyDescent="0.25">
      <c r="A364">
        <v>1728</v>
      </c>
    </row>
    <row r="365" spans="1:1" x14ac:dyDescent="0.25">
      <c r="A365">
        <v>1701</v>
      </c>
    </row>
    <row r="366" spans="1:1" x14ac:dyDescent="0.25">
      <c r="A366">
        <v>1666</v>
      </c>
    </row>
    <row r="367" spans="1:1" x14ac:dyDescent="0.25">
      <c r="A367">
        <v>1668</v>
      </c>
    </row>
    <row r="368" spans="1:1" x14ac:dyDescent="0.25">
      <c r="A368">
        <v>1669</v>
      </c>
    </row>
    <row r="369" spans="1:1" x14ac:dyDescent="0.25">
      <c r="A369">
        <v>1670</v>
      </c>
    </row>
    <row r="370" spans="1:1" x14ac:dyDescent="0.25">
      <c r="A370">
        <v>1672</v>
      </c>
    </row>
    <row r="371" spans="1:1" x14ac:dyDescent="0.25">
      <c r="A371">
        <v>1673</v>
      </c>
    </row>
    <row r="372" spans="1:1" x14ac:dyDescent="0.25">
      <c r="A372">
        <v>1674</v>
      </c>
    </row>
    <row r="373" spans="1:1" x14ac:dyDescent="0.25">
      <c r="A373">
        <v>1675</v>
      </c>
    </row>
    <row r="374" spans="1:1" x14ac:dyDescent="0.25">
      <c r="A374">
        <v>1676</v>
      </c>
    </row>
    <row r="375" spans="1:1" x14ac:dyDescent="0.25">
      <c r="A375">
        <v>1715</v>
      </c>
    </row>
    <row r="376" spans="1:1" x14ac:dyDescent="0.25">
      <c r="A376">
        <v>1716</v>
      </c>
    </row>
    <row r="377" spans="1:1" x14ac:dyDescent="0.25">
      <c r="A377">
        <v>1726</v>
      </c>
    </row>
    <row r="378" spans="1:1" x14ac:dyDescent="0.25">
      <c r="A378">
        <v>1737</v>
      </c>
    </row>
    <row r="379" spans="1:1" x14ac:dyDescent="0.25">
      <c r="A379">
        <v>1738</v>
      </c>
    </row>
    <row r="380" spans="1:1" x14ac:dyDescent="0.25">
      <c r="A380">
        <v>1770</v>
      </c>
    </row>
    <row r="381" spans="1:1" x14ac:dyDescent="0.25">
      <c r="A381">
        <v>1771</v>
      </c>
    </row>
    <row r="382" spans="1:1" x14ac:dyDescent="0.25">
      <c r="A382">
        <v>1772</v>
      </c>
    </row>
    <row r="383" spans="1:1" x14ac:dyDescent="0.25">
      <c r="A383">
        <v>1773</v>
      </c>
    </row>
    <row r="384" spans="1:1" x14ac:dyDescent="0.25">
      <c r="A384">
        <v>1774</v>
      </c>
    </row>
    <row r="385" spans="1:1" x14ac:dyDescent="0.25">
      <c r="A385">
        <v>1776</v>
      </c>
    </row>
    <row r="386" spans="1:1" x14ac:dyDescent="0.25">
      <c r="A386">
        <v>1779</v>
      </c>
    </row>
    <row r="387" spans="1:1" x14ac:dyDescent="0.25">
      <c r="A387">
        <v>1780</v>
      </c>
    </row>
    <row r="388" spans="1:1" x14ac:dyDescent="0.25">
      <c r="A388">
        <v>1781</v>
      </c>
    </row>
    <row r="389" spans="1:1" x14ac:dyDescent="0.25">
      <c r="A389">
        <v>1782</v>
      </c>
    </row>
    <row r="390" spans="1:1" x14ac:dyDescent="0.25">
      <c r="A390">
        <v>1788</v>
      </c>
    </row>
    <row r="391" spans="1:1" x14ac:dyDescent="0.25">
      <c r="A391">
        <v>1789</v>
      </c>
    </row>
    <row r="392" spans="1:1" x14ac:dyDescent="0.25">
      <c r="A392">
        <v>1790</v>
      </c>
    </row>
    <row r="393" spans="1:1" x14ac:dyDescent="0.25">
      <c r="A393">
        <v>1791</v>
      </c>
    </row>
    <row r="394" spans="1:1" x14ac:dyDescent="0.25">
      <c r="A394">
        <v>1792</v>
      </c>
    </row>
    <row r="395" spans="1:1" x14ac:dyDescent="0.25">
      <c r="A395">
        <v>1793</v>
      </c>
    </row>
    <row r="396" spans="1:1" x14ac:dyDescent="0.25">
      <c r="A396">
        <v>1796</v>
      </c>
    </row>
    <row r="397" spans="1:1" x14ac:dyDescent="0.25">
      <c r="A397">
        <v>1797</v>
      </c>
    </row>
    <row r="398" spans="1:1" x14ac:dyDescent="0.25">
      <c r="A398">
        <v>1798</v>
      </c>
    </row>
    <row r="399" spans="1:1" x14ac:dyDescent="0.25">
      <c r="A399">
        <v>1808</v>
      </c>
    </row>
    <row r="400" spans="1:1" x14ac:dyDescent="0.25">
      <c r="A400">
        <v>1812</v>
      </c>
    </row>
    <row r="401" spans="1:1" x14ac:dyDescent="0.25">
      <c r="A401">
        <v>1815</v>
      </c>
    </row>
    <row r="402" spans="1:1" x14ac:dyDescent="0.25">
      <c r="A402">
        <v>1817</v>
      </c>
    </row>
    <row r="403" spans="1:1" x14ac:dyDescent="0.25">
      <c r="A403">
        <v>1818</v>
      </c>
    </row>
    <row r="404" spans="1:1" x14ac:dyDescent="0.25">
      <c r="A404">
        <v>1819</v>
      </c>
    </row>
    <row r="405" spans="1:1" x14ac:dyDescent="0.25">
      <c r="A405">
        <v>1820</v>
      </c>
    </row>
    <row r="406" spans="1:1" x14ac:dyDescent="0.25">
      <c r="A406">
        <v>1821</v>
      </c>
    </row>
    <row r="407" spans="1:1" x14ac:dyDescent="0.25">
      <c r="A407">
        <v>1822</v>
      </c>
    </row>
    <row r="408" spans="1:1" x14ac:dyDescent="0.25">
      <c r="A408">
        <v>1823</v>
      </c>
    </row>
    <row r="409" spans="1:1" x14ac:dyDescent="0.25">
      <c r="A409">
        <v>1825</v>
      </c>
    </row>
    <row r="410" spans="1:1" x14ac:dyDescent="0.25">
      <c r="A410">
        <v>1826</v>
      </c>
    </row>
    <row r="411" spans="1:1" x14ac:dyDescent="0.25">
      <c r="A411">
        <v>1827</v>
      </c>
    </row>
    <row r="412" spans="1:1" x14ac:dyDescent="0.25">
      <c r="A412">
        <v>1828</v>
      </c>
    </row>
    <row r="413" spans="1:1" x14ac:dyDescent="0.25">
      <c r="A413">
        <v>1829</v>
      </c>
    </row>
    <row r="414" spans="1:1" x14ac:dyDescent="0.25">
      <c r="A414">
        <v>1855</v>
      </c>
    </row>
    <row r="415" spans="1:1" x14ac:dyDescent="0.25">
      <c r="A415">
        <v>1856</v>
      </c>
    </row>
    <row r="416" spans="1:1" x14ac:dyDescent="0.25">
      <c r="A416">
        <v>1857</v>
      </c>
    </row>
    <row r="417" spans="1:1" x14ac:dyDescent="0.25">
      <c r="A417">
        <v>1858</v>
      </c>
    </row>
    <row r="418" spans="1:1" x14ac:dyDescent="0.25">
      <c r="A418">
        <v>1865</v>
      </c>
    </row>
    <row r="419" spans="1:1" x14ac:dyDescent="0.25">
      <c r="A419">
        <v>1866</v>
      </c>
    </row>
    <row r="420" spans="1:1" x14ac:dyDescent="0.25">
      <c r="A420">
        <v>1867</v>
      </c>
    </row>
    <row r="421" spans="1:1" x14ac:dyDescent="0.25">
      <c r="A421">
        <v>1883</v>
      </c>
    </row>
    <row r="422" spans="1:1" x14ac:dyDescent="0.25">
      <c r="A422">
        <v>1884</v>
      </c>
    </row>
  </sheetData>
  <sortState xmlns:xlrd2="http://schemas.microsoft.com/office/spreadsheetml/2017/richdata2" ref="G1:G422">
    <sortCondition ref="G1"/>
  </sortState>
  <conditionalFormatting sqref="A1:A422">
    <cfRule type="duplicateValues" dxfId="7" priority="8"/>
  </conditionalFormatting>
  <conditionalFormatting sqref="B1:B24">
    <cfRule type="duplicateValues" dxfId="6" priority="7"/>
  </conditionalFormatting>
  <conditionalFormatting sqref="B1:B57">
    <cfRule type="duplicateValues" dxfId="5" priority="6"/>
  </conditionalFormatting>
  <conditionalFormatting sqref="C1:C21">
    <cfRule type="duplicateValues" dxfId="4" priority="5"/>
  </conditionalFormatting>
  <conditionalFormatting sqref="E1:E83">
    <cfRule type="duplicateValues" dxfId="3" priority="4"/>
  </conditionalFormatting>
  <conditionalFormatting sqref="H1:H107">
    <cfRule type="duplicateValues" dxfId="2" priority="3"/>
  </conditionalFormatting>
  <conditionalFormatting sqref="I1:I27">
    <cfRule type="duplicateValues" dxfId="1" priority="2"/>
  </conditionalFormatting>
  <conditionalFormatting sqref="J1:J102">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vt:i4>
      </vt:variant>
    </vt:vector>
  </HeadingPairs>
  <TitlesOfParts>
    <vt:vector size="10" baseType="lpstr">
      <vt:lpstr>CONSOLIDADO ANLA 2019</vt:lpstr>
      <vt:lpstr>Oficina Asesora Planeación</vt:lpstr>
      <vt:lpstr>Comunicaciones</vt:lpstr>
      <vt:lpstr>Sub. Evaluación y Seguimiento</vt:lpstr>
      <vt:lpstr>SIPTA</vt:lpstr>
      <vt:lpstr>Sub. Administrativa Financiera</vt:lpstr>
      <vt:lpstr>Oficina Asesora Jurídica</vt:lpstr>
      <vt:lpstr>Control Interno</vt:lpstr>
      <vt:lpstr>Hoja1</vt:lpstr>
      <vt:lpstr>'Sub. Evaluación y Seguimiento'!Área_de_impresión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Fabio Garcia Alvarez (ANLA)</dc:creator>
  <cp:lastModifiedBy>Edith Jazmin Torres Rodriguez (ANLA)</cp:lastModifiedBy>
  <cp:lastPrinted>2019-11-06T21:20:17Z</cp:lastPrinted>
  <dcterms:created xsi:type="dcterms:W3CDTF">2018-12-28T20:18:11Z</dcterms:created>
  <dcterms:modified xsi:type="dcterms:W3CDTF">2019-11-06T22:04:49Z</dcterms:modified>
</cp:coreProperties>
</file>