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mc:AlternateContent xmlns:mc="http://schemas.openxmlformats.org/markup-compatibility/2006">
    <mc:Choice Requires="x15">
      <x15ac:absPath xmlns:x15ac="http://schemas.microsoft.com/office/spreadsheetml/2010/11/ac" url="C:\Users\jazmi\Desktop\"/>
    </mc:Choice>
  </mc:AlternateContent>
  <xr:revisionPtr revIDLastSave="0" documentId="8_{78B6FBF6-25A3-448A-BDCD-B1E70119C8EE}" xr6:coauthVersionLast="44" xr6:coauthVersionMax="44" xr10:uidLastSave="{00000000-0000-0000-0000-000000000000}"/>
  <bookViews>
    <workbookView xWindow="-120" yWindow="-120" windowWidth="20730" windowHeight="11160" tabRatio="897" activeTab="1" xr2:uid="{00000000-000D-0000-FFFF-FFFF00000000}"/>
  </bookViews>
  <sheets>
    <sheet name="Consolidado 2020 I TRIM" sheetId="13" r:id="rId1"/>
    <sheet name="Consolidado 2020 II TRIM" sheetId="14" r:id="rId2"/>
    <sheet name="Sub de Evaluación y Seguimiento" sheetId="1" r:id="rId3"/>
    <sheet name="OTI" sheetId="16" r:id="rId4"/>
    <sheet name="Oficina Asesora Planeación" sheetId="2" r:id="rId5"/>
    <sheet name="Comunicaciones" sheetId="17" r:id="rId6"/>
    <sheet name="SMPC" sheetId="15" r:id="rId7"/>
    <sheet name="Sub.Evaluación LA" sheetId="22" r:id="rId8"/>
    <sheet name="Sub.Seguimiento LA" sheetId="21" r:id="rId9"/>
    <sheet name="SIPTA" sheetId="3" r:id="rId10"/>
    <sheet name="Oficina Asesora Jurídica" sheetId="6" r:id="rId11"/>
    <sheet name="SAF" sheetId="18" r:id="rId12"/>
    <sheet name="Control Disciplinario" sheetId="19" r:id="rId13"/>
    <sheet name="Control Interno" sheetId="20" r:id="rId14"/>
    <sheet name="PAI REGALÍAS" sheetId="23"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xlnm._FilterDatabase" localSheetId="2" hidden="1">'Sub de Evaluación y Seguimiento'!$A$6:$AAF$76</definedName>
    <definedName name="_xlnm._FilterDatabase" localSheetId="7" hidden="1">'Sub.Evaluación LA'!$A$6:$AAF$41</definedName>
    <definedName name="_xlnm._FilterDatabase" localSheetId="8" hidden="1">'Sub.Seguimiento LA'!$A$6:$ZP$41</definedName>
    <definedName name="DepartamentoConsulta" localSheetId="0">#REF!</definedName>
    <definedName name="DepartamentoConsulta" localSheetId="7">#REF!</definedName>
    <definedName name="DepartamentoConsulta" localSheetId="8">#REF!</definedName>
    <definedName name="DepartamentoConsulta">#REF!</definedName>
    <definedName name="DeptoConsulta" localSheetId="0">#REF!</definedName>
    <definedName name="DeptoConsulta" localSheetId="7">#REF!</definedName>
    <definedName name="DeptoConsulta" localSheetId="8">#REF!</definedName>
    <definedName name="DeptoConsulta">#REF!</definedName>
    <definedName name="FactorSemanas">[1]Parametros!$G$5</definedName>
    <definedName name="FechaCierre">'[2]Registro Control Tiempos'!$C$9</definedName>
    <definedName name="FechaCorte">'[2]Registro Control Tiempos'!$C$7</definedName>
    <definedName name="FechaCorteModificacion" localSheetId="0">#REF!</definedName>
    <definedName name="FechaCorteModificacion" localSheetId="7">#REF!</definedName>
    <definedName name="FechaCorteModificacion" localSheetId="8">#REF!</definedName>
    <definedName name="FechaCorteModificacion">#REF!</definedName>
    <definedName name="festivos">[1]!Tabla4[TabDiasFestivos]</definedName>
    <definedName name="G" localSheetId="0">#REF!</definedName>
    <definedName name="G" localSheetId="7">#REF!</definedName>
    <definedName name="G" localSheetId="8">#REF!</definedName>
    <definedName name="G">#REF!</definedName>
    <definedName name="Instrumentos">[3]Parametros!$F$11:$F$19</definedName>
    <definedName name="intrumento">[4]!TabInstrumentos[Instrumentos]</definedName>
    <definedName name="Mesfinal">[1]Parametros!$H$2</definedName>
    <definedName name="MesInicial">[1]Parametros!$G$2</definedName>
    <definedName name="MetaAnual" localSheetId="0">#REF!</definedName>
    <definedName name="MetaAnual" localSheetId="7">#REF!</definedName>
    <definedName name="MetaAnual" localSheetId="8">#REF!</definedName>
    <definedName name="MetaAnual">#REF!</definedName>
    <definedName name="MetaAnualIE">'[1]Indicador estrategico'!$AV$5</definedName>
    <definedName name="NativeTimeline_Fecha_Auto_Administrativo_Respuesta">#N/A</definedName>
    <definedName name="NombreContratista">[4]!TabRevisores[NOMBRE]</definedName>
    <definedName name="NormasAplicables">[4]Parametros!$BI$15:$BI$19</definedName>
    <definedName name="NotaAutoInicio" localSheetId="0">#REF!</definedName>
    <definedName name="NotaAutoInicio" localSheetId="7">#REF!</definedName>
    <definedName name="NotaAutoInicio" localSheetId="8">#REF!</definedName>
    <definedName name="NotaAutoInicio">#REF!</definedName>
    <definedName name="pend">[5]Pendientes!$B$49:$E$49</definedName>
    <definedName name="PerfilActivo" localSheetId="0">#REF!</definedName>
    <definedName name="PerfilActivo" localSheetId="7">#REF!</definedName>
    <definedName name="PerfilActivo" localSheetId="8">#REF!</definedName>
    <definedName name="PerfilActivo">#REF!</definedName>
    <definedName name="ProyectoConsulta" localSheetId="0">#REF!</definedName>
    <definedName name="ProyectoConsulta" localSheetId="7">#REF!</definedName>
    <definedName name="ProyectoConsulta" localSheetId="8">#REF!</definedName>
    <definedName name="ProyectoConsulta">#REF!</definedName>
    <definedName name="RangoConsulta" localSheetId="0">'[2]Registro Control Tiempos'!#REF!</definedName>
    <definedName name="RangoConsulta" localSheetId="7">'[2]Registro Control Tiempos'!#REF!</definedName>
    <definedName name="RangoConsulta" localSheetId="8">'[2]Registro Control Tiempos'!#REF!</definedName>
    <definedName name="RangoConsulta">'[2]Registro Control Tiempos'!#REF!</definedName>
    <definedName name="RegistroConsulta" localSheetId="0">#REF!</definedName>
    <definedName name="RegistroConsulta" localSheetId="7">#REF!</definedName>
    <definedName name="RegistroConsulta" localSheetId="8">#REF!</definedName>
    <definedName name="RegistroConsulta">#REF!</definedName>
    <definedName name="Sector">[6]Parametros!$N$11:$N$17</definedName>
    <definedName name="SectorAConsultar" localSheetId="0">#REF!</definedName>
    <definedName name="SectorAConsultar" localSheetId="7">#REF!</definedName>
    <definedName name="SectorAConsultar" localSheetId="8">#REF!</definedName>
    <definedName name="SectorAConsultar">#REF!</definedName>
    <definedName name="SectorConsultar">'[1]Indicador estrategico'!$I$2</definedName>
    <definedName name="SectorEstadisticas" localSheetId="0">#REF!</definedName>
    <definedName name="SectorEstadisticas" localSheetId="7">#REF!</definedName>
    <definedName name="SectorEstadisticas" localSheetId="8">#REF!</definedName>
    <definedName name="SectorEstadisticas">#REF!</definedName>
    <definedName name="SectorTiempo" localSheetId="0">Ind Tiempos [7]Sectorial!$E$9</definedName>
    <definedName name="SectorTiempo" localSheetId="14">Ind Tiempos [7]Sectorial!$E$9</definedName>
    <definedName name="SectorTiempo" localSheetId="7">Ind Tiempos [7]Sectorial!$E$9</definedName>
    <definedName name="SectorTiempo" localSheetId="8">Ind Tiempos [7]Sectorial!$E$9</definedName>
    <definedName name="SectorTiempo">Ind Tiempos [7]Sectorial!$E$9</definedName>
    <definedName name="SiNo">[8]Parametros!$BI$12:$BI$13</definedName>
    <definedName name="ss">[4]!TabInstrumentos[Instrumentos]</definedName>
    <definedName name="TabDiasFestivos">[1]!Tabla4[TabDiasFestivos]</definedName>
    <definedName name="TabSabadoDomingo">[4]!SabadosDomingos[SabadosDomingos]</definedName>
    <definedName name="TipoActoAdministrativo">[9]Parametros!$T$11:$T$13</definedName>
    <definedName name="TipoDecision">[10]Parametros!$V$11:$V$18</definedName>
    <definedName name="TipoRegistro">[11]Parametros!$L$11:$L$13</definedName>
    <definedName name="TipoSuspension">[1]Parametros!$R$11:$R$14</definedName>
    <definedName name="TipoTramite">[1]Parametros!$AB$11:$AB$13</definedName>
    <definedName name="UsuarioActivo" localSheetId="0">#REF!</definedName>
    <definedName name="UsuarioActivo" localSheetId="7">#REF!</definedName>
    <definedName name="UsuarioActivo" localSheetId="8">#REF!</definedName>
    <definedName name="UsuarioActiv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M14" i="23" l="1"/>
  <c r="BO14" i="23" s="1"/>
  <c r="BE14" i="23"/>
  <c r="BG14" i="23" s="1"/>
  <c r="AW14" i="23"/>
  <c r="AY14" i="23" s="1"/>
  <c r="AO14" i="23"/>
  <c r="AQ14" i="23" s="1"/>
  <c r="AG14" i="23"/>
  <c r="AI14" i="23" s="1"/>
  <c r="Y14" i="23"/>
  <c r="AA14" i="23" s="1"/>
  <c r="BO13" i="23"/>
  <c r="BG13" i="23"/>
  <c r="AY13" i="23"/>
  <c r="AQ13" i="23"/>
  <c r="AI13" i="23"/>
  <c r="AA13" i="23"/>
  <c r="BO12" i="23"/>
  <c r="BG12" i="23"/>
  <c r="AY12" i="23"/>
  <c r="AQ12" i="23"/>
  <c r="AI12" i="23"/>
  <c r="AA12" i="23"/>
  <c r="BO11" i="23"/>
  <c r="BG11" i="23"/>
  <c r="AY11" i="23"/>
  <c r="AQ11" i="23"/>
  <c r="AI11" i="23"/>
  <c r="AA11" i="23"/>
  <c r="BO10" i="23"/>
  <c r="BG10" i="23"/>
  <c r="AY10" i="23"/>
  <c r="AQ10" i="23"/>
  <c r="AI10" i="23"/>
  <c r="AA10" i="23"/>
  <c r="BO9" i="23"/>
  <c r="BG9" i="23"/>
  <c r="AY9" i="23"/>
  <c r="AQ9" i="23"/>
  <c r="AI9" i="23"/>
  <c r="AA9" i="23"/>
  <c r="BO8" i="23"/>
  <c r="BG8" i="23"/>
  <c r="AY8" i="23"/>
  <c r="AY15" i="23" s="1"/>
  <c r="AQ8" i="23"/>
  <c r="AQ15" i="23" s="1"/>
  <c r="AI8" i="23"/>
  <c r="AA8" i="23"/>
  <c r="BO7" i="23"/>
  <c r="BO15" i="23" s="1"/>
  <c r="BG7" i="23"/>
  <c r="BG15" i="23" s="1"/>
  <c r="AY7" i="23"/>
  <c r="AQ7" i="23"/>
  <c r="AI7" i="23"/>
  <c r="AI15" i="23" s="1"/>
  <c r="AA7" i="23"/>
  <c r="AA15" i="23" s="1"/>
  <c r="BG41" i="22" l="1"/>
  <c r="AY41" i="22"/>
  <c r="AI41" i="22"/>
  <c r="BO40" i="22"/>
  <c r="BO41" i="22" s="1"/>
  <c r="BM40" i="22"/>
  <c r="BE40" i="22"/>
  <c r="BG40" i="22" s="1"/>
  <c r="AY40" i="22"/>
  <c r="AX40" i="22"/>
  <c r="AW40" i="22"/>
  <c r="AO40" i="22"/>
  <c r="AQ40" i="22" s="1"/>
  <c r="AQ41" i="22" s="1"/>
  <c r="Z40" i="22"/>
  <c r="Y40" i="22"/>
  <c r="AA40" i="22" s="1"/>
  <c r="AA41" i="22" s="1"/>
  <c r="BO39" i="22"/>
  <c r="AI39" i="22"/>
  <c r="BO38" i="22"/>
  <c r="BG38" i="22"/>
  <c r="BG39" i="22" s="1"/>
  <c r="AY38" i="22"/>
  <c r="AY39" i="22" s="1"/>
  <c r="AX38" i="22"/>
  <c r="AP38" i="22"/>
  <c r="AQ38" i="22" s="1"/>
  <c r="AQ39" i="22" s="1"/>
  <c r="AA38" i="22"/>
  <c r="AA39" i="22" s="1"/>
  <c r="Z38" i="22"/>
  <c r="BG37" i="22"/>
  <c r="AY37" i="22"/>
  <c r="AI37" i="22"/>
  <c r="BO36" i="22"/>
  <c r="BO37" i="22" s="1"/>
  <c r="BM36" i="22"/>
  <c r="BE36" i="22"/>
  <c r="BG36" i="22" s="1"/>
  <c r="AY36" i="22"/>
  <c r="AX36" i="22"/>
  <c r="AW36" i="22"/>
  <c r="AP36" i="22"/>
  <c r="AQ36" i="22" s="1"/>
  <c r="AQ37" i="22" s="1"/>
  <c r="AO36" i="22"/>
  <c r="Z36" i="22"/>
  <c r="Y36" i="22"/>
  <c r="AM35" i="22"/>
  <c r="AI35" i="22"/>
  <c r="AE35" i="22"/>
  <c r="BI34" i="22"/>
  <c r="BK34" i="22" s="1"/>
  <c r="BB34" i="22"/>
  <c r="BC34" i="22" s="1"/>
  <c r="BA34" i="22"/>
  <c r="AT34" i="22"/>
  <c r="AS34" i="22"/>
  <c r="AU34" i="22" s="1"/>
  <c r="AD34" i="22"/>
  <c r="AC34" i="22"/>
  <c r="AE34" i="22" s="1"/>
  <c r="BS33" i="22"/>
  <c r="BQ33" i="22"/>
  <c r="BM33" i="22"/>
  <c r="BO33" i="22" s="1"/>
  <c r="BK33" i="22"/>
  <c r="BI33" i="22"/>
  <c r="BE33" i="22"/>
  <c r="BG33" i="22" s="1"/>
  <c r="BG35" i="22" s="1"/>
  <c r="BC33" i="22"/>
  <c r="BB33" i="22"/>
  <c r="BA33" i="22"/>
  <c r="AX33" i="22"/>
  <c r="AY33" i="22" s="1"/>
  <c r="AW33" i="22"/>
  <c r="AT33" i="22"/>
  <c r="AS33" i="22"/>
  <c r="AU33" i="22" s="1"/>
  <c r="AP33" i="22"/>
  <c r="AO33" i="22"/>
  <c r="AQ33" i="22" s="1"/>
  <c r="AE33" i="22"/>
  <c r="AD33" i="22"/>
  <c r="AC33" i="22"/>
  <c r="Z33" i="22"/>
  <c r="AA33" i="22" s="1"/>
  <c r="Y33" i="22"/>
  <c r="BS32" i="22"/>
  <c r="BK32" i="22"/>
  <c r="BC32" i="22"/>
  <c r="BB32" i="22"/>
  <c r="AT32" i="22"/>
  <c r="AU32" i="22" s="1"/>
  <c r="AU35" i="22" s="1"/>
  <c r="AE32" i="22"/>
  <c r="AD32" i="22"/>
  <c r="BS31" i="22"/>
  <c r="BS35" i="22" s="1"/>
  <c r="BO31" i="22"/>
  <c r="BO35" i="22" s="1"/>
  <c r="BK31" i="22"/>
  <c r="BK35" i="22" s="1"/>
  <c r="BG31" i="22"/>
  <c r="BB31" i="22"/>
  <c r="BC31" i="22" s="1"/>
  <c r="AY31" i="22"/>
  <c r="AX31" i="22"/>
  <c r="AT31" i="22"/>
  <c r="AU31" i="22" s="1"/>
  <c r="AQ31" i="22"/>
  <c r="AQ35" i="22" s="1"/>
  <c r="AP31" i="22"/>
  <c r="AD31" i="22"/>
  <c r="AE31" i="22" s="1"/>
  <c r="AA31" i="22"/>
  <c r="AA35" i="22" s="1"/>
  <c r="Z31" i="22"/>
  <c r="AM30" i="22"/>
  <c r="AI30" i="22"/>
  <c r="BI29" i="22"/>
  <c r="BK29" i="22" s="1"/>
  <c r="BC29" i="22"/>
  <c r="BB29" i="22"/>
  <c r="BA29" i="22"/>
  <c r="AT29" i="22"/>
  <c r="AU29" i="22" s="1"/>
  <c r="AS29" i="22"/>
  <c r="AD29" i="22"/>
  <c r="AC29" i="22"/>
  <c r="AE29" i="22" s="1"/>
  <c r="BQ28" i="22"/>
  <c r="BS28" i="22" s="1"/>
  <c r="BO28" i="22"/>
  <c r="BM28" i="22"/>
  <c r="BI28" i="22"/>
  <c r="BK28" i="22" s="1"/>
  <c r="BG28" i="22"/>
  <c r="BE28" i="22"/>
  <c r="BB28" i="22"/>
  <c r="BA28" i="22"/>
  <c r="BC28" i="22" s="1"/>
  <c r="AY28" i="22"/>
  <c r="AX28" i="22"/>
  <c r="AW28" i="22"/>
  <c r="AT28" i="22"/>
  <c r="AU28" i="22" s="1"/>
  <c r="AS28" i="22"/>
  <c r="AP28" i="22"/>
  <c r="AO28" i="22"/>
  <c r="AQ28" i="22" s="1"/>
  <c r="AD28" i="22"/>
  <c r="AE28" i="22" s="1"/>
  <c r="AA28" i="22"/>
  <c r="Z28" i="22"/>
  <c r="Y28" i="22"/>
  <c r="BS27" i="22"/>
  <c r="BK27" i="22"/>
  <c r="BC27" i="22"/>
  <c r="BB27" i="22"/>
  <c r="AT27" i="22"/>
  <c r="AU27" i="22" s="1"/>
  <c r="AE27" i="22"/>
  <c r="AD27" i="22"/>
  <c r="BS26" i="22"/>
  <c r="BO26" i="22"/>
  <c r="BO30" i="22" s="1"/>
  <c r="BK26" i="22"/>
  <c r="BK30" i="22" s="1"/>
  <c r="BG26" i="22"/>
  <c r="BB26" i="22"/>
  <c r="BC26" i="22" s="1"/>
  <c r="AY26" i="22"/>
  <c r="AY30" i="22" s="1"/>
  <c r="AX26" i="22"/>
  <c r="AT26" i="22"/>
  <c r="AU26" i="22" s="1"/>
  <c r="AQ26" i="22"/>
  <c r="AQ30" i="22" s="1"/>
  <c r="AP26" i="22"/>
  <c r="AD26" i="22"/>
  <c r="AE26" i="22" s="1"/>
  <c r="AE30" i="22" s="1"/>
  <c r="AA26" i="22"/>
  <c r="AA30" i="22" s="1"/>
  <c r="Z26" i="22"/>
  <c r="AM25" i="22"/>
  <c r="AI25" i="22"/>
  <c r="BI24" i="22"/>
  <c r="BK24" i="22" s="1"/>
  <c r="BC24" i="22"/>
  <c r="BB24" i="22"/>
  <c r="BA24" i="22"/>
  <c r="AT24" i="22"/>
  <c r="AU24" i="22" s="1"/>
  <c r="AS24" i="22"/>
  <c r="AD24" i="22"/>
  <c r="AC24" i="22"/>
  <c r="AE24" i="22" s="1"/>
  <c r="BQ23" i="22"/>
  <c r="BS23" i="22" s="1"/>
  <c r="BO23" i="22"/>
  <c r="BM23" i="22"/>
  <c r="BI23" i="22"/>
  <c r="BK23" i="22" s="1"/>
  <c r="BG23" i="22"/>
  <c r="BE23" i="22"/>
  <c r="BB23" i="22"/>
  <c r="BA23" i="22"/>
  <c r="BC23" i="22" s="1"/>
  <c r="AY23" i="22"/>
  <c r="AX23" i="22"/>
  <c r="AW23" i="22"/>
  <c r="AT23" i="22"/>
  <c r="AU23" i="22" s="1"/>
  <c r="AS23" i="22"/>
  <c r="AP23" i="22"/>
  <c r="AO23" i="22"/>
  <c r="AQ23" i="22" s="1"/>
  <c r="AD23" i="22"/>
  <c r="AE23" i="22" s="1"/>
  <c r="AA23" i="22"/>
  <c r="Z23" i="22"/>
  <c r="Y23" i="22"/>
  <c r="BS22" i="22"/>
  <c r="BK22" i="22"/>
  <c r="BC22" i="22"/>
  <c r="BB22" i="22"/>
  <c r="AT22" i="22"/>
  <c r="AU22" i="22" s="1"/>
  <c r="AE22" i="22"/>
  <c r="AD22" i="22"/>
  <c r="BS21" i="22"/>
  <c r="BO21" i="22"/>
  <c r="BO25" i="22" s="1"/>
  <c r="BK21" i="22"/>
  <c r="BK25" i="22" s="1"/>
  <c r="BG21" i="22"/>
  <c r="BB21" i="22"/>
  <c r="BC21" i="22" s="1"/>
  <c r="AY21" i="22"/>
  <c r="AY25" i="22" s="1"/>
  <c r="AX21" i="22"/>
  <c r="AT21" i="22"/>
  <c r="AU21" i="22" s="1"/>
  <c r="AQ21" i="22"/>
  <c r="AQ25" i="22" s="1"/>
  <c r="AP21" i="22"/>
  <c r="AD21" i="22"/>
  <c r="AE21" i="22" s="1"/>
  <c r="AE25" i="22" s="1"/>
  <c r="AA21" i="22"/>
  <c r="AA25" i="22" s="1"/>
  <c r="Z21" i="22"/>
  <c r="AM20" i="22"/>
  <c r="AI20" i="22"/>
  <c r="BI19" i="22"/>
  <c r="BK19" i="22" s="1"/>
  <c r="BK20" i="22" s="1"/>
  <c r="BB19" i="22"/>
  <c r="BA19" i="22"/>
  <c r="BC19" i="22" s="1"/>
  <c r="AU19" i="22"/>
  <c r="AT19" i="22"/>
  <c r="AS19" i="22"/>
  <c r="AD19" i="22"/>
  <c r="AE19" i="22" s="1"/>
  <c r="AC19" i="22"/>
  <c r="BQ18" i="22"/>
  <c r="BS18" i="22" s="1"/>
  <c r="BM18" i="22"/>
  <c r="BO18" i="22" s="1"/>
  <c r="BI18" i="22"/>
  <c r="BK18" i="22" s="1"/>
  <c r="BE18" i="22"/>
  <c r="BG18" i="22" s="1"/>
  <c r="BB18" i="22"/>
  <c r="BA18" i="22"/>
  <c r="AX18" i="22"/>
  <c r="AW18" i="22"/>
  <c r="AY18" i="22" s="1"/>
  <c r="AU18" i="22"/>
  <c r="AT18" i="22"/>
  <c r="AS18" i="22"/>
  <c r="AQ18" i="22"/>
  <c r="AP18" i="22"/>
  <c r="AO18" i="22"/>
  <c r="AD18" i="22"/>
  <c r="AC18" i="22"/>
  <c r="AE18" i="22" s="1"/>
  <c r="Z18" i="22"/>
  <c r="Y18" i="22"/>
  <c r="AA18" i="22" s="1"/>
  <c r="BS17" i="22"/>
  <c r="BK17" i="22"/>
  <c r="BB17" i="22"/>
  <c r="BC17" i="22" s="1"/>
  <c r="AT17" i="22"/>
  <c r="AU17" i="22" s="1"/>
  <c r="AU20" i="22" s="1"/>
  <c r="AD17" i="22"/>
  <c r="AE17" i="22" s="1"/>
  <c r="BS16" i="22"/>
  <c r="BS20" i="22" s="1"/>
  <c r="BO16" i="22"/>
  <c r="BK16" i="22"/>
  <c r="BG16" i="22"/>
  <c r="BB16" i="22"/>
  <c r="BC16" i="22" s="1"/>
  <c r="AX16" i="22"/>
  <c r="AY16" i="22" s="1"/>
  <c r="AU16" i="22"/>
  <c r="AT16" i="22"/>
  <c r="AP16" i="22"/>
  <c r="AQ16" i="22" s="1"/>
  <c r="AE16" i="22"/>
  <c r="AD16" i="22"/>
  <c r="Z16" i="22"/>
  <c r="AA16" i="22" s="1"/>
  <c r="AM15" i="22"/>
  <c r="AI15" i="22"/>
  <c r="AI43" i="22" s="1"/>
  <c r="BK14" i="22"/>
  <c r="BI14" i="22"/>
  <c r="BB14" i="22"/>
  <c r="BA14" i="22"/>
  <c r="BC14" i="22" s="1"/>
  <c r="AU14" i="22"/>
  <c r="AT14" i="22"/>
  <c r="AS14" i="22"/>
  <c r="AD14" i="22"/>
  <c r="AE14" i="22" s="1"/>
  <c r="AC14" i="22"/>
  <c r="BQ13" i="22"/>
  <c r="BS13" i="22" s="1"/>
  <c r="BS15" i="22" s="1"/>
  <c r="BO13" i="22"/>
  <c r="BO15" i="22" s="1"/>
  <c r="BM13" i="22"/>
  <c r="BI13" i="22"/>
  <c r="BK13" i="22" s="1"/>
  <c r="BG13" i="22"/>
  <c r="BE13" i="22"/>
  <c r="BB13" i="22"/>
  <c r="BA13" i="22"/>
  <c r="BC13" i="22" s="1"/>
  <c r="AX13" i="22"/>
  <c r="AW13" i="22"/>
  <c r="AU13" i="22"/>
  <c r="AT13" i="22"/>
  <c r="AS13" i="22"/>
  <c r="AP13" i="22"/>
  <c r="AQ13" i="22" s="1"/>
  <c r="AO13" i="22"/>
  <c r="AD13" i="22"/>
  <c r="AC13" i="22"/>
  <c r="AE13" i="22" s="1"/>
  <c r="Z13" i="22"/>
  <c r="Y13" i="22"/>
  <c r="BS12" i="22"/>
  <c r="BK12" i="22"/>
  <c r="BC12" i="22"/>
  <c r="BB12" i="22"/>
  <c r="AU12" i="22"/>
  <c r="AT12" i="22"/>
  <c r="AE12" i="22"/>
  <c r="AD12" i="22"/>
  <c r="BS11" i="22"/>
  <c r="BO11" i="22"/>
  <c r="BK11" i="22"/>
  <c r="BG11" i="22"/>
  <c r="BG15" i="22" s="1"/>
  <c r="BC11" i="22"/>
  <c r="BC15" i="22" s="1"/>
  <c r="BB11" i="22"/>
  <c r="AY11" i="22"/>
  <c r="AX11" i="22"/>
  <c r="AU11" i="22"/>
  <c r="AT11" i="22"/>
  <c r="AQ11" i="22"/>
  <c r="AQ15" i="22" s="1"/>
  <c r="AP11" i="22"/>
  <c r="AE11" i="22"/>
  <c r="AD11" i="22"/>
  <c r="AA11" i="22"/>
  <c r="Z11" i="22"/>
  <c r="AM10" i="22"/>
  <c r="AM43" i="22" s="1"/>
  <c r="AI10" i="22"/>
  <c r="BO9" i="22"/>
  <c r="BM9" i="22"/>
  <c r="BE9" i="22"/>
  <c r="BG9" i="22" s="1"/>
  <c r="AY9" i="22"/>
  <c r="AX9" i="22"/>
  <c r="AW9" i="22"/>
  <c r="AP9" i="22"/>
  <c r="AQ9" i="22" s="1"/>
  <c r="AQ10" i="22" s="1"/>
  <c r="AO9" i="22"/>
  <c r="Z9" i="22"/>
  <c r="Y9" i="22"/>
  <c r="AA9" i="22" s="1"/>
  <c r="AA10" i="22" s="1"/>
  <c r="BQ8" i="22"/>
  <c r="BS8" i="22" s="1"/>
  <c r="BI8" i="22"/>
  <c r="BK8" i="22" s="1"/>
  <c r="BK10" i="22" s="1"/>
  <c r="BB8" i="22"/>
  <c r="BA8" i="22"/>
  <c r="AU8" i="22"/>
  <c r="AT8" i="22"/>
  <c r="AE8" i="22"/>
  <c r="AD8" i="22"/>
  <c r="BS7" i="22"/>
  <c r="BS10" i="22" s="1"/>
  <c r="BQ7" i="22"/>
  <c r="BO7" i="22"/>
  <c r="BO10" i="22" s="1"/>
  <c r="BM7" i="22"/>
  <c r="BK7" i="22"/>
  <c r="BI7" i="22"/>
  <c r="BG7" i="22"/>
  <c r="BG10" i="22" s="1"/>
  <c r="BE7" i="22"/>
  <c r="BB7" i="22"/>
  <c r="BA7" i="22"/>
  <c r="BC7" i="22" s="1"/>
  <c r="AY7" i="22"/>
  <c r="AX7" i="22"/>
  <c r="AW7" i="22"/>
  <c r="AU7" i="22"/>
  <c r="AU10" i="22" s="1"/>
  <c r="AT7" i="22"/>
  <c r="AQ7" i="22"/>
  <c r="AP7" i="22"/>
  <c r="AE7" i="22"/>
  <c r="AE10" i="22" s="1"/>
  <c r="AD7" i="22"/>
  <c r="AA7" i="22"/>
  <c r="Z7" i="22"/>
  <c r="AY15" i="22" l="1"/>
  <c r="AU30" i="22"/>
  <c r="BC10" i="22"/>
  <c r="AE20" i="22"/>
  <c r="AY20" i="22"/>
  <c r="BO20" i="22"/>
  <c r="BO43" i="22" s="1"/>
  <c r="AU25" i="22"/>
  <c r="BK15" i="22"/>
  <c r="BK43" i="22" s="1"/>
  <c r="AQ20" i="22"/>
  <c r="AQ43" i="22" s="1"/>
  <c r="BC25" i="22"/>
  <c r="BS25" i="22"/>
  <c r="BS43" i="22" s="1"/>
  <c r="BC30" i="22"/>
  <c r="AE15" i="22"/>
  <c r="AE43" i="22" s="1"/>
  <c r="AU15" i="22"/>
  <c r="AU43" i="22" s="1"/>
  <c r="AY13" i="22"/>
  <c r="AA20" i="22"/>
  <c r="BG25" i="22"/>
  <c r="BG30" i="22"/>
  <c r="AY35" i="22"/>
  <c r="BS30" i="22"/>
  <c r="BC35" i="22"/>
  <c r="AY10" i="22"/>
  <c r="AY43" i="22" s="1"/>
  <c r="BC8" i="22"/>
  <c r="AA13" i="22"/>
  <c r="AA15" i="22" s="1"/>
  <c r="AA43" i="22" s="1"/>
  <c r="BG20" i="22"/>
  <c r="BG43" i="22" s="1"/>
  <c r="BC18" i="22"/>
  <c r="BC20" i="22" s="1"/>
  <c r="AA36" i="22"/>
  <c r="AA37" i="22" s="1"/>
  <c r="BC43" i="22" l="1"/>
  <c r="AO40" i="21" l="1"/>
  <c r="AQ40" i="21" s="1"/>
  <c r="AQ41" i="21" s="1"/>
  <c r="AI40" i="21"/>
  <c r="AI41" i="21" s="1"/>
  <c r="AA40" i="21"/>
  <c r="AA41" i="21" s="1"/>
  <c r="AP38" i="21"/>
  <c r="AQ38" i="21" s="1"/>
  <c r="AH38" i="21"/>
  <c r="AG38" i="21"/>
  <c r="AI38" i="21" s="1"/>
  <c r="AA38" i="21"/>
  <c r="Z38" i="21"/>
  <c r="AP37" i="21"/>
  <c r="AQ37" i="21" s="1"/>
  <c r="AH37" i="21"/>
  <c r="AI37" i="21" s="1"/>
  <c r="AA37" i="21"/>
  <c r="Z37" i="21"/>
  <c r="AP36" i="21"/>
  <c r="AQ36" i="21" s="1"/>
  <c r="AI36" i="21"/>
  <c r="AH36" i="21"/>
  <c r="Z36" i="21"/>
  <c r="AA36" i="21" s="1"/>
  <c r="AA39" i="21" s="1"/>
  <c r="AP34" i="21"/>
  <c r="AQ34" i="21" s="1"/>
  <c r="AI34" i="21"/>
  <c r="AA34" i="21"/>
  <c r="Z34" i="21"/>
  <c r="AT33" i="21"/>
  <c r="AU33" i="21" s="1"/>
  <c r="AU35" i="21" s="1"/>
  <c r="AQ33" i="21"/>
  <c r="AQ35" i="21" s="1"/>
  <c r="AP33" i="21"/>
  <c r="AL33" i="21"/>
  <c r="AM33" i="21" s="1"/>
  <c r="AM35" i="21" s="1"/>
  <c r="AI33" i="21"/>
  <c r="AI35" i="21" s="1"/>
  <c r="AD33" i="21"/>
  <c r="AE33" i="21" s="1"/>
  <c r="AE35" i="21" s="1"/>
  <c r="AA33" i="21"/>
  <c r="AA35" i="21" s="1"/>
  <c r="Z33" i="21"/>
  <c r="AP31" i="21"/>
  <c r="AQ31" i="21" s="1"/>
  <c r="AH31" i="21"/>
  <c r="AI31" i="21" s="1"/>
  <c r="AA31" i="21"/>
  <c r="Z31" i="21"/>
  <c r="AP30" i="21"/>
  <c r="AO30" i="21"/>
  <c r="AH30" i="21"/>
  <c r="AG30" i="21"/>
  <c r="AI30" i="21" s="1"/>
  <c r="AA30" i="21"/>
  <c r="Z30" i="21"/>
  <c r="Y30" i="21"/>
  <c r="AP29" i="21"/>
  <c r="AQ29" i="21" s="1"/>
  <c r="AH29" i="21"/>
  <c r="AI29" i="21" s="1"/>
  <c r="AA29" i="21"/>
  <c r="AA32" i="21" s="1"/>
  <c r="Z29" i="21"/>
  <c r="AU27" i="21"/>
  <c r="AU28" i="21" s="1"/>
  <c r="AT27" i="21"/>
  <c r="AP27" i="21"/>
  <c r="AQ27" i="21" s="1"/>
  <c r="AQ28" i="21" s="1"/>
  <c r="AL27" i="21"/>
  <c r="AM27" i="21" s="1"/>
  <c r="AM28" i="21" s="1"/>
  <c r="AH27" i="21"/>
  <c r="AI27" i="21" s="1"/>
  <c r="AI28" i="21" s="1"/>
  <c r="AE27" i="21"/>
  <c r="AE28" i="21" s="1"/>
  <c r="AD27" i="21"/>
  <c r="Z27" i="21"/>
  <c r="AA27" i="21" s="1"/>
  <c r="AA28" i="21" s="1"/>
  <c r="AT25" i="21"/>
  <c r="AU25" i="21" s="1"/>
  <c r="AM25" i="21"/>
  <c r="AL25" i="21"/>
  <c r="AD25" i="21"/>
  <c r="AE25" i="21" s="1"/>
  <c r="AT24" i="21"/>
  <c r="AU24" i="21" s="1"/>
  <c r="AL24" i="21"/>
  <c r="AM24" i="21" s="1"/>
  <c r="AE24" i="21"/>
  <c r="AD24" i="21"/>
  <c r="AT23" i="21"/>
  <c r="AU23" i="21" s="1"/>
  <c r="AP23" i="21"/>
  <c r="AQ23" i="21" s="1"/>
  <c r="AQ26" i="21" s="1"/>
  <c r="AL23" i="21"/>
  <c r="AM23" i="21" s="1"/>
  <c r="AI23" i="21"/>
  <c r="AI26" i="21" s="1"/>
  <c r="AH23" i="21"/>
  <c r="AD23" i="21"/>
  <c r="AE23" i="21" s="1"/>
  <c r="AE26" i="21" s="1"/>
  <c r="AA23" i="21"/>
  <c r="AA26" i="21" s="1"/>
  <c r="Z23" i="21"/>
  <c r="AT21" i="21"/>
  <c r="AU21" i="21" s="1"/>
  <c r="AL21" i="21"/>
  <c r="AM21" i="21" s="1"/>
  <c r="AE21" i="21"/>
  <c r="AD21" i="21"/>
  <c r="U21" i="21"/>
  <c r="AT20" i="21"/>
  <c r="AU20" i="21" s="1"/>
  <c r="AM20" i="21"/>
  <c r="AL20" i="21"/>
  <c r="AD20" i="21"/>
  <c r="AE20" i="21" s="1"/>
  <c r="AT19" i="21"/>
  <c r="AU19" i="21" s="1"/>
  <c r="AP19" i="21"/>
  <c r="AQ19" i="21" s="1"/>
  <c r="AQ22" i="21" s="1"/>
  <c r="AM19" i="21"/>
  <c r="AL19" i="21"/>
  <c r="AH19" i="21"/>
  <c r="AI19" i="21" s="1"/>
  <c r="AI22" i="21" s="1"/>
  <c r="AE19" i="21"/>
  <c r="AD19" i="21"/>
  <c r="Z19" i="21"/>
  <c r="AA19" i="21" s="1"/>
  <c r="AA22" i="21" s="1"/>
  <c r="AT17" i="21"/>
  <c r="AU17" i="21" s="1"/>
  <c r="AM17" i="21"/>
  <c r="AL17" i="21"/>
  <c r="AD17" i="21"/>
  <c r="AE17" i="21" s="1"/>
  <c r="AT16" i="21"/>
  <c r="AU16" i="21" s="1"/>
  <c r="AL16" i="21"/>
  <c r="AM16" i="21" s="1"/>
  <c r="AE16" i="21"/>
  <c r="AD16" i="21"/>
  <c r="AT15" i="21"/>
  <c r="AU15" i="21" s="1"/>
  <c r="AP15" i="21"/>
  <c r="AQ15" i="21" s="1"/>
  <c r="AQ18" i="21" s="1"/>
  <c r="AL15" i="21"/>
  <c r="AM15" i="21" s="1"/>
  <c r="AI15" i="21"/>
  <c r="AI18" i="21" s="1"/>
  <c r="AH15" i="21"/>
  <c r="AD15" i="21"/>
  <c r="AE15" i="21" s="1"/>
  <c r="AE18" i="21" s="1"/>
  <c r="AA15" i="21"/>
  <c r="AA18" i="21" s="1"/>
  <c r="Z15" i="21"/>
  <c r="AT13" i="21"/>
  <c r="AU13" i="21" s="1"/>
  <c r="AL13" i="21"/>
  <c r="AM13" i="21" s="1"/>
  <c r="AE13" i="21"/>
  <c r="AD13" i="21"/>
  <c r="AT12" i="21"/>
  <c r="AU12" i="21" s="1"/>
  <c r="AL12" i="21"/>
  <c r="AM12" i="21" s="1"/>
  <c r="AD12" i="21"/>
  <c r="AE12" i="21" s="1"/>
  <c r="AU11" i="21"/>
  <c r="AT11" i="21"/>
  <c r="AP11" i="21"/>
  <c r="AQ11" i="21" s="1"/>
  <c r="AQ14" i="21" s="1"/>
  <c r="AL11" i="21"/>
  <c r="AM11" i="21" s="1"/>
  <c r="AH11" i="21"/>
  <c r="AI11" i="21" s="1"/>
  <c r="AI14" i="21" s="1"/>
  <c r="AE11" i="21"/>
  <c r="AE14" i="21" s="1"/>
  <c r="AD11" i="21"/>
  <c r="Z11" i="21"/>
  <c r="AA11" i="21" s="1"/>
  <c r="AA14" i="21" s="1"/>
  <c r="AT9" i="21"/>
  <c r="AS9" i="21"/>
  <c r="AU9" i="21" s="1"/>
  <c r="AL9" i="21"/>
  <c r="AD9" i="21"/>
  <c r="AT8" i="21"/>
  <c r="AU8" i="21" s="1"/>
  <c r="AS8" i="21"/>
  <c r="AL8" i="21"/>
  <c r="AK8" i="21"/>
  <c r="AD8" i="21"/>
  <c r="AC8" i="21"/>
  <c r="AE8" i="21" s="1"/>
  <c r="AU7" i="21"/>
  <c r="AT7" i="21"/>
  <c r="AS7" i="21"/>
  <c r="AP7" i="21"/>
  <c r="AQ7" i="21" s="1"/>
  <c r="AQ10" i="21" s="1"/>
  <c r="AO7" i="21"/>
  <c r="AL7" i="21"/>
  <c r="AK7" i="21"/>
  <c r="AH7" i="21"/>
  <c r="AG7" i="21"/>
  <c r="AE7" i="21"/>
  <c r="AE10" i="21" s="1"/>
  <c r="AD7" i="21"/>
  <c r="AC7" i="21"/>
  <c r="AA7" i="21"/>
  <c r="AA10" i="21" s="1"/>
  <c r="Z7" i="21"/>
  <c r="Y7" i="21"/>
  <c r="AC9" i="21" s="1"/>
  <c r="AE9" i="21" s="1"/>
  <c r="AU22" i="21" l="1"/>
  <c r="AI7" i="21"/>
  <c r="AI10" i="21" s="1"/>
  <c r="AM8" i="21"/>
  <c r="AM18" i="21"/>
  <c r="AU26" i="21"/>
  <c r="AU18" i="21"/>
  <c r="AI39" i="21"/>
  <c r="AU14" i="21"/>
  <c r="AM7" i="21"/>
  <c r="AM22" i="21"/>
  <c r="AQ30" i="21"/>
  <c r="AQ32" i="21" s="1"/>
  <c r="AQ44" i="21" s="1"/>
  <c r="AE22" i="21"/>
  <c r="AQ39" i="21"/>
  <c r="AE44" i="21"/>
  <c r="AA44" i="21"/>
  <c r="AU10" i="21"/>
  <c r="AU44" i="21" s="1"/>
  <c r="AM14" i="21"/>
  <c r="AM26" i="21"/>
  <c r="AI32" i="21"/>
  <c r="AI44" i="21" s="1"/>
  <c r="AK9" i="21"/>
  <c r="AM9" i="21" s="1"/>
  <c r="AM10" i="21" s="1"/>
  <c r="AM44" i="21" s="1"/>
  <c r="BO10" i="20" l="1"/>
  <c r="AY10" i="20"/>
  <c r="AI10" i="20"/>
  <c r="AA10" i="20"/>
  <c r="BS8" i="20"/>
  <c r="BK8" i="20"/>
  <c r="BC8" i="20"/>
  <c r="AU8" i="20"/>
  <c r="AM8" i="20"/>
  <c r="AE8" i="20"/>
  <c r="AE10" i="20" s="1"/>
  <c r="BS7" i="20"/>
  <c r="BS10" i="20" s="1"/>
  <c r="BO7" i="20"/>
  <c r="BK7" i="20"/>
  <c r="BK10" i="20" s="1"/>
  <c r="BG7" i="20"/>
  <c r="BG10" i="20" s="1"/>
  <c r="BC7" i="20"/>
  <c r="BC10" i="20" s="1"/>
  <c r="AY7" i="20"/>
  <c r="AU7" i="20"/>
  <c r="AU10" i="20" s="1"/>
  <c r="AQ7" i="20"/>
  <c r="AQ10" i="20" s="1"/>
  <c r="AM7" i="20"/>
  <c r="AM10" i="20" s="1"/>
  <c r="AI7" i="20"/>
  <c r="BO10" i="19"/>
  <c r="BG10" i="19"/>
  <c r="AY10" i="19"/>
  <c r="AQ10" i="19"/>
  <c r="AI10" i="19"/>
  <c r="AA10" i="19"/>
  <c r="BS36" i="18"/>
  <c r="AM36" i="18"/>
  <c r="BS35" i="18"/>
  <c r="BK35" i="18"/>
  <c r="BK36" i="18" s="1"/>
  <c r="BC35" i="18"/>
  <c r="BC36" i="18" s="1"/>
  <c r="AU35" i="18"/>
  <c r="AU36" i="18" s="1"/>
  <c r="AM35" i="18"/>
  <c r="BO34" i="18"/>
  <c r="BO36" i="18" s="1"/>
  <c r="BG34" i="18"/>
  <c r="AY34" i="18"/>
  <c r="AQ34" i="18"/>
  <c r="AI34" i="18"/>
  <c r="BU34" i="18" s="1"/>
  <c r="BU36" i="18" s="1"/>
  <c r="AA34" i="18"/>
  <c r="AA36" i="18" s="1"/>
  <c r="BO33" i="18"/>
  <c r="BG33" i="18"/>
  <c r="BG36" i="18" s="1"/>
  <c r="AY33" i="18"/>
  <c r="AY36" i="18" s="1"/>
  <c r="AQ33" i="18"/>
  <c r="AQ36" i="18" s="1"/>
  <c r="AI33" i="18"/>
  <c r="BU32" i="18"/>
  <c r="AQ32" i="18"/>
  <c r="AI32" i="18"/>
  <c r="BE31" i="18"/>
  <c r="AY31" i="18"/>
  <c r="BG31" i="18" s="1"/>
  <c r="BO31" i="18" s="1"/>
  <c r="BO32" i="18" s="1"/>
  <c r="AW31" i="18"/>
  <c r="BO30" i="18"/>
  <c r="BG30" i="18"/>
  <c r="BG32" i="18" s="1"/>
  <c r="AY30" i="18"/>
  <c r="AG30" i="18"/>
  <c r="Y30" i="18"/>
  <c r="AA30" i="18" s="1"/>
  <c r="BO29" i="18"/>
  <c r="BG29" i="18"/>
  <c r="AY29" i="18"/>
  <c r="AY32" i="18" s="1"/>
  <c r="AA29" i="18"/>
  <c r="AA32" i="18" s="1"/>
  <c r="BU28" i="18"/>
  <c r="BS28" i="18"/>
  <c r="BO28" i="18"/>
  <c r="BG28" i="18"/>
  <c r="AY28" i="18"/>
  <c r="AQ28" i="18"/>
  <c r="AI28" i="18"/>
  <c r="BK27" i="18"/>
  <c r="BK28" i="18" s="1"/>
  <c r="BC27" i="18"/>
  <c r="BC28" i="18" s="1"/>
  <c r="AU27" i="18"/>
  <c r="BK26" i="18"/>
  <c r="AU26" i="18"/>
  <c r="AU28" i="18" s="1"/>
  <c r="BK24" i="18"/>
  <c r="AU24" i="18"/>
  <c r="AM24" i="18"/>
  <c r="AM28" i="18" s="1"/>
  <c r="BU22" i="18"/>
  <c r="BS22" i="18"/>
  <c r="BC22" i="18"/>
  <c r="AM22" i="18"/>
  <c r="BO21" i="18"/>
  <c r="BG21" i="18"/>
  <c r="AY21" i="18"/>
  <c r="AQ21" i="18"/>
  <c r="AQ22" i="18" s="1"/>
  <c r="AI21" i="18"/>
  <c r="AA21" i="18"/>
  <c r="BO20" i="18"/>
  <c r="BG20" i="18"/>
  <c r="BG22" i="18" s="1"/>
  <c r="AY20" i="18"/>
  <c r="AQ20" i="18"/>
  <c r="AI20" i="18"/>
  <c r="AA20" i="18"/>
  <c r="AA22" i="18" s="1"/>
  <c r="BG19" i="18"/>
  <c r="BS18" i="18"/>
  <c r="BO18" i="18"/>
  <c r="BO22" i="18" s="1"/>
  <c r="BK18" i="18"/>
  <c r="BK22" i="18" s="1"/>
  <c r="BG18" i="18"/>
  <c r="BC18" i="18"/>
  <c r="AY18" i="18"/>
  <c r="AY22" i="18" s="1"/>
  <c r="AU18" i="18"/>
  <c r="AU22" i="18" s="1"/>
  <c r="AQ18" i="18"/>
  <c r="AM18" i="18"/>
  <c r="AI18" i="18"/>
  <c r="AI22" i="18" s="1"/>
  <c r="AE18" i="18"/>
  <c r="AE22" i="18" s="1"/>
  <c r="AE38" i="18" s="1"/>
  <c r="AA18" i="18"/>
  <c r="BU17" i="18"/>
  <c r="BG17" i="18"/>
  <c r="AY17" i="18"/>
  <c r="AY38" i="18" s="1"/>
  <c r="AI17" i="18"/>
  <c r="AA17" i="18"/>
  <c r="AA38" i="18" s="1"/>
  <c r="BO16" i="18"/>
  <c r="BO15" i="18"/>
  <c r="BO14" i="18"/>
  <c r="BO17" i="18" s="1"/>
  <c r="BO38" i="18" s="1"/>
  <c r="AQ14" i="18"/>
  <c r="AQ17" i="18" s="1"/>
  <c r="AQ38" i="18" s="1"/>
  <c r="BU13" i="18"/>
  <c r="AM13" i="18"/>
  <c r="AM38" i="18" s="1"/>
  <c r="AE13" i="18"/>
  <c r="AA13" i="18"/>
  <c r="AQ12" i="18"/>
  <c r="AQ13" i="18" s="1"/>
  <c r="AI12" i="18"/>
  <c r="AI13" i="18" s="1"/>
  <c r="AG12" i="18"/>
  <c r="BS10" i="18"/>
  <c r="BS38" i="18" s="1"/>
  <c r="BK10" i="18"/>
  <c r="BK13" i="18" s="1"/>
  <c r="BC10" i="18"/>
  <c r="BC13" i="18" s="1"/>
  <c r="AU9" i="18"/>
  <c r="AU13" i="18" s="1"/>
  <c r="AM9" i="18"/>
  <c r="AE9" i="18"/>
  <c r="BS12" i="17"/>
  <c r="BO12" i="17"/>
  <c r="BK12" i="17"/>
  <c r="BG12" i="17"/>
  <c r="BC12" i="17"/>
  <c r="AY12" i="17"/>
  <c r="AU12" i="17"/>
  <c r="AQ12" i="17"/>
  <c r="AM12" i="17"/>
  <c r="AI12" i="17"/>
  <c r="AE12" i="17"/>
  <c r="AA12" i="17"/>
  <c r="AA15" i="17" s="1"/>
  <c r="BS11" i="17"/>
  <c r="BO11" i="17"/>
  <c r="BK11" i="17"/>
  <c r="BG11" i="17"/>
  <c r="BC11" i="17"/>
  <c r="AY11" i="17"/>
  <c r="AU11" i="17"/>
  <c r="AQ11" i="17"/>
  <c r="AQ15" i="17" s="1"/>
  <c r="AK11" i="17"/>
  <c r="AM11" i="17" s="1"/>
  <c r="AI11" i="17"/>
  <c r="AG11" i="17"/>
  <c r="AE11" i="17"/>
  <c r="AA11" i="17"/>
  <c r="AE10" i="17"/>
  <c r="AE15" i="17" s="1"/>
  <c r="BS9" i="17"/>
  <c r="BK9" i="17"/>
  <c r="BC9" i="17"/>
  <c r="AU9" i="17"/>
  <c r="AU15" i="17" s="1"/>
  <c r="AM9" i="17"/>
  <c r="AK9" i="17"/>
  <c r="AE9" i="17"/>
  <c r="BS8" i="17"/>
  <c r="BK8" i="17"/>
  <c r="BC8" i="17"/>
  <c r="AU8" i="17"/>
  <c r="AM8" i="17"/>
  <c r="AK8" i="17"/>
  <c r="AE8" i="17"/>
  <c r="BS7" i="17"/>
  <c r="BO7" i="17"/>
  <c r="BM7" i="17"/>
  <c r="BK7" i="17"/>
  <c r="BG7" i="17"/>
  <c r="BC7" i="17"/>
  <c r="AY7" i="17"/>
  <c r="AU7" i="17"/>
  <c r="AQ7" i="17"/>
  <c r="AM7" i="17"/>
  <c r="AM15" i="17" s="1"/>
  <c r="AI7" i="17"/>
  <c r="AI15" i="17" s="1"/>
  <c r="AE7" i="17"/>
  <c r="AA7" i="17"/>
  <c r="BS15" i="16"/>
  <c r="BC15" i="16"/>
  <c r="AY15" i="16"/>
  <c r="AA15" i="16"/>
  <c r="BM13" i="16"/>
  <c r="BE13" i="16"/>
  <c r="AY13" i="16"/>
  <c r="AQ13" i="16"/>
  <c r="AM13" i="16"/>
  <c r="AM15" i="16" s="1"/>
  <c r="AE13" i="16"/>
  <c r="AE15" i="16" s="1"/>
  <c r="BQ12" i="16"/>
  <c r="BQ11" i="16"/>
  <c r="BI11" i="16"/>
  <c r="BO10" i="16"/>
  <c r="BO15" i="16" s="1"/>
  <c r="BG10" i="16"/>
  <c r="AY10" i="16"/>
  <c r="AQ10" i="16"/>
  <c r="AI10" i="16"/>
  <c r="AI15" i="16" s="1"/>
  <c r="AA10" i="16"/>
  <c r="BO9" i="16"/>
  <c r="BK9" i="16"/>
  <c r="BK15" i="16" s="1"/>
  <c r="BG9" i="16"/>
  <c r="BG15" i="16" s="1"/>
  <c r="BC9" i="16"/>
  <c r="AY9" i="16"/>
  <c r="AU9" i="16"/>
  <c r="AU15" i="16" s="1"/>
  <c r="AQ9" i="16"/>
  <c r="AQ15" i="16" s="1"/>
  <c r="AM9" i="16"/>
  <c r="AI9" i="16"/>
  <c r="AE9" i="16"/>
  <c r="BC7" i="16"/>
  <c r="AU7" i="16"/>
  <c r="AU38" i="18" l="1"/>
  <c r="BK38" i="18"/>
  <c r="BU38" i="18"/>
  <c r="BG38" i="18"/>
  <c r="AI36" i="18"/>
  <c r="AI38" i="18" s="1"/>
  <c r="BS13" i="18"/>
  <c r="BC38" i="18"/>
  <c r="AA21" i="15" l="1"/>
  <c r="AI21" i="15"/>
  <c r="CC20" i="15"/>
  <c r="BU20" i="15"/>
  <c r="BM20" i="15"/>
  <c r="AP20" i="15"/>
  <c r="AQ20" i="15" s="1"/>
  <c r="CC19" i="15"/>
  <c r="BU19" i="15"/>
  <c r="BU21" i="15" s="1"/>
  <c r="BM19" i="15"/>
  <c r="BM21" i="15" s="1"/>
  <c r="AP19" i="15"/>
  <c r="AQ19" i="15" s="1"/>
  <c r="AQ21" i="15" s="1"/>
  <c r="CC18" i="15"/>
  <c r="BU18" i="15"/>
  <c r="BM18" i="15"/>
  <c r="AQ18" i="15"/>
  <c r="AP18" i="15"/>
  <c r="CC17" i="15"/>
  <c r="BU17" i="15"/>
  <c r="BM17" i="15"/>
  <c r="AQ17" i="15"/>
  <c r="AP17" i="15"/>
  <c r="CC16" i="15"/>
  <c r="CC21" i="15" s="1"/>
  <c r="BU16" i="15"/>
  <c r="BM16" i="15"/>
  <c r="AP16" i="15"/>
  <c r="AQ16" i="15" s="1"/>
  <c r="CC15" i="15"/>
  <c r="BU15" i="15"/>
  <c r="BM15" i="15"/>
  <c r="AP15" i="15"/>
  <c r="AQ15" i="15" s="1"/>
  <c r="BJ13" i="15"/>
  <c r="BI13" i="15"/>
  <c r="BH13" i="15"/>
  <c r="BG13" i="15"/>
  <c r="BF13" i="15"/>
  <c r="BE13" i="15"/>
  <c r="BD13" i="15"/>
  <c r="BC13" i="15"/>
  <c r="BB13" i="15"/>
  <c r="BA13" i="15"/>
  <c r="AZ13" i="15"/>
  <c r="AI13" i="15"/>
  <c r="BJ12" i="15"/>
  <c r="BI12" i="15"/>
  <c r="BH12" i="15"/>
  <c r="BG12" i="15"/>
  <c r="BF12" i="15"/>
  <c r="BE12" i="15"/>
  <c r="BC12" i="15"/>
  <c r="BB12" i="15"/>
  <c r="BA12" i="15"/>
  <c r="AY12" i="15"/>
  <c r="CC11" i="15"/>
  <c r="CC13" i="15" s="1"/>
  <c r="BU11" i="15"/>
  <c r="BU13" i="15" s="1"/>
  <c r="BM11" i="15"/>
  <c r="AQ11" i="15"/>
  <c r="AQ13" i="15" s="1"/>
  <c r="AI11" i="15"/>
  <c r="AA11" i="15"/>
  <c r="AA13" i="15" s="1"/>
  <c r="CG10" i="15"/>
  <c r="BY10" i="15"/>
  <c r="BQ10" i="15"/>
  <c r="AU10" i="15"/>
  <c r="AU13" i="15" s="1"/>
  <c r="CG9" i="15"/>
  <c r="BY9" i="15"/>
  <c r="BQ9" i="15"/>
  <c r="BD9" i="15"/>
  <c r="BD12" i="15" s="1"/>
  <c r="AZ9" i="15"/>
  <c r="AZ12" i="15" s="1"/>
  <c r="AU9" i="15"/>
  <c r="AM9" i="15"/>
  <c r="AM13" i="15" s="1"/>
  <c r="AE9" i="15"/>
  <c r="AE13" i="15" s="1"/>
  <c r="BM8" i="15"/>
  <c r="BQ13" i="15" l="1"/>
  <c r="BY13" i="15"/>
  <c r="CG13" i="15"/>
  <c r="BM13" i="15"/>
  <c r="BR13" i="6"/>
  <c r="BN13" i="6" s="1"/>
  <c r="BF13" i="6"/>
  <c r="BO12" i="6"/>
  <c r="BG12" i="6"/>
  <c r="AY12" i="6"/>
  <c r="BO11" i="6"/>
  <c r="BG11" i="6"/>
  <c r="AY11" i="6"/>
  <c r="BS9" i="6"/>
  <c r="BK9" i="6"/>
  <c r="BC9" i="6"/>
  <c r="BS8" i="6"/>
  <c r="BK8" i="6"/>
  <c r="BC8" i="6"/>
  <c r="BS7" i="6"/>
  <c r="BS10" i="6" s="1"/>
  <c r="BK7" i="6"/>
  <c r="BK10" i="6" s="1"/>
  <c r="BC7" i="6"/>
  <c r="BC10" i="6" s="1"/>
  <c r="AY17" i="2" l="1"/>
  <c r="BO16" i="2"/>
  <c r="BO7" i="2"/>
  <c r="BC7" i="2"/>
  <c r="BO23" i="3" l="1"/>
  <c r="BG23" i="3"/>
  <c r="BS10" i="3"/>
  <c r="BK10" i="3"/>
  <c r="BC10" i="3"/>
  <c r="BS9" i="3"/>
  <c r="BO9" i="3"/>
  <c r="BK9" i="3"/>
  <c r="BG9" i="3"/>
  <c r="BC9" i="3"/>
  <c r="AY9" i="3"/>
  <c r="BS8" i="3"/>
  <c r="BK8" i="3"/>
  <c r="BC8" i="3"/>
  <c r="BS7" i="3"/>
  <c r="BO7" i="3"/>
  <c r="BK7" i="3"/>
  <c r="BG7" i="3"/>
  <c r="BC7" i="3"/>
  <c r="AY7" i="3"/>
  <c r="H31" i="13" l="1"/>
  <c r="G31" i="13"/>
  <c r="F31" i="13"/>
  <c r="E31" i="13"/>
  <c r="D31" i="13"/>
  <c r="C31" i="13"/>
  <c r="H28" i="13"/>
  <c r="G28" i="13"/>
  <c r="G32" i="13" s="1"/>
  <c r="F28" i="13"/>
  <c r="E28" i="13"/>
  <c r="D28" i="13"/>
  <c r="C28" i="13"/>
  <c r="C32" i="13" s="1"/>
  <c r="H17" i="13"/>
  <c r="G17" i="13"/>
  <c r="F17" i="13"/>
  <c r="E17" i="13"/>
  <c r="D17" i="13"/>
  <c r="C17" i="13"/>
  <c r="F14" i="13"/>
  <c r="E14" i="13"/>
  <c r="D14" i="13"/>
  <c r="C14" i="13"/>
  <c r="E32" i="13" l="1"/>
  <c r="H32" i="13"/>
  <c r="F32" i="13"/>
  <c r="D32" i="13"/>
  <c r="AA19" i="2" l="1"/>
  <c r="AT14" i="6" l="1"/>
  <c r="BB14" i="6" s="1"/>
  <c r="BC14" i="6" s="1"/>
  <c r="AS14" i="6"/>
  <c r="BA14" i="6" s="1"/>
  <c r="BI14" i="6" s="1"/>
  <c r="AM14" i="6"/>
  <c r="AL13" i="6"/>
  <c r="AT13" i="6" s="1"/>
  <c r="BB13" i="6" s="1"/>
  <c r="AK13" i="6"/>
  <c r="AS13" i="6" s="1"/>
  <c r="BA13" i="6" s="1"/>
  <c r="AE13" i="6"/>
  <c r="AE16" i="6" s="1"/>
  <c r="Z13" i="6"/>
  <c r="Y13" i="6"/>
  <c r="AA13" i="6" s="1"/>
  <c r="AQ12" i="6"/>
  <c r="AI12" i="6"/>
  <c r="AA12" i="6"/>
  <c r="AQ11" i="6"/>
  <c r="AI11" i="6"/>
  <c r="AA11" i="6"/>
  <c r="AU9" i="6"/>
  <c r="AM9" i="6"/>
  <c r="AE9" i="6"/>
  <c r="AU8" i="6"/>
  <c r="AM8" i="6"/>
  <c r="AU7" i="6"/>
  <c r="AU10" i="6" s="1"/>
  <c r="AM7" i="6"/>
  <c r="AM10" i="6" s="1"/>
  <c r="AE7" i="6"/>
  <c r="Z7" i="6"/>
  <c r="Y7" i="6"/>
  <c r="AG7" i="6" s="1"/>
  <c r="AX13" i="6" l="1"/>
  <c r="BI13" i="6"/>
  <c r="BC13" i="6"/>
  <c r="BC16" i="6" s="1"/>
  <c r="AW13" i="6"/>
  <c r="AY13" i="6" s="1"/>
  <c r="AY16" i="6" s="1"/>
  <c r="AE10" i="6"/>
  <c r="BK14" i="6"/>
  <c r="BQ14" i="6"/>
  <c r="BS14" i="6" s="1"/>
  <c r="AA16" i="6"/>
  <c r="AP13" i="6"/>
  <c r="AU14" i="6"/>
  <c r="AG13" i="6"/>
  <c r="AI7" i="6"/>
  <c r="AI10" i="6" s="1"/>
  <c r="AO7" i="6"/>
  <c r="AU13" i="6"/>
  <c r="AU16" i="6" s="1"/>
  <c r="AO13" i="6"/>
  <c r="AA7" i="6"/>
  <c r="AA10" i="6" s="1"/>
  <c r="AH13" i="6"/>
  <c r="AM13" i="6"/>
  <c r="AM16" i="6" s="1"/>
  <c r="BQ13" i="6" l="1"/>
  <c r="BK13" i="6"/>
  <c r="BK16" i="6" s="1"/>
  <c r="BE13" i="6"/>
  <c r="BG13" i="6" s="1"/>
  <c r="BG16" i="6" s="1"/>
  <c r="AQ7" i="6"/>
  <c r="AQ10" i="6" s="1"/>
  <c r="AW7" i="6"/>
  <c r="AQ13" i="6"/>
  <c r="AQ16" i="6" s="1"/>
  <c r="AI13" i="6"/>
  <c r="AI16" i="6" s="1"/>
  <c r="BE7" i="6" l="1"/>
  <c r="AY7" i="6"/>
  <c r="AY10" i="6" s="1"/>
  <c r="BS13" i="6"/>
  <c r="BS16" i="6" s="1"/>
  <c r="BM13" i="6"/>
  <c r="BO13" i="6" s="1"/>
  <c r="BO16" i="6" s="1"/>
  <c r="BM7" i="6" l="1"/>
  <c r="BO7" i="6" s="1"/>
  <c r="BO10" i="6" s="1"/>
  <c r="BG7" i="6"/>
  <c r="BG10" i="6" s="1"/>
  <c r="AE20" i="3"/>
  <c r="AI19" i="3"/>
  <c r="AA19" i="3"/>
  <c r="AU10" i="3"/>
  <c r="AM10" i="3"/>
  <c r="AE10" i="3"/>
  <c r="AU9" i="3"/>
  <c r="AQ9" i="3"/>
  <c r="AM9" i="3"/>
  <c r="AI9" i="3"/>
  <c r="AE9" i="3"/>
  <c r="AA9" i="3"/>
  <c r="AU8" i="3"/>
  <c r="AM8" i="3"/>
  <c r="AE8" i="3"/>
  <c r="AU7" i="3"/>
  <c r="AQ7" i="3"/>
  <c r="AM7" i="3"/>
  <c r="AI7" i="3"/>
  <c r="AE7" i="3"/>
  <c r="AA7" i="3"/>
  <c r="AU19" i="2"/>
  <c r="AM19" i="2"/>
  <c r="AE19" i="2"/>
  <c r="AI16" i="2"/>
  <c r="AI13" i="2"/>
  <c r="AQ7" i="2"/>
  <c r="AQ19" i="2" s="1"/>
  <c r="AI7" i="2"/>
  <c r="AI19" i="2" l="1"/>
  <c r="AO75" i="1"/>
  <c r="AQ75" i="1" s="1"/>
  <c r="Z75" i="1"/>
  <c r="Y75" i="1"/>
  <c r="AA75" i="1" s="1"/>
  <c r="AO74" i="1"/>
  <c r="AQ74" i="1" s="1"/>
  <c r="Z74" i="1"/>
  <c r="Y74" i="1"/>
  <c r="AA74" i="1" s="1"/>
  <c r="AP72" i="1"/>
  <c r="AQ72" i="1" s="1"/>
  <c r="Z72" i="1"/>
  <c r="Y72" i="1"/>
  <c r="AP71" i="1"/>
  <c r="AQ71" i="1" s="1"/>
  <c r="AA71" i="1"/>
  <c r="Z71" i="1"/>
  <c r="Y71" i="1"/>
  <c r="AP70" i="1"/>
  <c r="AQ70" i="1" s="1"/>
  <c r="Z70" i="1"/>
  <c r="AA70" i="1" s="1"/>
  <c r="AP69" i="1"/>
  <c r="AQ69" i="1" s="1"/>
  <c r="Z69" i="1"/>
  <c r="AA69" i="1" s="1"/>
  <c r="AP68" i="1"/>
  <c r="AQ68" i="1" s="1"/>
  <c r="Z68" i="1"/>
  <c r="Y68" i="1"/>
  <c r="AP67" i="1"/>
  <c r="AQ67" i="1" s="1"/>
  <c r="Z67" i="1"/>
  <c r="Y67" i="1"/>
  <c r="AA67" i="1" s="1"/>
  <c r="AP65" i="1"/>
  <c r="AQ65" i="1" s="1"/>
  <c r="Z65" i="1"/>
  <c r="AA65" i="1" s="1"/>
  <c r="AP64" i="1"/>
  <c r="AQ64" i="1" s="1"/>
  <c r="Z64" i="1"/>
  <c r="AA64" i="1" s="1"/>
  <c r="AP63" i="1"/>
  <c r="AQ63" i="1" s="1"/>
  <c r="Z63" i="1"/>
  <c r="AA63" i="1" s="1"/>
  <c r="AP62" i="1"/>
  <c r="AQ62" i="1" s="1"/>
  <c r="Z62" i="1"/>
  <c r="AA62" i="1" s="1"/>
  <c r="AP60" i="1"/>
  <c r="AQ60" i="1" s="1"/>
  <c r="Z60" i="1"/>
  <c r="AA60" i="1" s="1"/>
  <c r="AP59" i="1"/>
  <c r="AO59" i="1"/>
  <c r="AQ59" i="1" s="1"/>
  <c r="Z59" i="1"/>
  <c r="Y59" i="1"/>
  <c r="AT58" i="1"/>
  <c r="AU58" i="1" s="1"/>
  <c r="AU61" i="1" s="1"/>
  <c r="AP58" i="1"/>
  <c r="AQ58" i="1" s="1"/>
  <c r="AD58" i="1"/>
  <c r="AE58" i="1" s="1"/>
  <c r="AE61" i="1" s="1"/>
  <c r="Z58" i="1"/>
  <c r="AA58" i="1" s="1"/>
  <c r="AP56" i="1"/>
  <c r="AQ56" i="1" s="1"/>
  <c r="AA56" i="1"/>
  <c r="Z56" i="1"/>
  <c r="AP55" i="1"/>
  <c r="AO55" i="1"/>
  <c r="Z55" i="1"/>
  <c r="Y55" i="1"/>
  <c r="AP54" i="1"/>
  <c r="AO54" i="1"/>
  <c r="AQ54" i="1" s="1"/>
  <c r="Z54" i="1"/>
  <c r="AA54" i="1" s="1"/>
  <c r="AT52" i="1"/>
  <c r="AU52" i="1" s="1"/>
  <c r="AD52" i="1"/>
  <c r="AE52" i="1" s="1"/>
  <c r="AT51" i="1"/>
  <c r="AU51" i="1" s="1"/>
  <c r="AD51" i="1"/>
  <c r="AE51" i="1" s="1"/>
  <c r="AT50" i="1"/>
  <c r="AU50" i="1" s="1"/>
  <c r="AP50" i="1"/>
  <c r="AQ50" i="1" s="1"/>
  <c r="AD50" i="1"/>
  <c r="AE50" i="1" s="1"/>
  <c r="Z50" i="1"/>
  <c r="AA50" i="1" s="1"/>
  <c r="AT49" i="1"/>
  <c r="AS49" i="1"/>
  <c r="AD49" i="1"/>
  <c r="AC49" i="1"/>
  <c r="AE49" i="1" s="1"/>
  <c r="AT48" i="1"/>
  <c r="AS48" i="1"/>
  <c r="AU48" i="1" s="1"/>
  <c r="AP48" i="1"/>
  <c r="AQ48" i="1" s="1"/>
  <c r="AO48" i="1"/>
  <c r="AD48" i="1"/>
  <c r="AC48" i="1"/>
  <c r="Z48" i="1"/>
  <c r="Y48" i="1"/>
  <c r="AT47" i="1"/>
  <c r="AU47" i="1" s="1"/>
  <c r="AD47" i="1"/>
  <c r="AE47" i="1" s="1"/>
  <c r="AT46" i="1"/>
  <c r="AU46" i="1" s="1"/>
  <c r="AP46" i="1"/>
  <c r="AQ46" i="1" s="1"/>
  <c r="AD46" i="1"/>
  <c r="AE46" i="1" s="1"/>
  <c r="Z46" i="1"/>
  <c r="AA46" i="1" s="1"/>
  <c r="AT44" i="1"/>
  <c r="AU44" i="1" s="1"/>
  <c r="AD44" i="1"/>
  <c r="AE44" i="1" s="1"/>
  <c r="AT43" i="1"/>
  <c r="AU43" i="1" s="1"/>
  <c r="AD43" i="1"/>
  <c r="AE43" i="1" s="1"/>
  <c r="AT42" i="1"/>
  <c r="AU42" i="1" s="1"/>
  <c r="AP42" i="1"/>
  <c r="AQ42" i="1" s="1"/>
  <c r="AD42" i="1"/>
  <c r="AE42" i="1" s="1"/>
  <c r="Z42" i="1"/>
  <c r="AA42" i="1" s="1"/>
  <c r="AT41" i="1"/>
  <c r="AS41" i="1"/>
  <c r="AD41" i="1"/>
  <c r="AC41" i="1"/>
  <c r="AT40" i="1"/>
  <c r="AS40" i="1"/>
  <c r="AP40" i="1"/>
  <c r="AO40" i="1"/>
  <c r="AQ40" i="1" s="1"/>
  <c r="AD40" i="1"/>
  <c r="AE40" i="1" s="1"/>
  <c r="Z40" i="1"/>
  <c r="Y40" i="1"/>
  <c r="AT39" i="1"/>
  <c r="AU39" i="1" s="1"/>
  <c r="AE39" i="1"/>
  <c r="AD39" i="1"/>
  <c r="AT38" i="1"/>
  <c r="AU38" i="1" s="1"/>
  <c r="AP38" i="1"/>
  <c r="AQ38" i="1" s="1"/>
  <c r="AQ45" i="1" s="1"/>
  <c r="AD38" i="1"/>
  <c r="AE38" i="1" s="1"/>
  <c r="Z38" i="1"/>
  <c r="AA38" i="1" s="1"/>
  <c r="AT36" i="1"/>
  <c r="AU36" i="1" s="1"/>
  <c r="AE36" i="1"/>
  <c r="AD36" i="1"/>
  <c r="AT35" i="1"/>
  <c r="AU35" i="1" s="1"/>
  <c r="AD35" i="1"/>
  <c r="AE35" i="1" s="1"/>
  <c r="AT34" i="1"/>
  <c r="AU34" i="1" s="1"/>
  <c r="AP34" i="1"/>
  <c r="AQ34" i="1" s="1"/>
  <c r="AD34" i="1"/>
  <c r="AE34" i="1" s="1"/>
  <c r="Z34" i="1"/>
  <c r="AA34" i="1" s="1"/>
  <c r="AT33" i="1"/>
  <c r="AS33" i="1"/>
  <c r="AD33" i="1"/>
  <c r="AC33" i="1"/>
  <c r="AE33" i="1" s="1"/>
  <c r="AU32" i="1"/>
  <c r="AT32" i="1"/>
  <c r="AS32" i="1"/>
  <c r="AP32" i="1"/>
  <c r="AO32" i="1"/>
  <c r="AQ32" i="1" s="1"/>
  <c r="AD32" i="1"/>
  <c r="AE32" i="1" s="1"/>
  <c r="Z32" i="1"/>
  <c r="Y32" i="1"/>
  <c r="AA32" i="1" s="1"/>
  <c r="AT31" i="1"/>
  <c r="AU31" i="1" s="1"/>
  <c r="AD31" i="1"/>
  <c r="AE31" i="1" s="1"/>
  <c r="AT30" i="1"/>
  <c r="AU30" i="1" s="1"/>
  <c r="AP30" i="1"/>
  <c r="AQ30" i="1" s="1"/>
  <c r="AD30" i="1"/>
  <c r="AE30" i="1" s="1"/>
  <c r="Z30" i="1"/>
  <c r="AA30" i="1" s="1"/>
  <c r="AT28" i="1"/>
  <c r="AU28" i="1" s="1"/>
  <c r="AD28" i="1"/>
  <c r="AE28" i="1" s="1"/>
  <c r="AT27" i="1"/>
  <c r="AU27" i="1" s="1"/>
  <c r="AD27" i="1"/>
  <c r="AE27" i="1" s="1"/>
  <c r="AT26" i="1"/>
  <c r="AU26" i="1" s="1"/>
  <c r="AP26" i="1"/>
  <c r="AQ26" i="1" s="1"/>
  <c r="AD26" i="1"/>
  <c r="AE26" i="1" s="1"/>
  <c r="Z26" i="1"/>
  <c r="AA26" i="1" s="1"/>
  <c r="AT25" i="1"/>
  <c r="AS25" i="1"/>
  <c r="AD25" i="1"/>
  <c r="AC25" i="1"/>
  <c r="AT24" i="1"/>
  <c r="AS24" i="1"/>
  <c r="AU24" i="1" s="1"/>
  <c r="AP24" i="1"/>
  <c r="AO24" i="1"/>
  <c r="AD24" i="1"/>
  <c r="AC24" i="1"/>
  <c r="Z24" i="1"/>
  <c r="Y24" i="1"/>
  <c r="AT23" i="1"/>
  <c r="AU23" i="1" s="1"/>
  <c r="AD23" i="1"/>
  <c r="AE23" i="1" s="1"/>
  <c r="AT22" i="1"/>
  <c r="AU22" i="1" s="1"/>
  <c r="AP22" i="1"/>
  <c r="AQ22" i="1" s="1"/>
  <c r="AD22" i="1"/>
  <c r="AE22" i="1" s="1"/>
  <c r="Z22" i="1"/>
  <c r="AA22" i="1" s="1"/>
  <c r="AT20" i="1"/>
  <c r="AU20" i="1" s="1"/>
  <c r="AD20" i="1"/>
  <c r="AE20" i="1" s="1"/>
  <c r="AT19" i="1"/>
  <c r="AU19" i="1" s="1"/>
  <c r="AD19" i="1"/>
  <c r="AE19" i="1" s="1"/>
  <c r="AT18" i="1"/>
  <c r="AU18" i="1" s="1"/>
  <c r="AP18" i="1"/>
  <c r="AQ18" i="1" s="1"/>
  <c r="AD18" i="1"/>
  <c r="AE18" i="1" s="1"/>
  <c r="Z18" i="1"/>
  <c r="AA18" i="1" s="1"/>
  <c r="AT17" i="1"/>
  <c r="AS17" i="1"/>
  <c r="AD17" i="1"/>
  <c r="AC17" i="1"/>
  <c r="AE17" i="1" s="1"/>
  <c r="AT16" i="1"/>
  <c r="AU16" i="1" s="1"/>
  <c r="AS16" i="1"/>
  <c r="AP16" i="1"/>
  <c r="AO16" i="1"/>
  <c r="AD16" i="1"/>
  <c r="AC16" i="1"/>
  <c r="Z16" i="1"/>
  <c r="Y16" i="1"/>
  <c r="AA16" i="1" s="1"/>
  <c r="AT15" i="1"/>
  <c r="AU15" i="1" s="1"/>
  <c r="AD15" i="1"/>
  <c r="AE15" i="1" s="1"/>
  <c r="AT14" i="1"/>
  <c r="AU14" i="1" s="1"/>
  <c r="AP14" i="1"/>
  <c r="AQ14" i="1" s="1"/>
  <c r="AD14" i="1"/>
  <c r="AE14" i="1" s="1"/>
  <c r="Z14" i="1"/>
  <c r="AA14" i="1" s="1"/>
  <c r="AT12" i="1"/>
  <c r="AS12" i="1"/>
  <c r="AD12" i="1"/>
  <c r="AC12" i="1"/>
  <c r="AT11" i="1"/>
  <c r="AS11" i="1"/>
  <c r="AU11" i="1" s="1"/>
  <c r="AD11" i="1"/>
  <c r="AC11" i="1"/>
  <c r="AT10" i="1"/>
  <c r="AS10" i="1"/>
  <c r="AP10" i="1"/>
  <c r="AO10" i="1"/>
  <c r="AD10" i="1"/>
  <c r="AC10" i="1"/>
  <c r="AE10" i="1" s="1"/>
  <c r="Z10" i="1"/>
  <c r="Y10" i="1"/>
  <c r="AP9" i="1"/>
  <c r="AO9" i="1"/>
  <c r="Z9" i="1"/>
  <c r="Y9" i="1"/>
  <c r="AT8" i="1"/>
  <c r="AU8" i="1" s="1"/>
  <c r="AD8" i="1"/>
  <c r="AE8" i="1" s="1"/>
  <c r="AT7" i="1"/>
  <c r="AU7" i="1" s="1"/>
  <c r="AP7" i="1"/>
  <c r="AQ7" i="1" s="1"/>
  <c r="AD7" i="1"/>
  <c r="AE7" i="1" s="1"/>
  <c r="Z7" i="1"/>
  <c r="AA7" i="1" s="1"/>
  <c r="AQ61" i="1" l="1"/>
  <c r="AQ66" i="1"/>
  <c r="AE24" i="1"/>
  <c r="AU25" i="1"/>
  <c r="AE41" i="1"/>
  <c r="AQ55" i="1"/>
  <c r="AA9" i="1"/>
  <c r="AA10" i="1"/>
  <c r="AQ10" i="1"/>
  <c r="AE11" i="1"/>
  <c r="AE13" i="1" s="1"/>
  <c r="AE12" i="1"/>
  <c r="AE16" i="1"/>
  <c r="AU17" i="1"/>
  <c r="AA24" i="1"/>
  <c r="AA29" i="1" s="1"/>
  <c r="AQ24" i="1"/>
  <c r="AU33" i="1"/>
  <c r="AU41" i="1"/>
  <c r="AU45" i="1" s="1"/>
  <c r="AA48" i="1"/>
  <c r="AA53" i="1" s="1"/>
  <c r="AA68" i="1"/>
  <c r="AA72" i="1"/>
  <c r="AU10" i="1"/>
  <c r="AU49" i="1"/>
  <c r="AU53" i="1" s="1"/>
  <c r="AA37" i="1"/>
  <c r="AQ73" i="1"/>
  <c r="AQ16" i="1"/>
  <c r="AE25" i="1"/>
  <c r="AQ37" i="1"/>
  <c r="AA76" i="1"/>
  <c r="AQ9" i="1"/>
  <c r="AE48" i="1"/>
  <c r="AE53" i="1" s="1"/>
  <c r="AU40" i="1"/>
  <c r="AE37" i="1"/>
  <c r="AA61" i="1"/>
  <c r="AQ76" i="1"/>
  <c r="AU12" i="1"/>
  <c r="AU13" i="1" s="1"/>
  <c r="AQ57" i="1"/>
  <c r="AA21" i="1"/>
  <c r="AA40" i="1"/>
  <c r="AA59" i="1"/>
  <c r="AA55" i="1"/>
  <c r="AA57" i="1" s="1"/>
  <c r="AA45" i="1"/>
  <c r="AA13" i="1"/>
  <c r="AE21" i="1"/>
  <c r="AE29" i="1"/>
  <c r="AA66" i="1"/>
  <c r="AA73" i="1"/>
  <c r="AQ13" i="1"/>
  <c r="AQ21" i="1"/>
  <c r="AQ29" i="1"/>
  <c r="AU37" i="1"/>
  <c r="AQ53" i="1"/>
  <c r="AE45" i="1"/>
  <c r="AU21" i="1"/>
  <c r="AU29" i="1"/>
  <c r="AA79" i="1" l="1"/>
  <c r="AE79" i="1"/>
  <c r="AQ79" i="1"/>
  <c r="AU79" i="1"/>
</calcChain>
</file>

<file path=xl/sharedStrings.xml><?xml version="1.0" encoding="utf-8"?>
<sst xmlns="http://schemas.openxmlformats.org/spreadsheetml/2006/main" count="5253" uniqueCount="1472">
  <si>
    <t>FORMULACIÓN Y SEGUIMIENTO DEL PLAN DE ACCIÓN INSTITUCIONAL 2020</t>
  </si>
  <si>
    <t>Fecha:</t>
  </si>
  <si>
    <t>Versión:</t>
  </si>
  <si>
    <t>Código:</t>
  </si>
  <si>
    <t>PE-F-1</t>
  </si>
  <si>
    <t>ARTICULACIÓN</t>
  </si>
  <si>
    <t>INDICADOR DE PRODUCTO</t>
  </si>
  <si>
    <t>INDICADOR DE GESTIÓN</t>
  </si>
  <si>
    <t>RECURSOS</t>
  </si>
  <si>
    <t>RESPONSABLE</t>
  </si>
  <si>
    <t>REPORTE AVANCE MENSUAL ENERO</t>
  </si>
  <si>
    <t>REPORTE AVANCE MENSUAL FEBRERO</t>
  </si>
  <si>
    <t>REPORTE AVANCE MENSUAL MARZO</t>
  </si>
  <si>
    <t>PLAN NACIONAL DE DESARROLLO - PND</t>
  </si>
  <si>
    <t>PLAN ESTRATÉGICO INSTITUCIONAL</t>
  </si>
  <si>
    <t>MODELO INTEGRADO DE PLANEACIÓN Y GESTIÓN - MIPG</t>
  </si>
  <si>
    <t>SISTEMA DE GESTION DE LA  CALIDAD</t>
  </si>
  <si>
    <t>DEPENDENCIA</t>
  </si>
  <si>
    <t>GRUPO</t>
  </si>
  <si>
    <t>Avance indicador de producto</t>
  </si>
  <si>
    <t>Avance indicador de gestión</t>
  </si>
  <si>
    <t>Nombre/Periodo PND</t>
  </si>
  <si>
    <t>Capitulo</t>
  </si>
  <si>
    <t>Objetivo del Capítulo</t>
  </si>
  <si>
    <t>Línea Estratégica</t>
  </si>
  <si>
    <t>Dimensión</t>
  </si>
  <si>
    <t>Política MIPG</t>
  </si>
  <si>
    <t>Macroproceso</t>
  </si>
  <si>
    <t>Proceso</t>
  </si>
  <si>
    <t>Subproceso</t>
  </si>
  <si>
    <t>FÓRMULA INDICADOR DE PRODUCTO</t>
  </si>
  <si>
    <t>UNIDAD DE MEDIDA</t>
  </si>
  <si>
    <t>LÍNEA BASE</t>
  </si>
  <si>
    <t>META DE PRODUCTO</t>
  </si>
  <si>
    <t>FÓRMULA INDICADOR DE GESTIÓN</t>
  </si>
  <si>
    <t>META DE GESTIÓN</t>
  </si>
  <si>
    <t>POR GRUPO</t>
  </si>
  <si>
    <t>POR DEPENDENCIA</t>
  </si>
  <si>
    <t>Responsable</t>
  </si>
  <si>
    <t>Avance mes</t>
  </si>
  <si>
    <t xml:space="preserve">Meta </t>
  </si>
  <si>
    <t>Porcentaje de avance</t>
  </si>
  <si>
    <t>Avance cualitativo</t>
  </si>
  <si>
    <t>Pacto por Colombia Pacto por la equidad</t>
  </si>
  <si>
    <t>IV. Pacto por la sostenibilidad: producir conservando y conservar produciendo</t>
  </si>
  <si>
    <t>Instituciones ambientales modernas, apropiación social de la biodiversidad y manejo efectivo de los conflictos socioambientales</t>
  </si>
  <si>
    <t>Contribuir al desarrollo sostenible ambiental a partir de un efectivo proceso de evaluación y seguimiento.</t>
  </si>
  <si>
    <t>Gestión con valores para resultados</t>
  </si>
  <si>
    <t>Seguimiento y evaluación del desempeño institucional</t>
  </si>
  <si>
    <t>Misional</t>
  </si>
  <si>
    <t>Gestión y licenciamiento ambiental</t>
  </si>
  <si>
    <t>Evaluación</t>
  </si>
  <si>
    <t>SES</t>
  </si>
  <si>
    <t>Subdirección de Evaluación y Seguimiento</t>
  </si>
  <si>
    <t>Actos administrativos expedidos para resolver las solicitudes de evaluación de licenciamiento ambiental</t>
  </si>
  <si>
    <t># de actos administrativos que resuelven solicitudes de evaluación de licenciamiento ambiental</t>
  </si>
  <si>
    <t>Número</t>
  </si>
  <si>
    <t>Visitas técnicas de evaluación de solicitudes de licenciamiento ambiental</t>
  </si>
  <si>
    <t># de visitas técnicas realizadas para el proceso de evaluación de licencias ambientales</t>
  </si>
  <si>
    <t>JOSEFINA HELENA SANCHEZ CUERVO [Subdirector(a) de Evaluación y Seguimiento]</t>
  </si>
  <si>
    <t xml:space="preserve">A corte 31 de enero de 2020 se han expedido 41 actos administrativos para resolver las solicitudes de evaluación de licencias ambientales </t>
  </si>
  <si>
    <t>A corte 31 de enero de 2020 se han realizado 6 visitas tecnicas  para el proceso de evaluación de licencias ambientales</t>
  </si>
  <si>
    <t xml:space="preserve">A corte 29 de febrero de 2020 se han expedido 77 actos administrativos para resolver las solicitudes de evaluación de licencias ambientales </t>
  </si>
  <si>
    <t>A corte 29 de febrero de 2020 se han realizado 17 visitas tecnicas  para el proceso de evaluación de licencias ambientales</t>
  </si>
  <si>
    <t xml:space="preserve">A corte 31 de marzo de  2020 se han expedido 108 actos administrativos para resolver las solicitudes de evaluación de licencias ambientales </t>
  </si>
  <si>
    <t>A corte 31 de marzo de 2020 se han realizado 20 visitas tecnicas  para el proceso de evaluación de licencias ambientales</t>
  </si>
  <si>
    <t>Conceptos técnicos emitidos para resolver las solicitudes de evaluación de licenciamiento ambiental</t>
  </si>
  <si>
    <t># de conceptos técnicos realizados para resolver las solicitudes de evaluación de licenciamiento ambiental</t>
  </si>
  <si>
    <t>A corte 31 de enero de 2020 se han elaborado 24 conceptos técnicos para resolver las solicitudes de evaluación de licencias ambientales</t>
  </si>
  <si>
    <t>A corte 29 de febrero de 2020 se han elaborado 52 conceptos técnicos para resolver las solicitudes de evaluación de licencias ambientales</t>
  </si>
  <si>
    <t>A corte 31 de marzo de  2020 se han elaborado 77 conceptos técnicos para resolver las solicitudes de evaluación de licencias ambientales</t>
  </si>
  <si>
    <t>Evaluación y Resultados</t>
  </si>
  <si>
    <t>Solicitudes de evaluación a licencias ambientales (nuevas y modificaciones) resueltas dentro de los tiempos establecidos en la normatividad vigente</t>
  </si>
  <si>
    <t>(# de actos administrativos finalizados que resuelven solicitudes de evaluación a licencias ambientales dentro de téminos del decreto 1076 /# de solicitudes de licenciamiento ambiental a atender con vencimiento de términos) * 100</t>
  </si>
  <si>
    <t>Porcentaje</t>
  </si>
  <si>
    <t>A corte 31 de enero de 2002 la ANLA debía resolver 16 solicitudes de licenciamiento ambiental; (5) Nuevas, (11) Modificaciones, las cuales fueron resueltas  oportunamente.</t>
  </si>
  <si>
    <t>A corte 29 de  febrero de 2020  la ANLA debía resolver 28 solicitudes de licenciamiento ambiental;  (13) Nuevas, (15) Modificaciones las cuales se resolvieron oportunamente.</t>
  </si>
  <si>
    <t>A corte 31 de marzo de  2020  la ANLA debía resolver 39 solicitudes de licenciamiento ambiental;  (20) Nuevas, (19) Modificaciones las cuales se resolvieron oportunamente.</t>
  </si>
  <si>
    <t>Seguimiento</t>
  </si>
  <si>
    <t>Actos administrativos expedidos para resolver el seguimiento a proyectos licenciados.</t>
  </si>
  <si>
    <t># de actos administrativos que acogen el seguimiento realizado a los proyectos licenciados.</t>
  </si>
  <si>
    <t>Visitas técnicas de seguimiento a proyectos con licenciamiento ambiental</t>
  </si>
  <si>
    <t># de Visitas técnicas de seguimiento a proyectos con licenciamiento ambiental</t>
  </si>
  <si>
    <t>A corte 31 de enero de 2020 se han expedido 49 actos administrativos que acogen el seguimiento a proyectos licenciados, de los cuales 41 son de vigencias anteriores (rezago) y 8 de vigencia actual.</t>
  </si>
  <si>
    <t>A corte 31 de enero de 2020 se han realizado 87 visitas técnicas de seguimiento de licenciamiento ambiental</t>
  </si>
  <si>
    <t>A corte 29 de febrero de 2020 se han expedido 190 actos administrativos que acogen el seguimiento a proyectos licenciados, de los cuales 65 son de vigencias anteriores (rezago) y 125 de vigencia actual.</t>
  </si>
  <si>
    <t>A corte 29 de febrero de 2020 se han realizado 192 visitas técnicas de seguimiento de licenciamiento ambiental</t>
  </si>
  <si>
    <t>A corte 31 de marzo de 2020 se han expedido 340 actos administrativos que acogen el seguimiento a proyectos licenciados, de los cuales 77 son de vigencias anteriores (rezago) y 263 de vigencia actual.</t>
  </si>
  <si>
    <t>A corte 31 de marzo de 2020 se han realizado 274 visitas técnicas de seguimiento de licenciamiento ambiental</t>
  </si>
  <si>
    <t>Conceptos técnicos de seguimiento a licencias ambientales</t>
  </si>
  <si>
    <t># de Conceptos técnicos de seguimiento a licencias ambientales</t>
  </si>
  <si>
    <t>A corte 31 de enero de 2020 se han finalizado 65 Conceptos técnicos de seguimiento a  proyectos licenciados (5 con visita de vigencias anteriores y 60 documentales vigencia actual)</t>
  </si>
  <si>
    <t>A corte 29 de febrero de 2020 se han finalizado 224 Conceptos técnicos de seguimiento a  proyectos licenciados (57 CT con visita y  167 documentales )</t>
  </si>
  <si>
    <t>A corte 31 de marzo de 2020 se han finalizado 450 Conceptos técnicos de seguimiento a  proyectos licenciados (170 CT con visita y  280 documentales )</t>
  </si>
  <si>
    <t>Porcentaje de seguimientos de licenciamiento ambiental con oralidad</t>
  </si>
  <si>
    <t>Número de seguimientos finalizados con oralidad / Número total de seguimientos realizados de licenciamiento ambiental</t>
  </si>
  <si>
    <t>A corte 31 de enero de 2020 se han cuminado 8 seguimientos a  proyectos licenciados de vigencia actual,de los cuales ninguno se finalizò con oralidad</t>
  </si>
  <si>
    <t>A corte 29 de febrero de 2020 se han cuminado 21 seguimientos de vigencia actual, de los cuales 16 fueron finalizados con oralidad. Para este indicador no se incluyen los seguimientos realizados por el sector de  Agroquimicos debido al tipo de poryectos a los cuales se les realiza seguimiento (DTA, Plantas y  Zoocriaderos) y en su mayoria documentales.</t>
  </si>
  <si>
    <t>A corte 31 de marzo de 2020 se han cuminado 48 seguimientos de vigencia actual, de los cuales 27 fueron finalizados con oralidad. Para este indicador no se incluyen los seguimientos realizados por el sector de  Agroquimicos debido al tipo de poryectos a los cuales se les realiza seguimiento (DTA, Plantas y  Zoocriaderos) y en su mayoria documentales.</t>
  </si>
  <si>
    <t>Promedio de avance en metas de Producto</t>
  </si>
  <si>
    <t>Promedio de avance en metas de Gestión</t>
  </si>
  <si>
    <t>Hidrocarburos</t>
  </si>
  <si>
    <t>ANA KATHERINE ARTETA BARRAGAN [Coordinador(a)]</t>
  </si>
  <si>
    <t xml:space="preserve">A corte 31 de enero de 2020 el secto de hidrocarburos ha expedido 3 actos administrativos para resolver las solicitudes de evaluación de licencias ambientales </t>
  </si>
  <si>
    <t>A corte 31 de enero de 2020 se han realizado 3 visitas tecnicas  para el proceso de evaluación de licencias ambientales</t>
  </si>
  <si>
    <t xml:space="preserve">A corte 29 de febrero de 2020 el sector de hidrocarburos ha expedido 8 actos administrativos para resolver las solicitudes de evaluación de licencias ambientales </t>
  </si>
  <si>
    <t>A corte 29 de febrero de 2020 se han realizado 3 visitas tecnicas  para el proceso de evaluación de licencias ambientales</t>
  </si>
  <si>
    <t xml:space="preserve">A corte 31 de marzo de  2020 el sector de hidrocarburos ha expedido 11 actos administrativos para resolver las solicitudes de evaluación de licencias ambientales </t>
  </si>
  <si>
    <t>A corte 31 de marzo de  2020 se han realizado 3 visitas tecnicas  para el proceso de evaluación de licencias ambientales</t>
  </si>
  <si>
    <t>A corte 31 de enero de 2020 se han elaborado 4 conceptos técnicos para resolver las solicitudes de evaluación de licencias ambientales</t>
  </si>
  <si>
    <t>A corte 29 de febrero de 2020 se han elaborado 7 conceptos técnicos para resolver las solicitudes de evaluación de licencias ambientales</t>
  </si>
  <si>
    <t>A corte 31 de marzo de  2020 se han elaborado 9 conceptos técnicos para resolver las solicitudes de evaluación de licencias ambientales</t>
  </si>
  <si>
    <t>(Número de actos administrativos finalizados que resuelven solicitudes de evaluación a licencias ambientales dentro de téminos del decreto 1076 /Número de solicitudes de licenciamiento ambiental a atender con vencimiento de términos) * 100</t>
  </si>
  <si>
    <t>Visitas a solicitudes de evaluación (nuevas y modificaciones)efectuadas dentro de los tiempos establecidos en la normatividad vigente.</t>
  </si>
  <si>
    <t>(# de visitas de evaluación realizadas dentro de téminos del decreto 1076 /# de expedientes de evaluación que requieran visita con vencimiento de términos de la etapa) * 100</t>
  </si>
  <si>
    <t>A corte 31 de enero de 2020 el sector debía resolver 3 solicitudes de licenciamiento ambiental; (2) Nuevas, (1) Modificaciones y  las cuales fueron resueltas  oportunamente.</t>
  </si>
  <si>
    <t>A corte 31 de enero de 2020  el sector de hidrocarburos debia realizar 2 visitas tecnicas, las cuales se realizaron oportunamente.</t>
  </si>
  <si>
    <t>A corte 29 de febrero de 2020 el sector debía resolver 6 solicitudes de licenciamiento ambiental;  (3) Nuevas, (3) Modificaciones, las cuales fueron resueltas  oportunamente.</t>
  </si>
  <si>
    <t>A corte 29 de febrero de 2020 el sector de hidrocarburos debia realizar 3 visitas tecnicas, las cuales se realizaron oportunamente.</t>
  </si>
  <si>
    <t>A corte 31 de marzo de  2020 el sector debía resolver 9 solicitudes de licenciamiento ambiental;  (5) Nuevas, (4) Modificaciones, las cuales fueron resueltas  oportunamente.</t>
  </si>
  <si>
    <t>A corte 31 de marzo de  2020 el sector de hidrocarburos debia realizar 3 visitas tecnicas, las cuales se realizaron oportunamente.</t>
  </si>
  <si>
    <t>Conceptos Técnicos finalizados a solicitudes de evaluación (nuevas y modificaciones) dentro de los tiempos establecidos internamente</t>
  </si>
  <si>
    <t>(# de conceptos técnicos de evaluación finalizados dentro de téminos internos / # de expedientes de evaluación con vencimiento de términos de la etapa de finalización del concepto técnico) * 100</t>
  </si>
  <si>
    <t>A corte 31 de enero de 2020  el sector de hidrocarburos debia finalizar 3 conceptos tecnicos, los cuales finalizaron fuera de terminos.</t>
  </si>
  <si>
    <t>A corte 29 de febrero de 2020  el sector de hidrocarburos debia finalizar 6 conceptos tecnicos, los cuales finalizaron fuera de terminos.</t>
  </si>
  <si>
    <t>A corte 31 de marzo de  2020  el sector de hidrocarburos debia finalizar 9 conceptos tecnicos, los cuales finalizaron fuera de terminos.</t>
  </si>
  <si>
    <t>GISELA GUIJARRO CARDOZO [Coordinador(a)]</t>
  </si>
  <si>
    <t>A corte 31 de enero de 2020 se han expedido 25 actos administrativos que acogen el seguimiento a proyectos licenciados, los cuales corresponden a rezago vigencia 2019</t>
  </si>
  <si>
    <t>A corte 31 de enero de 2020 se realizaron 36 visitas de seguimiento a los proyectos licenciados por el sector de hidrocarburos</t>
  </si>
  <si>
    <t>A corte 29 de febrero de 2020 se han expedido 40 actos administrativos que acogen el seguimiento a proyectos licenciados, de los cuales 39  corresponden a rezago vigencia 2019 y 1 a vigencia actual.</t>
  </si>
  <si>
    <t>A corte 29 de febrero de 2020 se realizaron 93 visitas de seguimiento a los proyectos licenciados por el sector de hidrocarburos</t>
  </si>
  <si>
    <t>A corte 31 de marzo de 2020 se han expedido 66 actos administrativos que acogen el seguimiento a proyectos licenciados, de los cuales 50  corresponden a rezago vigencia 2019 y 16 a vigencia actual.</t>
  </si>
  <si>
    <t>A corte 31 de marzo de 2020 se realizaron 129 visitas de seguimiento a los proyectos licenciados por el sector de hidrocarburos</t>
  </si>
  <si>
    <t>Conceptos técnicos de seguimiento con visita realizado a proyectos programados en la vigencia actual</t>
  </si>
  <si>
    <t># de conceptos técnicos de seguimiento con visita aprobados en la vigencia actual</t>
  </si>
  <si>
    <t>A corte 31 de enero de 2020 el sector de hidrocarburos  ha expidido 2 CT de rezago con visita</t>
  </si>
  <si>
    <t>A corte 29 de febrero de 2020 el sector de hidrocarburos  ha expidido 17 CT con visita de los cuales 15 corresponden a vigencia actual y 2 a rezagos</t>
  </si>
  <si>
    <t>A corte 31 de marzo de 2020 el sector de hidrocarburos  ha expidido 74 CT con visita de los cuales 71 corresponden a vigencia actual y 3 a rezagos</t>
  </si>
  <si>
    <t>Conceptos técnicos de seguimiento documental de proyectos priorizados en la vigencia actual</t>
  </si>
  <si>
    <t># de conceptos técnicos de seguimiento documental aprobados en la vigencia actual</t>
  </si>
  <si>
    <t>A corte  31 de enero de 2020 el sector de hidrocarburos  ha expidido 2 CT documental vigencia actual</t>
  </si>
  <si>
    <t>A corte  29 de febrero de 2020 el sector de hidrocarburos  ha expidido 4 CT documental vigencia actual</t>
  </si>
  <si>
    <t>A corte  31 de marzo de 2020 el sector de hidrocarburos  ha expidido 6 CT documental vigencia actual</t>
  </si>
  <si>
    <t>Infraestructura</t>
  </si>
  <si>
    <t>DAVID GREGORIO FLOREZ OLAYA [Coordinador(a)]</t>
  </si>
  <si>
    <t xml:space="preserve">A corte 31 de enero de 2020 el sector de infraestructura ha expedido 2 actos administrativos para resolver las solicitudes de evaluación de licencias ambientales </t>
  </si>
  <si>
    <t>A corte 31 de enero de 2020 se han realizado 1 visita tecnica  para el proceso de evaluación de licencias ambientales</t>
  </si>
  <si>
    <t xml:space="preserve">A corte 29 de febrero de 2020 el sector de infraestructura ha expedido 4 actos administrativos para resolver las solicitudes de evaluación de licencias ambientales </t>
  </si>
  <si>
    <t>A corte 29 de febrero de 2020 se han realizado 7 visitas tecnicas  para el proceso de evaluación de licencias ambientales</t>
  </si>
  <si>
    <t xml:space="preserve">A corte 31 de marzo de  2020 el sector de infraestructura ha expedido 7 actos administrativos para resolver las solicitudes de evaluación de licencias ambientales </t>
  </si>
  <si>
    <t>A corte 31 de marzo de  2020 se han realizado 8 visitas tecnicas  para el proceso de evaluación de licencias ambientales</t>
  </si>
  <si>
    <t xml:space="preserve">A corte 31 de enero de 2020 el sector, no ha expedido CT </t>
  </si>
  <si>
    <t>A corte 29 de febrero de 2020 el sector ha elaborado 3  conceptos técnicos para resolver las solicitudes de evaluación de licencias ambientales</t>
  </si>
  <si>
    <t>A corte 31 de marzo de  2020 el sector ha elaborado 6  conceptos técnicos para resolver las solicitudes de evaluación de licencias ambientales</t>
  </si>
  <si>
    <t>A corte 31 de enero de 2020 el sector de infraestructura debía resolver 3 solicitudes de licenciamiento ambiental; (0) Nuevas, (3) Modificaciones, las cuales se resolvieron oportunamente.</t>
  </si>
  <si>
    <t>A corte 31 de enero de 2020  el sector de infraestructura debia realizar 1 visita tecnica, la cual se realizo oportunamente.</t>
  </si>
  <si>
    <t>A corte 29 de febrero de 2020 el sector de infraestructura debía resolver 6 solicitudes de licenciamiento ambiental;  (2) Nuevas, (4) Modificaciones, las cuales se resolvieron oportunamente.</t>
  </si>
  <si>
    <t>A corte 29 de febrero de 2020  el sector de infraestructura debia realizar 7 visitas tecnicas, las cuales se realizaron oportunamente.</t>
  </si>
  <si>
    <t>A corte 31 de marzo de  2020 el sector de infraestructura debía resolver 7 solicitudes de licenciamiento ambiental;  (2) Nuevas, (5) Modificaciones, las cuales se resolvieron oportunamente.</t>
  </si>
  <si>
    <t>A corte 31 de marzo de  2020 el sector de infraestructura debia realizar 8 visitas tecnicas, las cuales se realizaron oportunamente.</t>
  </si>
  <si>
    <t>A corte 31 de enero de 2020  el sector de infraestructura debia finalizar 1 concepto tecnico, el  cual se finalizo fuera de terminos.</t>
  </si>
  <si>
    <t>A corte 29 de febrero de 2020  el sector de infraestructura debia finalizar 4 conceptos tecnicos, de los  cuales finalizo 1 oportunamente</t>
  </si>
  <si>
    <t>A corte 31 de marzo de  2020 el sector de infraestructura debia finalizar 7 conceptos tecnicos, de los  cuales finalizo 1 oportunamente</t>
  </si>
  <si>
    <t>A corte 31 de enero de 2020 se han expedido 9 actos administrativos que acogen el seguimiento a proyectos licenciados, los cuales corresponden al rezago vigencia 2019</t>
  </si>
  <si>
    <t>A corte 31 de enero de 2020 se realizaron 29 visitas de seguimiento a los proyectos licenciados por el sector de infraestructura</t>
  </si>
  <si>
    <t>A corte 29 de febrero de 2020 se han expedido 27 actos administrativos que acogen el seguimiento a proyectos licenciados, de los cuales 15 corresponden a vigencia actual y 12 a rezagos vigencia 2019</t>
  </si>
  <si>
    <t>A corte 29 de febrero de 2020 se realizaron 41 visitas de seguimiento a los proyectos licenciados por el sector de infraestructura</t>
  </si>
  <si>
    <t>A corte 31 de marzo de 2020 se han expedido 35 actos administrativos que acogen el seguimiento a proyectos licenciados, de los cuales 22 corresponden a vigencia actual y 13 a rezagos vigencia 2019</t>
  </si>
  <si>
    <t>A corte 31 de marzo de 2020 se realizaron 65 visitas de seguimiento a los proyectos licenciados por el sector de infraestructura</t>
  </si>
  <si>
    <t>A corte 31 de enero de 2020 el sector ha expidido 1 CT con visita de rezago vigencia 2019</t>
  </si>
  <si>
    <t>A corte 29 de febrero de 2020 el sector ha expidido 17 CT con visita, de los cuales 16 corresponde a vigencia actual y 1 a rezago vigencia 2019</t>
  </si>
  <si>
    <t>A corte 31 de marzo de 2020 el sector ha expidido 44 CT con visita, de los cuales 41 corresponde a vigencia actual y 3 a rezagos vigencia 2019</t>
  </si>
  <si>
    <t>A corte 31 de enero de 2020 el sector ha expidido 1 CT documental</t>
  </si>
  <si>
    <t>A corte 29 de febrero de 2020 el sector ha expidido 6 CT documentales</t>
  </si>
  <si>
    <t>A corte 31 de marzo de 2020 el sector ha expidido 7 CT documentales</t>
  </si>
  <si>
    <t>Energía</t>
  </si>
  <si>
    <t>JOHNATAN RICARDO REYES YUNDA [Coordinador(a)]</t>
  </si>
  <si>
    <t xml:space="preserve">A corte 31 de enero de 2020 el sector de energia ha expedido 3 actos administrativos para resolver las solicitudes de evaluación de licencias ambientales </t>
  </si>
  <si>
    <t>A corte 31 de enero de 2020 el sector no ha realizado ninguna visita tecnica para el proceso de evaluación de licencias ambientales</t>
  </si>
  <si>
    <t xml:space="preserve">A corte 29 de febrero de 2020 el sector de energia ha expedido 7 actos administrativos para resolver las solicitudes de evaluación de licencias ambientales </t>
  </si>
  <si>
    <t>A corte 29 de febrero de 2020 el sector ha realizado 2 visitas tecnicas para el proceso de evaluación de licencias ambientales</t>
  </si>
  <si>
    <t xml:space="preserve">A corte 31 de marzo de  2020 el sector de energia ha expedido 9 actos administrativos para resolver las solicitudes de evaluación de licencias ambientales </t>
  </si>
  <si>
    <t>A corte 31 de marzo de  2020 el sector ha realizado 3 visitas tecnicas para el proceso de evaluación de licencias ambientales</t>
  </si>
  <si>
    <t>A corte 31 de enero de 2020 el sector, ha expedido 3 CT con visita</t>
  </si>
  <si>
    <t>A corte 29 de febrero de 2020 el sector, ha expedido 7 conceptos tecnicos para resolver las solicitudes de evaluación de licencias ambientales</t>
  </si>
  <si>
    <t>A corte 31 de marzo de  2020 el sector, ha expedido 8 conceptos tecnicos para resolver las solicitudes de evaluación de licencias ambientales</t>
  </si>
  <si>
    <t>A corte 31 de enero de 2020 el sector de energia debía resolver 3 solicitudes de licenciamiento ambiental; (0) Nuevas, (3) Modificaciones, las cuales se resolvieron oportunamente.</t>
  </si>
  <si>
    <t>A corte 31 de enero de 2020  el sector de energia no tenia visitas tecnicas de evaluacion con vencimiento de termnos.</t>
  </si>
  <si>
    <t>A corte 29 de febrero de 2020 el sector de energia debía resolver 5 solicitudes de licenciamiento ambiental;  (1) Nuevas, (4) Modificaciones, las cuales se resolvieron oportunamente.</t>
  </si>
  <si>
    <t>A corte 29 de febrero de 2020  el sector de energia tenia que realizar 1 visita tecnica de evaluacion, la cual se adelanto oportunamente.</t>
  </si>
  <si>
    <t>A corte 31 de marzo de  2020 el sector de energia debía resolver 7 solicitudes de licenciamiento ambiental;  (1) Nuevas, (6) Modificaciones, las cuales se resolvieron oportunamente.</t>
  </si>
  <si>
    <t>A corte 31 de marzo de 2020  el sector de energia tenia que realizar 2 visitas tecnicas de evaluacion, la cual se adelanto oportunamente.</t>
  </si>
  <si>
    <t>A corte 31 de enero de 2020  el sector de energia debia finalizar 6 conceptos tecnicos, y se finalizo 1 en terminos.</t>
  </si>
  <si>
    <t>A corte 29 de febrero de 2020  el sector de energia debia finalizar 7 conceptos tecnicos, y se finalizo 1 en terminos.</t>
  </si>
  <si>
    <t>A corte 31 de marzo de  2020  el sector de energia debia finalizar 7 conceptos tecnicos, y ninguno se finalizo en terminos.</t>
  </si>
  <si>
    <t>A corte 31 de enero de 2020 se han expedido 4 actos administrativos que acogen el seguimiento a proyectos licenciados, los cuales corresponden al rezago vigencia 2019</t>
  </si>
  <si>
    <t>A corte 31 de enero de 2020 se realizaron 8 visitas de seguimiento a los proyectos licenciados por el sector de energia</t>
  </si>
  <si>
    <t>A corte 29 de febrero de 2020 se han expedido 11 actos administrativos que acogen el seguimiento a proyectos licenciados, de los cuales 5 corresponden  a vigencia actual y 6 a rezago vigencia 2019</t>
  </si>
  <si>
    <t>A corte 29 de febrero de 2020 se realizaron 22 visitas de seguimiento a los proyectos licenciados por el sector de energia</t>
  </si>
  <si>
    <t>A corte 31 de marzo de 2020 se han expedido 15 actos administrativos que acogen el seguimiento a proyectos licenciados, de los cuales 9 corresponden  a vigencia actual y 6 a rezago vigencia 2019</t>
  </si>
  <si>
    <t>A corte 31 de marzo de 2020 se realizaron 30 visitas de seguimiento a los proyectos licenciados por el sector de energia</t>
  </si>
  <si>
    <t xml:space="preserve">A corte 31 de enero de 2020 el sector ha expidido 2 CT con visita correspondiente a rezago 2019   </t>
  </si>
  <si>
    <t xml:space="preserve">A corte 29 de febrero de 2020 el sector ha expidido 11 CT con visita, de los cuales 8 corresponden a vigencia actual y 3 a rezago 2019   </t>
  </si>
  <si>
    <t xml:space="preserve">A corte 31 de marzo de 2020 el sector ha expidido 24 CT con visita, de los cuales 21 corresponden a vigencia actual y 3 a rezago 2019   </t>
  </si>
  <si>
    <t>A corte 29 de febrero de 2020 el sector ha expidido 2 CT documentales</t>
  </si>
  <si>
    <t>A corte 31 de marzo de 2020 el sector ha expidido 4 CT documentales</t>
  </si>
  <si>
    <t>Minería</t>
  </si>
  <si>
    <t>GABRIEL EDUARDO LOPEZ ULLOA [Coordinador(a)]</t>
  </si>
  <si>
    <t xml:space="preserve">A corte 31 de enero de 2020 el sector de mineria ha expedido 3 actos administrativos para resolver las solicitudes de evaluación de licencias ambientales </t>
  </si>
  <si>
    <t xml:space="preserve">A corte 29 de febrero de 2020 el sector de mineria ha expedido 3 actos administrativos para resolver las solicitudes de evaluación de licencias ambientales </t>
  </si>
  <si>
    <t>A corte 29 de febrero de 2020 el sector ha realizado 3  visitas tecnicas para el proceso de evaluación de licencias ambientales</t>
  </si>
  <si>
    <t xml:space="preserve">A corte 31 de marzo de 2020 el sector de mineria ha expedido 6 actos administrativos para resolver las solicitudes de evaluación de licencias ambientales </t>
  </si>
  <si>
    <t>A corte 31 de marzo de 2020 el sector ha realizado 4  visitas tecnicas para el proceso de evaluación de licencias ambientales</t>
  </si>
  <si>
    <t>A corte 29 de febrero de 2020 el sector ha expedido 3 conceptos tecnicos para resolver las solicitudes de evaluación de licencias ambientales</t>
  </si>
  <si>
    <t>A corte 31 de marzo de 2020 el sector ha expedido 5 conceptos tecnicos para resolver las solicitudes de evaluación de licencias ambientales</t>
  </si>
  <si>
    <t>A corte 31 de enero de 2020 el sector de Mineria debía resolver 3 solicitudes de licenciamiento ambiental; (0) Nuevas, (3) Modificaciones, las cuales fueron resueltas oportunamente.</t>
  </si>
  <si>
    <t>A corte 29 de febrero de 2020 el sector de Mineria debía resolver 3 solicitudes de licenciamiento ambiental; (0) Nuevas, (3) Modificaciones, las cuales fueron resueltas oportunamente.</t>
  </si>
  <si>
    <t>A corte 29 de febrero de 2020  el sector de mineria tenia  que realizar 4 visitas tecnicas de evaluacion, de las cuales se realizaron 3 oportunamente.</t>
  </si>
  <si>
    <t>A corte 31 de marzo de 2020 el sector de Mineria debía resolver 5 solicitudes de licenciamiento ambiental; (2) Nuevas, (3) Modificaciones, las cuales fueron resueltas oportunamente.</t>
  </si>
  <si>
    <t>A corte 31 de marzo de 2020  el sector de mineria tenia  que realizar 4 visitas tecnicas de evaluacion, de las cuales se realizaron 3 oportunamente.</t>
  </si>
  <si>
    <t>A corte 31 de enero de 2020  el sector de energia debia finalizar 2 conceptos tecnicos, los cuales no se culminaron fuera de terminos</t>
  </si>
  <si>
    <t>A corte 29 de febrero de 2020  el sector de mineria debia finalizar 3 conceptos tecnicos, los cuales se culminaron fuera de terminos</t>
  </si>
  <si>
    <t>A corte 31 de marzo de 2020  el sector de mineria debia finalizar 3 conceptos tecnicos, los cuales se culminaron fuera de terminos</t>
  </si>
  <si>
    <t>A corte 31 de enero de 2020 se han expedido 3 actos administrativos que acogen el seguimiento a proyectos licenciados, los cuales corresponden al rezago vigencia 2019</t>
  </si>
  <si>
    <t>A corte 31 de enero de 2020 el sector se ha realizado 1 visita de seguimiento</t>
  </si>
  <si>
    <t>A corte 29 de febrero de 2020 se han expedido 7 actos administrativos que acogen el seguimiento a proyectos licenciados, los cuales corresponden al rezago vigencia 2019</t>
  </si>
  <si>
    <t>A corte 29 de febrero de 2020 el sector se ha realizado 14 visitas de seguimiento</t>
  </si>
  <si>
    <t>A corte 31 de marzo de 2020 se han expedido 8 actos administrativos que acogen el seguimiento a proyectos licenciados, los cuales corresponden 1 a vigencia actual y 7 a rezago vigencia 2019</t>
  </si>
  <si>
    <t>A corte 31 de marzo de 2020 el sector se ha realizado 24 visitas de seguimiento</t>
  </si>
  <si>
    <t xml:space="preserve">A corte 31 de enero de 2020 el sector no ha elaborado CT con visita de seguimiemto    </t>
  </si>
  <si>
    <t>A corte 29 de febrero de 2020 el sector ha elaborado 3 CT con visita, de los cuales 1 corresponde a vigencia actual y 2 a rezago 2019.</t>
  </si>
  <si>
    <t>A corte 31 de marzo de 2020 el sector ha elaborado 5 CT con visita, de los cuales 3 corresponde a vigencia actual y 2 a rezago 2019.</t>
  </si>
  <si>
    <t xml:space="preserve">A corte 31 de enero de 2020 el sector no ha elaborado CT documentales de seguimiemto    </t>
  </si>
  <si>
    <t xml:space="preserve">A corte 29 de febrero de 2020 el sector ha elaborado 1 CT documental de seguimiemto    </t>
  </si>
  <si>
    <t xml:space="preserve">A corte 31 de marzo de 2020 el sector ha elaborado 2 CT documental de seguimiemto    </t>
  </si>
  <si>
    <t>Agroquímicos y Especiales</t>
  </si>
  <si>
    <t>JUAN DAVID HERRERA GOMEZ [Coordinador(a)]</t>
  </si>
  <si>
    <t xml:space="preserve">A corte 31 de enero de 2020 el sector de Agroquimicos ha expedido 30 actos administrativos para resolver las solicitudes de evaluación de licencias ambientales </t>
  </si>
  <si>
    <t>A corte 31 de enero de 2020 el sector realizo 2 visitas tecnicas para el proceso de evaluación de licencias ambientales</t>
  </si>
  <si>
    <t xml:space="preserve">A corte 29 de febrero de 2020 el sector de Agroquimicos ha expedido 55 actos administrativos para resolver las solicitudes de evaluación de licencias ambientales </t>
  </si>
  <si>
    <t>A corte 29 de febrero de 2020 el sector realizo 2 visitas tecnicas para el proceso de evaluación de licencias ambientales</t>
  </si>
  <si>
    <t xml:space="preserve">A corte 31 de marzo de 2020 el sector de Agroquimicos ha expedido 75 actos administrativos para resolver las solicitudes de evaluación de licencias ambientales </t>
  </si>
  <si>
    <t>A corte 31 de marzo de 2020 el sector realizo 2 visitas tecnicas para el proceso de evaluación de licencias ambientales</t>
  </si>
  <si>
    <t xml:space="preserve">A corte 31 de enero de 2020 el sector, ha expedido 14 CT con visita </t>
  </si>
  <si>
    <t xml:space="preserve">A corte 29 de febrero de 2020 el sector, ha expedido 32 CT para resolver las solicitudes de evaluación de licencias ambientales </t>
  </si>
  <si>
    <t xml:space="preserve">A corte 31 de marzo de 2020 el sector, ha expedido 49 CT para resolver las solicitudes de evaluación de licencias ambientales </t>
  </si>
  <si>
    <t>A viernes, 31 de enero de 2020 el sector de Agroquimicos debía resolver 4 solicitudes de licenciamiento ambiental; (3) Nuevas, (1) Modificaciones, las cuales fueron resueltas oportunamente.</t>
  </si>
  <si>
    <t>A corte 31 de enero de 2020  el sector de Agroquimicos 1 visita con vencimiento de terminos, la cual se realizo en terminos</t>
  </si>
  <si>
    <t>A viernes, 29 de febrero de 2020 el sector de Agroquimicos debía resolver 8 solicitudes de licenciamiento ambiental;  (7) Nuevas, (1) Modificaciones, las cuales fueron resueltas oportunamente.</t>
  </si>
  <si>
    <t>A corte 29 de febrero de 2020  el sector de Agroquimicos tenia  1 visita con vencimiento de terminos, la cual se realizo en terminos</t>
  </si>
  <si>
    <t>A corte 31 de marzo de 2020 el sector de Agroquimicos debía resolver 11 solicitudes de licenciamiento ambiental;  (10) Nuevas, (1) Modificaciones, las cuales fueron resueltas oportunamente.</t>
  </si>
  <si>
    <t>A corte 31 de marzo de 2020  el sector de Agroquimicos tenia  1 visita con vencimiento de terminos, la cual se realizo en terminos</t>
  </si>
  <si>
    <t>A corte 31 de enero de 2020  el sector de Agroquimicos debia finalizar 1 concepto tecnico, el cual se culmino en terminos</t>
  </si>
  <si>
    <t>A corte 29 de febrero de 2020  el sector de Agroquimicos debia finalizar 6 conceptos tecnicos, de los cuales finalizo 5 oportunamente.</t>
  </si>
  <si>
    <t>A corte 31 de marzo de 2020  el sector de Agroquimicos debia finalizar 9 conceptos tecnicos, de los cuales finalizo 8 oportunamente.</t>
  </si>
  <si>
    <t>A corte 31 de enero de 2020 se han expedido 8 actos administrativos que acogen el seguimiento a proyectos licenciados, los cuales corresponden a seguimientos vigencia actual</t>
  </si>
  <si>
    <t>A corte 31 de enero de 2020 el sector de Aguoquimicos  ha realizado 13 visitas de seguimiento</t>
  </si>
  <si>
    <t>A corte 29 de febrero de 2020 se han expedido 105 actos administrativos que acogen el seguimiento a proyectos licenciados, de los cuales 104 corresponden a vigencia actual y 1 a rezago 2019.</t>
  </si>
  <si>
    <t>A corte 29 de febrero de 2020 el sector de Aguoquimicos  ha realizado 22 visitas de seguimiento</t>
  </si>
  <si>
    <t>A corte 31 de marzo de 2020 se han expedido 216 actos administrativos que acogen el seguimiento a proyectos licenciados, de los cuales 215 corresponden a vigencia actual y 1 a rezago 2019.</t>
  </si>
  <si>
    <t>A corte 31 de marzo de 2020 el sector de Aguoquimicos  ha realizado 26 visitas de seguimiento</t>
  </si>
  <si>
    <t xml:space="preserve">A corte 29 de febrero de 2020 el sector ha elaborado 9 CT con visita de seguimiemto de los cuales 8 corresponde a vigencia actual y 1 a rezago.    </t>
  </si>
  <si>
    <t xml:space="preserve">A corte 31 de marzo de 2020 el sector ha elaborado 9 CT con visita de seguimiemto de los cuales 23 corresponde a vigencia actual y 1 a rezago.    </t>
  </si>
  <si>
    <t xml:space="preserve">A corte 31 de enero de 2020 el sector no ha elaborado 57 CT documentales de seguimiemto    </t>
  </si>
  <si>
    <t xml:space="preserve">A corte 29 de febrero de 2020 el sector ha elaborado 154 CT documentales de seguimiemto    </t>
  </si>
  <si>
    <t xml:space="preserve">A corte 31 de marzo de 2020 el sector ha elaborado 261 CT documentales de seguimiemto    </t>
  </si>
  <si>
    <t>Compensación y 1%</t>
  </si>
  <si>
    <t>Número de Actos administrativos numerados que incluyen el componente de inversión y 1% en cumplimiento Art. 321 PND</t>
  </si>
  <si>
    <t>Número de actos administrativos que acogen el seguimiento realizado a los expedientes priorizados con la obligación de inversión 1%</t>
  </si>
  <si>
    <t>YESENIA VASQUEZ AGUILERA [Líder]</t>
  </si>
  <si>
    <t xml:space="preserve">Durante el mes de enero de 2020, se adelanto 12 Oficios  de solictud  de información complementaria derivada del análisis de información en virtud del Articulo 321 de la Ley 1955.  De los anteriores 9 son de conceptos emitidos en vigencia 2019 y 3 de conceptos emitidos en vigencia 2020.
Adicionalemente se han expedido 108 Conceptos técnicos de análisis de información en virtud del Articulo 321 de la Ley 1955. </t>
  </si>
  <si>
    <t xml:space="preserve">A corte 29 de  febrero de 2020 se adelantaron 35 Oficios  de solictud  de información complementaria derivada del análisis de información en virtud del Articulo 321 de la Ley 1955 y  tres (3) Resoluciones.  De los anteriores 15 son de conceptos emitidos en vigencia 2019 y 23 de conceptos emitidos en vigencia 2020.
En lo corrido de la vigencia se han expedido 210 Conceptos técnicos de análisis de información en virtud del Articulo 321 de la Ley 1955. </t>
  </si>
  <si>
    <t xml:space="preserve">A corte 31 de marzo de 2020 se adelantaron 55 Oficios  de solictud  de información complementaria derivada del análisis de información en virtud del Articulo 321 de la Ley 1955 y 46 Resoluciones.  
En lo corrido de la vigencia se han expedido 305 Conceptos técnicos de análisis de información en virtud del Articulo 321 de la Ley 1955. </t>
  </si>
  <si>
    <t>Avance estrategia para la inversión del 1% y compensación en territorio</t>
  </si>
  <si>
    <t>Numero de áreas donde se desarrollen acciones de conservación, preservación y restauración con cargo al 1% y a la compensación ambiental/Total de áreas habilitadas por la estrategia para Compensación y 1%</t>
  </si>
  <si>
    <t>A corte 31 de enero de 2020 se ha avanzado en 370 hectareas donde se desarrollan acciones de conservación, preservación y restauración con cargo al 1% y a la compensación ambiental
El denominador del Indicador esta asociado al 10% de la Meta Transformacional de deforestación competencia ANLA que corresponde a 3150 Hectáreas</t>
  </si>
  <si>
    <t>A corte 29 de febrero de 2020 se ha avanzado en 436,58 hectareas donde se desarrollan acciones de conservación, preservación y restauración con cargo al 1% y a la compensación ambiental
El denominador del Indicador esta asociado al 10% de la Meta Transformacional de deforestación de competencia dfe la   ANLA que corresponde a 3150 Hectáreas</t>
  </si>
  <si>
    <t>A corte 31 de marzo de 2020 se ha avanzado en 537,58 hectareas donde se desarrollan acciones de conservación, preservación y restauración con cargo al 1% y a la compensación ambiental
El denominador del Indicador esta asociado al 10% de la Meta Transformacional de deforestación de competencia dfe la   ANLA que corresponde a 3150 Hectáreas</t>
  </si>
  <si>
    <t>Número de actos administrativos que acogen el seguimiento realizado a los expedientes priorizados de Inversión y 1% en licenciamiento ambiental</t>
  </si>
  <si>
    <t>Número de pronunciamientos sobre proyectos que tienen la obligación de compensación, recursos de reposición y sancionatorios</t>
  </si>
  <si>
    <t xml:space="preserve">Durante el mes de enero de 2020 se elaboraron 3 Conceptos técnicos de análisis de información en virtud  de las compensaciones Ambientales, sin embargo no se ha emitido ningun acto administrativo. </t>
  </si>
  <si>
    <t xml:space="preserve">A corte febrero de 2020 se elaboraron 6 Conceptos técnicos de análisis de información en virtud  de las compensaciones Ambientales, de los cuales se expidio 1 acto administrativo. </t>
  </si>
  <si>
    <t xml:space="preserve">A corte 31 de marzo de 2020 se elaboraron 11 Conceptos técnicos de análisis de información en virtud  de las compensaciones Ambientales, de los cuales se expidio 4 actos administrativos </t>
  </si>
  <si>
    <t>N.A</t>
  </si>
  <si>
    <t>Contingencias</t>
  </si>
  <si>
    <t>Número de seguimientos finalizados desde el componente de riesgos y contingencias</t>
  </si>
  <si>
    <t>Número de actos administrativos finalizados desde el componente de riesgos y Contingencias</t>
  </si>
  <si>
    <t>Número de Conceptos técnicos de seguimiento priorizados por los sectores finalizados desde el componente de riesgos y contingencias</t>
  </si>
  <si>
    <t>Número de Conceptos técnicos de seguimiento finalizados desde el componente de Riegos y Contingencias</t>
  </si>
  <si>
    <t>GLADYS PUERTO CASTRO [Líder]</t>
  </si>
  <si>
    <t>A corte 31 de enero de 2020, el indicador no registra avance, la contratacion del profesional revisor juridico y profesional tecnico  que apoyaran esta actividad, esta programada para el mes de marzo de 2020</t>
  </si>
  <si>
    <t>A corte 31 de enero de 2020, el indicador no registra avance, el grupo viene apoyando la finalizacion de los seguimientos pendientes de la vigencia 2019.</t>
  </si>
  <si>
    <t>A corte 29 de febrero de 2020, el indicador no registra avance, la contratacion del profesional revisor juridico y profesional tecnico  que apoyaran esta actividad, esta programada para el mes de marzo de 2020</t>
  </si>
  <si>
    <t>A corte 29 de febrero de 2020, se registran 17 CT finalizados que contienen el componente de Riegos y Contingencias, de los apoyos brindados a los sectores en el seguimiento a  proyectos priorizados en la vigencia.</t>
  </si>
  <si>
    <t>A corte 31 marzo de 2020, el indicador no registra avance, la contratacion del profesional revisor juridico que apoyaran esta actividad, se reprogramo para el mes de abril de 2020.</t>
  </si>
  <si>
    <t>A corte 31 de marzo de 2020, se registran 76 CT finalizados que contienen el componente de Riegos y Contingencias, de los apoyos brindados a los sectores en el seguimiento a  proyectos priorizados en la vigencia.</t>
  </si>
  <si>
    <t>Porcentaje de actos administrativos de evaluación finalizados desde el componente de Riesgos y Contingencias</t>
  </si>
  <si>
    <t>Numero de Actos administrativos de evaluación finalizados con el componente de Riesgos y Contingencias/ Número de solicitudes allegadas de evaluación que deben incluir el componente de Riesgos y Contingencias</t>
  </si>
  <si>
    <t>A corte 31 de enero de 2020, el grupo cuenta con 27 solicitudes de evaluación que debe incluir el componente de Riesgos y Contingencias, a la fecha de corte se han finalizado con AA 2.</t>
  </si>
  <si>
    <t>A corte 29 de febrero de 2020, el grupo ha revisado 18 CT que incluye el componente de Riesgos y Contingencias, de los cuales 11 se han acogido con AA.</t>
  </si>
  <si>
    <t>A corte  31 de marzo de 2020, el grupo ha revisado 23 CT que incluye el componente de Riesgos y Contingencias, de los cuales 16 se han acogido con AA.</t>
  </si>
  <si>
    <t>Seguimiento a expedientes de vigencias anteriores por contingencias recurrentes</t>
  </si>
  <si>
    <t># de actos administrativos que acogen el seguimiento realizado a los expedientes priorizados de contingencias</t>
  </si>
  <si>
    <t>A corte 31 de enero de 2020, el indicador no registra avance, se esta realizando la verificacion con los sectores, para que estos expedientes sean priorizados para su seguimiento.</t>
  </si>
  <si>
    <t>A corte 29 de febrero de 2020, el indicador no registra avance, se esta realizando la verificacion con los sectores, para que estos expedientes sean priorizados para su seguimiento.</t>
  </si>
  <si>
    <t>A corte 31 de marzo de 2020, el indicador no registra avance, se esta realizando la verificacion con los sectores, para que estos expedientes sean priorizados para su seguimiento. Dos expedientes LAM0332 y LAM4409 cuenta con CT pendiente por acoger.</t>
  </si>
  <si>
    <t>Gestionar el conocimiento y la innovación en los procesos de evaluación y seguimiento de las licencias, permisos y trámites ambientales con transparencia</t>
  </si>
  <si>
    <t>Geomática Operativa</t>
  </si>
  <si>
    <t>Documentos de revisión de información geográfica de proyectos de evaluación</t>
  </si>
  <si>
    <t># de documentos de revisión de información geográfica de proyectos de evaluación.</t>
  </si>
  <si>
    <t>A corte 31 de enero de 2020 el grupo de Geomatica ha revisado 23 documentos de información geográfica de los cuales:
*17 corresponden a VPD
* 6 de información adicional</t>
  </si>
  <si>
    <t>A corte 29 de febrero de 2020 el grupo de Geomatica ha revisado 43 documentos de información geográfica de los cuales:
*28 corresponden a VPD
* 15 de información adicional</t>
  </si>
  <si>
    <t>A corte 31 de marzo de 2020 el grupo de Geomatica ha revisado 55 documentos de información geográfica de los cuales:
*38 corresponden a VPD
* 17 de información adicional</t>
  </si>
  <si>
    <t>Documentos de revisión de información geográfica de proyectos de seguimiento</t>
  </si>
  <si>
    <t># de documentos de revisión de información geográfica de proyectos</t>
  </si>
  <si>
    <t>A corte 31 de enero de 2020 el grupo de Geomatica ha revisado 311 ICAs.  
En lo corrido de la vigencia se han allegado 285 ICAs y se tienen 914  rezagos de vigencias anteriores pendientes por revision.</t>
  </si>
  <si>
    <t>A corte 29 de febrero de 2020 el grupo de Geomatica ha revisado 752 ICAs.  
En lo corrido de la vigencia se han allegado 381 ICAs y se tienen 866  rezagos de vigencias anteriores pendientes por revision, para un total 1247.</t>
  </si>
  <si>
    <t xml:space="preserve">A corte  31 de marzo de 2020 el grupo de Geomatica ha revisado 1207 ICAs.  </t>
  </si>
  <si>
    <t>Proyectos licenciados con Indice de Desempeño Ambiental</t>
  </si>
  <si>
    <t>Número de proyectos en seguimiento con aplicación de la metodología del Indice de Desempeño Ambiental</t>
  </si>
  <si>
    <t>Indicador programado para medir a partir del segundo semestre del año 2020</t>
  </si>
  <si>
    <t>Documentos de Seguimiento Documental Espacial de proyectos en etapa de seguimiento</t>
  </si>
  <si>
    <t># de documentos de Seguimiento Documental Espacial de proyectos en etapa de seguimiento</t>
  </si>
  <si>
    <t>A corte 31 de enero de 2020 el grupo de Geomatica ha elaborado 23 documentos de Seguimiento Documental Espacial-SDE de proyectos en etapa de seguimiento</t>
  </si>
  <si>
    <t>A corte 29 de febrero de 2020 el grupo de Geomatica ha elaborado 70 documentos de Seguimiento Documental Espacial-SDE de proyectos en etapa de seguimiento</t>
  </si>
  <si>
    <t>A corte 31 de marzo de 2020 el grupo de Geomatica ha elaborado 109 documentos de Seguimiento Documental Espacial-SDE de proyectos en etapa de seguimiento</t>
  </si>
  <si>
    <t>Fortalecimiento organizacional y simplificación de procesos</t>
  </si>
  <si>
    <t>RASP</t>
  </si>
  <si>
    <t>Porcentaje de cambios menores y giros ordinarios resueltos oportunamente</t>
  </si>
  <si>
    <t>(Número de Cambios menores y giros ordinarios resueltos en términos /Total de Cambios menores y giros ordinarios con vencimiento de términos) * 100</t>
  </si>
  <si>
    <t>ANDREA ESTEBAN TORRES [Coordinador(a)]</t>
  </si>
  <si>
    <t>Durante el mes de Enero de 2020, se tuvieron 53 actividades con vencimiento de terminos, de las cuales 50 Cambios mejores y(o Giros Ordinarios se respondieron oportunamente. Esta gestión arroja una porcentaje de oportunidad del 94%.</t>
  </si>
  <si>
    <t>A corte febrero de 2020, se tuvieron 101 actividades con vencimiento de terminos, de las cuales 98 Cambios mejores y Giros Ordinarios se respondieron oportunamente. Esta gestión arroja una porcentaje de oportunidad del 97%.</t>
  </si>
  <si>
    <t>A corte 31 de marzo de 2020, se tuvieron 141 actividades con vencimiento de terminos, de las cuales 134 Cambios mejores y Giros Ordinarios se respondieron oportunamente. Esta gestión arroja una porcentaje de oportunidad del 97%.</t>
  </si>
  <si>
    <t>Porcentaje de cumplimiento de los términos para la verificación preliminar de los ICA</t>
  </si>
  <si>
    <t>(Número ICAS revisados oportunamente /número de ICAS recibidos con vencimiento de términos) * 100</t>
  </si>
  <si>
    <t>Durante el periodo se tuvieron un total de 182 actividades con vencimiento en el mes de Enero de 2020.  Del total de estas actividades, 115 actividades fueron finalizadas dentro de los términos establecidos</t>
  </si>
  <si>
    <t>A corte febrero de 2020, se tuvieron un total de 413 actividades con vencimiento, de las cuales 274 actividades fueron finalizadas dentro de los términos establecidos</t>
  </si>
  <si>
    <t>A corte marzo de 2020, se tuvieron un total de 613 actividades con vencimiento, de las cuales 449 actividades fueron finalizadas dentro de los términos establecidos</t>
  </si>
  <si>
    <t>Porcentaje de autos de inicio emitidos oportunamente</t>
  </si>
  <si>
    <t>(Número de Autos de inicio emitidos en términos / número de Autos emitidos con vencimiento de términos)*100</t>
  </si>
  <si>
    <t>A corte 31 de enero de 2020, debian emitirse 2  autos de inicio de las VPD ingresadas y aprobadas en el mes, los cuales fueron expedidos oportunamente. Por ser un indicador que se mide por primera vez en la entidad, para su calculo solo se toma informacion a partir de la vigencia 2020.</t>
  </si>
  <si>
    <t>A corte 29 de febrero de 2020 debian emitirse 17 autos de inicio de las VPD ingresadas y aprobadas en el periodo, de los cuales 7 fueron expedidos oportunamente.</t>
  </si>
  <si>
    <t>A corte 31 de marzo de 2020 debian emitirse 24 autos de inicio de las VPD ingresadas y aprobadas en el periodo, de los cuales 13 fueron expedidos oportunamente.</t>
  </si>
  <si>
    <t>Porcentaje de VPD con respuesta oportuna</t>
  </si>
  <si>
    <t>(Numero VPD finalizados en términos / número de VPD con vencimiento de términos)*100</t>
  </si>
  <si>
    <t>A corte 31 de enero de 2020, han ingresado a la entidad 14 VPD, de las cuales 6 tenian vencimiento de teriminos y fueron revisadas oprotunamente. Dando como resultado 2 VPD aprobadas. Por ser un indicador que se mide por primera vez en la entidad, para su calculo solo se toma informacion a partir de la vigencia 2020.</t>
  </si>
  <si>
    <t xml:space="preserve">A corte 29 de febrero de 2020, 44 VPD tenian vencimiento de teriminos de las cuales 33 fueron revisadas oprotunamente. </t>
  </si>
  <si>
    <t xml:space="preserve">A corte 31 de marzo de 2020, 57 VPD tenian vencimiento de teriminos de las cuales 47 fueron revisadas oprotunamente. </t>
  </si>
  <si>
    <t>Contribuir a la implementación de un modelo de gestión pública efectivo, orientado a resultados y a la satisfacción de sus grupos de interés</t>
  </si>
  <si>
    <t>Gestión documental</t>
  </si>
  <si>
    <t>Porcentaje de Derechos de petición a solicitudes prioritarias finalizados oportunamente</t>
  </si>
  <si>
    <t>(Numero de DPE finalizados en términos / Total DPE con vencimiento de terminos)*100</t>
  </si>
  <si>
    <t>Durante el mes de Enero de 2020, se finalizaron 68 derechos de petición dentro de los términos establecidos. De un total de 68 actividades con vencimiento en el mes. Esta gestión arroja una porcentaje de oportunidad del 97,7%.</t>
  </si>
  <si>
    <t>A corte febrero de 2020, se finalizaron 178 derechos de petición dentro de los términos establecidos. De un total de 178 actividades con vencimiento en el periodo. Esta gestión arroja una porcentaje de oportunidad del 100%.</t>
  </si>
  <si>
    <t>A corte marzo de 2020, se finalizaron 305 derechos de petición dentro de los términos establecidos. De un total de 308 actividades con vencimiento en el periodo. Esta gestión arroja una porcentaje de oportunidad del 99%.</t>
  </si>
  <si>
    <t>Porcentaje de Solicitudes prioritarias de entes de control (ECOS) finalizados oportunamente</t>
  </si>
  <si>
    <t>(Número de ECO finalizados en términos / número de ECO con vencimiento de términos)*100</t>
  </si>
  <si>
    <t>Durante el mes de Enero de 2020, se finalizaron 42 derechos de petición dentro de los términos establecidos de un total de 43 actividades con vencimiento en el  periodo evaluado. Esta gestión arroja una porcentaje de oportunidad del 100%.</t>
  </si>
  <si>
    <t>A corte febrero de 2020, se finalizaron 104 ECOS dentro de los términos establecidos de un total de 107 actividades con vencimiento en el  periodo evaluado. Esta gestión arroja una porcentaje de oportunidad del 97,2%.</t>
  </si>
  <si>
    <t>A corte marzo de 2020, se finalizaron 171 ECOS dentro de los términos establecidos de un total de 174 actividades con vencimiento en el  periodo evaluado. Esta gestión arroja una porcentaje de oportunidad del 98.3%.</t>
  </si>
  <si>
    <t>Valoración Económica</t>
  </si>
  <si>
    <t>Porcentaje de Conceptos técnicos de seguimiento finalizados que incluyen el componente de valoración económica en  licenciamiento ambiental</t>
  </si>
  <si>
    <t>(# de conceptos técnicos de seguimiento finalizados que incluyen el componente de valoración económica/Total de conceptos técnicos de seguimiento revisados por profesionales de valoración económica) * 100</t>
  </si>
  <si>
    <t>YOLANDA CASALLAS ABRIL [Líder]</t>
  </si>
  <si>
    <t>Durante el mes de enero fueron asignados un total de 23 expedientes para el seguimiento en valoración económica, de estos trámites fueron finalizados desde valoración económica dos expedientes</t>
  </si>
  <si>
    <t>A corte 29 de febrero de 2020 se han asignado un total de 56  expedientes para el seguimiento del componente de valoración económica, de los cuales 13 han sido revisados por el grupo y  10 de estos conceptos tecnicos finalizados y numerados desde los sectores.</t>
  </si>
  <si>
    <t>A corte 31 de marzo de 2020 se han asignado un total de 78 expedientes para el seguimiento del componente de valoración económica, de los cuales 47 han sido rfinalizados desde el grupo   de valoracion economica  y  35 de estos conceptos tecnicos han sido finalizados y numerados desde los sectores.</t>
  </si>
  <si>
    <t>Porcentaje de Conceptos técnicos de evaluación que incluyen el componente de valoración económica en la etapa de evaluación de licenciamiento ambiental</t>
  </si>
  <si>
    <t>(# de conceptos técnicos de evaluación finalizados que incluyen el componente de valoración económica/Total de conceptos técnicos de evaluación revisados por profesionales de valoración económica) * 100</t>
  </si>
  <si>
    <t>Durante el mes de enero fueron asignados un total de 30 expedientes para la evaluación de DAA, licencia Ambiental, Modificación de licencia en valoración económica , de estos trámites fueron finalizados desde valoración económica 5 expedientes.</t>
  </si>
  <si>
    <t>A corte 29 de febrero de 2020 se han asignado un total de 36  expedientes para la evaluacion del componente de valoración económica, de los cuales 12 han sido revisados por el grupo y  8 de estos conceptos tecnicos finalizados y numerados desde los sectores.</t>
  </si>
  <si>
    <t>A corte 31 de marzo de 2020 se han asignado un total de 37 expedientes para la evaluacion del componente de valoración económica (incluidas nuevas licencias, modificaciones de licencia, modificaciones de PMA, respuesta a recursos de reposicion y evaluacion de DAA) de los cuales 18 han sido revisados por el grupo y  14 de estos conceptos tecnicos han sido finalizados y numerados desde los sectores.</t>
  </si>
  <si>
    <t>Promedio de avance en metas de Producto SES</t>
  </si>
  <si>
    <t>Promedio de avance en metas de Gestión SES</t>
  </si>
  <si>
    <t>Direccionamiento Estratégico y Planeación</t>
  </si>
  <si>
    <t>Planeación Institucional</t>
  </si>
  <si>
    <t>Estratégico</t>
  </si>
  <si>
    <t>Orientación estratégica</t>
  </si>
  <si>
    <t>Planeación estratégica</t>
  </si>
  <si>
    <t>Oficina Asesora de Planeación</t>
  </si>
  <si>
    <t>Número de documentos de planeación realizados</t>
  </si>
  <si>
    <t># de documentos elaborados</t>
  </si>
  <si>
    <t>Porcentaje de avance en la elaboración de los planes de acción de las políticas del MIPG</t>
  </si>
  <si>
    <t xml:space="preserve">
∑= Suma de todas los planes de acción programados desde 1 hasta n (i); \nwi= peso porcentual para cada plan de acción; Xi= Valor del plan de acción</t>
  </si>
  <si>
    <t>Jefe Oficina Asesora de Planeación</t>
  </si>
  <si>
    <t>No se reporta avance para el mes de enero</t>
  </si>
  <si>
    <t>Durante el mes de febrero no se presentan avances para este indicador</t>
  </si>
  <si>
    <t>Se empezó con la planeación para la formulación, por esta razón a 29 de febrero no se cuenta con avance en la formulación de estos siete planes</t>
  </si>
  <si>
    <t>A 31 de marzo se cuenta con 9% de avance en la elaboración de los 11 documentos</t>
  </si>
  <si>
    <t>Al corte de marzo 31 no se ha presentado para aprobación ninguno de los planes priorizados para la vigencia 2020.</t>
  </si>
  <si>
    <t>Porcentaje de avance en la elaboración del Mapa de conocimiento explícito de la entidad</t>
  </si>
  <si>
    <t>No se cuenta con avance para el mes de febrero</t>
  </si>
  <si>
    <t>Se elaboró el plan de trabajo para la elaboración del mapa de conocimiento para la entidad.</t>
  </si>
  <si>
    <t>Porcentaje de avance en la elaboración de la estrategia de seguimiento</t>
  </si>
  <si>
    <t>Se establecieron componentes, ruta de trabajo para la estrategia y se socializo con las dependencias interesadas.</t>
  </si>
  <si>
    <t>6,5%</t>
  </si>
  <si>
    <t>18,5%</t>
  </si>
  <si>
    <t xml:space="preserve">Se estableció la regionalización de los proyectos, se dividió la subdirección de seguimiento por regiones (4 regiones y un sector económico - agroquímicos)
Se ajusto SILA, para la clasificación de los proyectos por región hidrográfica
Se establecieron criterios de definición de proyectos activos, por etapa y subastado.
La periodicidad de los seguimientos se estableció de acuerdo con lo establecido en las resoluciones de otorgamiento del instrumento de control ambiental. </t>
  </si>
  <si>
    <t>Porcentaje de avance en la elaboración de insumos para la misión de licenciamiento ambiental</t>
  </si>
  <si>
    <t>Se estableció el cronograma de trabajo y los hitos principales</t>
  </si>
  <si>
    <t>Porcentaje de avance en la elaboración de la estrategia de evaluación con énfasis en planeación sectorial</t>
  </si>
  <si>
    <t>Se estableció el cronograma de trabajo y los hitos principales
Se tiene propuesta de componentes de diagnostico para ser cuantificados en el mes de abril</t>
  </si>
  <si>
    <t>Porcentaje de ejecución del Plan de Acción Institucional</t>
  </si>
  <si>
    <t>Porcentaje de avance en la ejecución del Plan de Acción Institucional</t>
  </si>
  <si>
    <t>Porcentaje de avance en la elaboración del tablero de control para temas estratégicos</t>
  </si>
  <si>
    <t>A corte 29 de febrero se cuenta con el plan de trabajo para el tablero estratégico y la primera propuesta de indicadores</t>
  </si>
  <si>
    <t>27,9%</t>
  </si>
  <si>
    <t>Se presentó mapa conceptual del tablero de control, se identificaron los posibles indicadores de impacto, asimismo, se ha ido avanzando en la construcción de un indicador lucha contra la corrupción, y las variables macroeconómicas que servirán como insumo al tablero</t>
  </si>
  <si>
    <t>Herramientas para el seguimiento a metas institucionales</t>
  </si>
  <si>
    <t># herramientas diseñadas</t>
  </si>
  <si>
    <t>Porcentaje de implementación de la herramienta de control de términos en seguimiento de licencias ambientales</t>
  </si>
  <si>
    <t>A la fecha se cuenta con un 46% de avance en este indicador, el cual responde al promedio del avance de las tres herramientas programadas (evaluación licencias, seguimiento licencias y permisos y trámites)</t>
  </si>
  <si>
    <t>Se realizaron los siguientes cambios :
    1) Realizar Cambios de Inicio
    2) Realizar Cambios en Hitos Principales
    3) Actualizar Proyectos Activos
    4) Actualizar Filtros
    5) Actualizar Reportes
    6) Integración de OELA
    7) Actualizar Recursos de Reposición
   8) Se implementaron los numeros       telefonicos</t>
  </si>
  <si>
    <t>A 31 de marzo se cuenta con un 60% de avance en los desarrollos de las herramientas institucionales programadas para la vigencia</t>
  </si>
  <si>
    <t>Se realizaron los siguientes cambios :
    1) Realizar Cambios de Inicio
    2) Realizar Cambios en Hitos Principales
    3) Actualizar Proyectos Activos
    4) Actualizar Filtros
    5) Actualizar Reportes
    6) Integración de OELA
    7) Actualizar Recursos de Reposición
   8) Se implementaron los números telefónicos
   9) Elaborar módulo de SDE
   10 Elaborar módulo de VPI
   11) Realizar alertas
   12) Realizar mapeo de proyectos
   13) Realizar trazabilidad anual</t>
  </si>
  <si>
    <t>Porcentaje de implementación de la herramienta de control de términos para permisos y trámites</t>
  </si>
  <si>
    <t>Se realizaron los siguientes cambios :
    1) Entrega de usuarios para validación
    2) Elaborar Módulo VDI
    3) Elaborar Reporte Visitas
    4) Elaborar Reporte Conceptos
    4) Elaborar Reporte Actos</t>
  </si>
  <si>
    <t>Se realizaron los siguientes cambios :
    1) Entrega de usuarios para validación
    2) Elaborar Módulo VDI
    3) Elaborar Reporte Visitas
    4) Elaborar Reporte Conceptos
    4) Elaborar Reporte Actos
    5) Actualización de trámites</t>
  </si>
  <si>
    <t>Porcentaje de implementación de la herramienta de planeación institucional</t>
  </si>
  <si>
    <t>Se realizaron los siguientes cambios :
    1) Elaborar Módulo MIPG
    2) Elaborar Módulo PEI
    3) Elaborar Reporte PAA
    4) Elaborar Reporte PAI
    5) Culminar Módulo de CDP
    6) Módulo de Modificaciones Ver 1.0
    7) Avance en Módulo de Calidad</t>
  </si>
  <si>
    <t xml:space="preserve">	
Se realizaron los siguientes cambios :
    1) Elaborar Módulo MIPG
    2) Elaborar Módulo PEI
    3) Elaborar Reporte PAA
    4) Elaborar Reporte PAI
    5) Culminar Módulo de CDP
    6) Módulo de Modificaciones Ver 1.0
    7) Avance en Módulo de Calidad
    8) Importador SIIF
    9) Actualizar Reportes para ver el valor de los RP y saldos disponibles
10) Actualizar estructura</t>
  </si>
  <si>
    <t>Talento Humano</t>
  </si>
  <si>
    <t>Talleres o actividades de capacitación realizadas</t>
  </si>
  <si>
    <t># de actividades de capacitación/actualización a colaboradores realizadas</t>
  </si>
  <si>
    <t>Se realizó la capacitación de indicadores para las dependencias de la entidad</t>
  </si>
  <si>
    <t>Durante el mes de marzo no se realizó ninguna capacitación</t>
  </si>
  <si>
    <t>Porcentaje de avance en la actualización del mapa de procesos</t>
  </si>
  <si>
    <t>Se presenta un avance del 6% de plan de trabajo establecido para este indicador</t>
  </si>
  <si>
    <t>Gestión de recursos</t>
  </si>
  <si>
    <t>Porcentaje de avance en el ajuste de los proyectos de inversión de la entidad</t>
  </si>
  <si>
    <t>A corte 29 de febrero se cuenta con la propuesta del árbol de problemas</t>
  </si>
  <si>
    <t>De acuerdo al plan de trabajo establecido, este indicador presenta un avance del 55% para el mes de marzo</t>
  </si>
  <si>
    <t>PROMEDIO INDICADORES PRODUCTO</t>
  </si>
  <si>
    <t>PROMEDIO INDICADORES GESTIÓN</t>
  </si>
  <si>
    <t>Evaluación y resultados</t>
  </si>
  <si>
    <t>Gestión de permisos y trámites ambientales</t>
  </si>
  <si>
    <t>Subdirección de Instrumentos, Permisos y Trámites Ambientales</t>
  </si>
  <si>
    <t>Permisos y Trámites Ambientales</t>
  </si>
  <si>
    <t>Actos administrativos expedidos para resolver las solicitudes de evaluación de los permisos y trámites ambientales.</t>
  </si>
  <si>
    <t># de actos administrativos que resuelven solicitudes de permisos ambientales.</t>
  </si>
  <si>
    <t>Conceptos técnicos emitidos para resolver las solicitudes de evaluación a permisos y trámites ambientales.</t>
  </si>
  <si>
    <t># de conceptos técnicos realizados para resolver las solicitudes de evaluación de permisos ambientales.</t>
  </si>
  <si>
    <t>Subdirector de Instrumentos, Permisos y Trámites Ambientales</t>
  </si>
  <si>
    <t>Para la vigencia 2020 se estableció como meta la producción de 21.422 AA de evaluación; durante  enero se realizaron 1752 AA que lo corresponde a un avance del 8% frente a la meta.  VUCE participó con el 88.07% de esta producción, seguido de Beneficios Tributrarios con una participación de 4.74% y Prueba Dinámica con 4.22%</t>
  </si>
  <si>
    <t>El indicador de conceptos técnicos para resolver solicitudes de evaluación de permisos y trámites ambientales debe alcanzar 2700 CT gestionados durante 2020; en enero se logró gestionar 140 CT de evaluación, representando un avance en la meta del 5%. Durante este mes el equipo que mayor participación tuvo en la gestión de conceptos tecnicos fue Prueba Dinámica con una participación del 58% del total de la producción del mes, seguido de Diversidad Bilógica con el 20% y Beneficios tributarios con el 19%.</t>
  </si>
  <si>
    <t>Para la vigencia 2020 se estableció como meta la producción de 21.422 AA de evaluación; a corte del mes de febrero, se realizaron 3515 AA que lo corresponde a un avance del 16% frente a la meta.  VUCE participó con el 88.88% de esta producción, seguido de Prueba Dinámica con una participación de 4.75% y Beneficios Tributrarios  con 3.44%</t>
  </si>
  <si>
    <t>El indicador de conceptos técnicos para resolver solicitudes de evaluación de permisos y trámites ambientales debe alcanzar 2700 CT gestionados durante 2020; El avance de gestión para el mes de febrero es de 394 CT de evaluación, representando un avance en la meta del 15%. Durante este mes el equipo que mayor participación tuvo en la gestión de conceptos tecnicos fue Prueba Dinámica con una participación del 60 % del total de la producción del mes, seguido de Diversidad Bilógica con el 18 % y Beneficios tributarios con el 18%.</t>
  </si>
  <si>
    <t>Al 31 de marzo se gestionaron 5.007 AA para resolver solicitudes de evaluación de Permisos y Trámites ambientales. El sector que mayor participación tiene en este avance es VUCE,  88.5%, seguido de Prueba Dinámica con el 5.5% y Beneficios Tributarios con el 3.3%. Durante el primer trimestre del año se logró un avance del  23%, respecto a la meta de 21.422  AA  de evaluación de Permisos y trámites ambientales planteada  la vigencia 2020.</t>
  </si>
  <si>
    <t>El indicador de conceptos técnicos para resolver solicitudes de evaluación de permisos y trámites ambientales, al 31 de marzo alcanzó un avance total  del 24% respecto a la meta de 2.700 CT durante la vigencia 2020, es decir, 647 CT.  Prueba Dinámica es el sector que más ha aportado a este avance, 369 CT de Prueba Dinámica que representan el 57% del avance, seguido de Beneficios Tributarios con 21.6% y Diversidad Biológica con 18.3%.</t>
  </si>
  <si>
    <t>Visitas técnicas de evaluación</t>
  </si>
  <si>
    <t># de visitas de evaluación realizadas</t>
  </si>
  <si>
    <t>Corresponde a permisos fuera de licencia</t>
  </si>
  <si>
    <t>Se registran con corte  a 29 de febrero 6 visitas de evaluación en el área de Permisos Fuera de Licencia</t>
  </si>
  <si>
    <t>Se registran con corte  a 31 de marzo 8 visitas de evaluación. Se realizaron en el área de Permisos Fuera de Licencia</t>
  </si>
  <si>
    <t>Actos administrativos expedidos para resolver el seguimiento de los permisos y trámites ambientales.</t>
  </si>
  <si>
    <t># de actos administrativos que acogen el seguimiento realizado a permisos otorgados.</t>
  </si>
  <si>
    <t>Conceptos técnicos de seguimiento a permisos y trámites ambientales otorgados.</t>
  </si>
  <si>
    <t># de conceptos técnicos realizados para acoger el seguimiento realizado a los permisos otorgados.</t>
  </si>
  <si>
    <t>Durante 2020 de debe alcanzar una producción de 816 AA para resolver segumiento a permisos otorgados, en enero se realizaron 14 AA de segumiento, es decir, se tuvo un avance del 1.72% frente a la meta. Los grupos que participaron en este avance fueron Diversidad Biológica con el 93% y Permisos Fuera de Licencia con el 7%.</t>
  </si>
  <si>
    <t>El indicador de conceptos técnicos para seguimiento a permisos otorgados  debe alcanzar 816 CT gestionados durante 2020; en enero se logró gestionar 27 CT de seguimiento, esto representa un avance en la meta del 3.31%. Durante este mes el equipo que mayor participación tuvo en la gestión de conceptos tecnicos fue Diversidad Biológica con una participación del 94%,  seguido de Permisos fuera de Licencia con el 4%..</t>
  </si>
  <si>
    <t>Durante 2020 de debe alcanzar una producción de 816 AA para resolver segumiento a permisos otorgados, al finalizar el mes de febrero, se realizaron 42 AA de segumiento, es decir, se tuvo un avance del 4.90% frente a la meta. Los grupos que participaron en este avance fueron Diversidad Biológica con el 81% y Permisos Fuera de Licencia con el 8% y Psoconsumo con 7%.</t>
  </si>
  <si>
    <t>El indicador de conceptos técnicos para seguimiento a permisos otorgados  debe alcanzar 816 CT gestionados durante 2020; al corte del mes de febrero se logró gestionar 59 CT de seguimiento, esto representa un avance en la meta del 7.28%. Durante este mes el equipo que mayor participación tuvo en la gestión de conceptos tecnicos fue Diversidad Biológica con una participación del 71%,  seguido de Permisos fuera de Licencia con el 17% y Posconsumo con el 12%.</t>
  </si>
  <si>
    <t>La meta de Actos Administrativos  que acogen el seguimiento a permisos otorgados para la vigencia 2020 se proyectó en 816 AA,  durante el primer trimestre del año se alcanzó un avance del 11.40% respeto a la meta, es decir, que al 31 de marzo se gestionaron 93 AA de seguimiento a permisos.  La participación de los sectores en este avance se dio de la siguiente manera:  Diversidad Biológica 63%, Permisos Fuera de Licencia 19% y Posconsumo 17%.</t>
  </si>
  <si>
    <t>Durante la vigencia 2020 se proyecta realizar 816 CT de seguimiento a permisos otorgados, al 31 de marzo se realizaron 123 CT de seguimiento, de los cuales 73 son del sector Diversidad Biológica,  28 Permisos Fuera de Licencia y 22 Poscosumo, con este avance se llega al 15% de la meta.</t>
  </si>
  <si>
    <t>Visitas técnicas de seguimiento</t>
  </si>
  <si>
    <t># de visitas de seguimiento realizadas</t>
  </si>
  <si>
    <t>Permisos fuera de licencia y posconsumo https://anla-my.sharepoint.com/:x:/r/personal/aromero_anla_gov_co/_layouts/15/Doc.aspx?sourcedoc=%7B555CC33D-3207-48E2-920F-9D96B04A9EDD%7D&amp;file=BASE%20DE%20DATOS%20VISITAS%20PAI%202020.xlsx&amp;action=default&amp;mobileredirect=true</t>
  </si>
  <si>
    <t>A corte del mes de febrero se realizaron 24 visitas de seguimento, reflejado en un avance del 6.6%. 17 visitas realizadas por Posconsumo y 7 por Permisos fuera de Licencia C:\Users\lluna\ANLA - Autoridad Nacional de Licencias Ambientales\Angela Patricia Romero Rodriguez (ANLA) - PAI 2020\Permisos\Febrero</t>
  </si>
  <si>
    <t>A corte de 31de marzo se realizaron 83 visitas de seguimento, reflejado en un avance del 23.12 %. 73 visitas realizadas por Posconsumo y 10 por Permisos fuera de Licencia C:\Users\lluna\ANLA - Autoridad Nacional de Licencias Ambientales\Angela Patricia Romero Rodriguez (ANLA) - PAI 2020\Permisos\Febrero</t>
  </si>
  <si>
    <t>Promedio de la reducción porcentual de los contaminantes emitidos por la flota de vehículos livianos y motocicletas al implementar la normativa vigente (Resolución 910 del 2008, modificada por la Resolución 1111 del 2013, o Resolución 2604 del 2009</t>
  </si>
  <si>
    <t>x ̅=1/n ∑_i^n▒x_i  
Promedio de la reducción en porcentaje de los contaminantes emitidos por la flota de vehículos livianos y motocicletas al implementar la normativa vigente. n: Cantidad de contaminantes x_i: Reducción en porcentaje del contaminante i emitido por la flota de vehículos livianos y motocicletas al implementar la normativa vigente i: Monóxido de Carbono (CO), Hidrocarburos, Óxidos de Nitrógeno (NOx), Material Particulado (MP), Metano (CH4), Hidrocarburos diferentes del Metano (HCNM) x_i=(m_(i,anterior a normativa)-m_(i,con normativa))/m_(i,anterior a normativa) m_(i,anterior a normativa): Masa en g/kWh del contaminante i de la flota si ésta solamente cumpliera con los estándares de emisiones anteriores a la Resolución 910 del 2008 m_(i,con normativa): Masa en g/kWh del contaminante i de la flota con los datos de CEPD aprobados m_(i,anterior a normativa)=z∙l_i m_(i,con normativa)=∑_j^y▒〖m_(i,j) z_j 〗 z: Cantidad de vehículos importados en la vigencia l_i: Límite de emisiones para el contaminante i descrito en la normativa anterior a la actual j: CEPD y: Cantidad de CEPD utilizados en la vigencia m_(i,j): Masa en g/kWh del contaminante i que se encuentra en el CEPD j z_j: Cantidad de vehículos importados por CEPD j Normativa anterior: Resolución 1048 de 1999</t>
  </si>
  <si>
    <t>P.D</t>
  </si>
  <si>
    <t>Promedio de la reducción porcentual de los contaminantes emitidos por la flota de vehículos pesados al implementar la normativa vigente (Resolución 910 del 2008, modificada por la Resolución 1111 del 2013, o Resolución 2604 del 2009)</t>
  </si>
  <si>
    <t>x ̅=1/n ∑_i^n▒x_i x ̅
Promedio de la reducción en porcentaje de los contaminantes emitidos por la flota de vehículos pesados al implementar la normativa vigente. n: Cantidad de contaminantes x_i: Reducción en porcentaje del contaminante i emitido por la flota de vehículos pesados al implementar la normativa vigente i: Monóxido de Carbono (CO), Hidrocarburos, Óxidos de Nitrógeno (NOx), Material Particulado (MP), Metano (CH4), Hidrocarburos diferentes del Metano (HCNM) x_i=(m_(i,anterior a normativa)-m_(i,con normativa))/m_(i,anterior a normativa) m_(i,anterior a normativa): Masa en g/kWh del contaminante i de la flota si ésta solamente cumpliera con los estándares de emisiones anteriores a la Resolución 910 del 2008 m_(i,con normativa): Masa en g/kWh del contaminante i de la flota con los datos de CEPD aprobados m_(i,anterior a normativa)=z∙l_i m_(i,con normativa)=∑_j^y▒〖m_(i,j) z_j 〗 z: Cantidad de vehículos importados en la vigencia l_i: Límite de emisiones para el contaminante i descrito en la normativa anterior a la actual j: CEPD y: Cantidad de CEPD utilizados en la vigencia m_(i,j): Masa en g/kWh del contaminante i que se encuentra en el CEPD j z_j: Cantidad de vehículos importados por CEPD j Normativa anterior: Resolución 1048 de 1999</t>
  </si>
  <si>
    <t>Porcentaje de cumplimiento de la meta de gestión de llantas</t>
  </si>
  <si>
    <t>Sumatoria total de llantas validadas/ sumatoria total de llantas de meta de gestión</t>
  </si>
  <si>
    <t>Porcentaje de cumplimiento de la meta de gestión de Baterías Plomo Acido</t>
  </si>
  <si>
    <t>Sumatoria total de BUPAS validadas/ sumatoria total de BUPAS de meta de gestión</t>
  </si>
  <si>
    <t>Porcentaje de cumplimiento de la meta de gestión de Bombillas</t>
  </si>
  <si>
    <t>Sumatoria total de bombillas validadas/ sumatoria total de bombillas de meta de gestión</t>
  </si>
  <si>
    <t>Porcentaje de cumplimiento de la meta de gestión de pilas y/o acumuladores</t>
  </si>
  <si>
    <t>Sumatoria total de pilas y/o acumuladoras validadas/ sumatoria total de pilas y/o acumuladoras de meta de gestión</t>
  </si>
  <si>
    <t>Porcentaje de cumplimiento de la meta de gestión de computadores y/o perifericos validadas</t>
  </si>
  <si>
    <t>Sumatoria total de computadores y/o perifericos validadas/ sumatoria total de computadores y/o perifericos de meta de gestión</t>
  </si>
  <si>
    <t>Gestión con valores para el resultado</t>
  </si>
  <si>
    <t>Porcentaje de reprocesos por verificación de documentos inicial</t>
  </si>
  <si>
    <t>Número de devoluciones por verificación de documentos inicial /Número total de solicitudes</t>
  </si>
  <si>
    <t>En el mes de enero, las solicitudes de completitud de requisitos de inicio, reflejaron en un 8.1% de las 1992 solicitudes presentadas a corte de 31 de diciembre.</t>
  </si>
  <si>
    <t>Al corte del mes de febrero, las solicitudes de completitud de requisitos de inicio reflejaron un 7.3% de las 3902 solicitudes presentadas hasta 29 d efebrero de 2020</t>
  </si>
  <si>
    <t>Al 31 de marzo se realizaron 440 requerimientos de información información adicional sobre las 5.537 solicitudes recibidas,  esto representa un porcentaje de reproceso del 7.9%.</t>
  </si>
  <si>
    <t>Instrumentos y regionalización</t>
  </si>
  <si>
    <t>Porcentaje de gestión de Instrumentos técnicos de apoyo ambiental externo elaborados.</t>
  </si>
  <si>
    <t>Instrumentos De Gestión Y Control Optimizados.</t>
  </si>
  <si>
    <t>% de propuestas de instrumentos elaborados</t>
  </si>
  <si>
    <t>A 31 de enero se avanza en un 9% de los instrumentos de apoyo ambiental externo</t>
  </si>
  <si>
    <t>En el transcurso del mes de Enero se llevo a cabo el proceso de aseguramiento de los instrumentos de obligaciones mínimas Fase I,Desmantelamiento y Abandono de hidrocarburos y Periodicidad de ICAS(Expedientes: INS0012-00-2019, INS0018-002019, INS0014-00-2019).Con respecto al IDA hubo una priorización con el equipo detecnologías lo que permitió iniciar el proceso de análisis y diseño del tablero de control de este instrumento (Exp. INS-0013-00-2019)</t>
  </si>
  <si>
    <t>A 29 de febrero se avanza en un 14 % de los instrumentos de apoyo ambiental externo: D:\OneDrive - ANLA - Autoridad Nacional de Licencias Ambientales\NO MISIONAL\PAI 2020\Instrumentos</t>
  </si>
  <si>
    <t>A 31 de marzo se avanza en un 22 % de los instrumentos de apoyo ambiental externo: D:\OneDrive - ANLA - Autoridad Nacional de Licencias Ambientales\NO MISIONAL\PAI 2020\Instrumentos</t>
  </si>
  <si>
    <t xml:space="preserve">En el mes de Marzo, se registra un avance promedio de 42%,  se tuvo en cuenta la realización de reuniones de socialización con profesionales de la SES, con el fin de implementar herramientas necesarias para el entendimiento de los instrumentos que por este mes, cumplieron con el 100% en su fase de socialización como lo son: obligaciones mínimas, desmantelamiento y abandono en el sector hidrocarburos y Periodicidad ICA´S. Por tal motivo se da inicio a la implementación del mismo reportando el inicio de esta fase en un 46% para obligaciones mínimas un 100% para desmantelamiento y abandono (hidrocarburos), para el mes de abril se iniciarán estas actividades con periodicidad ICA´S. De otro modo se sigue trabajando con el desarrollo del instrumento Estandarización de fichas que a la fecha sigue en su etapa de desarrollo con un 37%, y el instrumento denominado cierre minería con un desarrollo del 38%. </t>
  </si>
  <si>
    <t>Solicitudes Atendidas</t>
  </si>
  <si>
    <t># de solicitudes de términos de referencia específicos atendidos</t>
  </si>
  <si>
    <t>A corte de 31 de enero se recibieron dos soicitudes que se encuentra en solicitud de conceptos previo al inicio de los hitos de desarrollo.</t>
  </si>
  <si>
    <t>Actualmente se adelanta información secundaria en relación con 3 solicitudes: 
1. Aprovechamiento de biosólidos en el predio Tequendama
2. Solicitud los términos de referencia para la elaboración de los estudios requeridos para la modificación del Plan de Manejo Ambiental, asociado al Expediente LAM-514, con el propósito de conocer los parámetros y condiciones para las actividades de mantenimiento requeridas en la central hidroeléctrica de Chivor
3. Solicitud de terminos de referencia para los tramites ambientales en las etapas de prefactibilidad, factibilidad y diseño con el fin de adelantar el estudio de una pequeña central hidroelectrica en el municipio de Nuqui, departamento del Chocó, que se traslapa con el Parque Nacional Natural Utria</t>
  </si>
  <si>
    <t>Racionalización de trámites</t>
  </si>
  <si>
    <t>Actos administrativos relacionados con la evaluación y/o modificación de Licencias Ambientales en áreas regionalizadas que incluyan condicionantes de análisis regional</t>
  </si>
  <si>
    <t>Número de actos administrativos relacionados con la evaluación de proyectos y/o modificación de Licencias Ambientales que incluyan condicionantes de análisis regional/Número de actos administrativos emitidos en áreas regionalizadas o relacionados con proyectos de alta complejidad</t>
  </si>
  <si>
    <t>Se registra un acto administrativo de otorgamiento emitido durante el mes de enero del proyecto Conconcreto (LAV0050-13), adicional a lo anterior, el equipo de evaluación y  seguimiento se encuentra apoyando la evaluación de 11 proyectos mas que se encuentran en el siguiente estado: 1.LAV033-00-2019 (Verderón) y 2. LAV0038-00-2109 (Bienparado). En revisión por parte de la coordinación de hidrocarburos. 3. LAM3816 (Campo Capella). En revisión por parte de líderes. 4. LAM0793 (PECIG). En espera de información adicional. 5. LAV0002-00-2020 (Cerromatoso), 6. LAV0041-13 (Pendare) y 7. LAM0761 (Reficar). En fase de campo. 8. LAV0012-00-2019. (Soto Norte). En elaboración de concepto. 9. LAV0052-00-2019 (Planeta Rica). En fase de preparación visita de campo. 10. LAV0001-00-2020. (Quebradona) y 11. LAV0004-00-2020 (Dragado de Cartagena). En fase de revisión de información radicada. De acuerdo a lo anterior se registran 12 solicitudes de apoyo en la evaluación, de las cuales 1 cuenta con acto administrativo.</t>
  </si>
  <si>
    <t>Se registra un acto administrativo de otorgamiento emitido durante el mes de enero del proyecto Conconcreto (LAV0050-13) Y y un acto administrativo de modificación de licencia en febrero del proyecto Campo Capella, adicional a lo anterior, el equipo de evaluación y  seguimiento se encuentra apoyando la evaluación de 11 proyectos mas que se encuentran en el siguiente estado: 1.LAV033-00-2019 (Verderón) y 2. LAV0038-00-2109 (Bienparado). Pendiente generación acto administrativo. 3. LAM0793 (PECIG) y 4. LAM0761 (Reficar). En espera de información adicional. 5. LAV0002-00-2020 (Cerromatoso),  6. LAV0052-00-2019 (Planeta Rica  y 7. LAV0004-00-2020 (Dragado de Cartagena) Preparando audiencia de información adicional. 8. LAV0041-13 (Pendare) 9. LAV0012-00-2019. (Soto Norte) y 10. LAV0017-00-2019 (La Virginia)  En elaboración de concepto.  11. LAV0001-00-2020. (Quebradona)En fase de preparación visita de campo. De acuerdo a lo anterior se registran 13 solicitudes de apoyo en la evaluación, de las cuales 2 cuentan con acto administrativo.</t>
  </si>
  <si>
    <t>Se registran dos actos administrativos de otorgamiento de los proyectos Conconcreto (LAV0050-13) y  Verderón (LAV033-00-2019), un acto administrativo de modificación de licencia del proyecto Campo Capella y un acto administrativo de archivo del proyecto Bienparado (LAV0038-00-2109), adicional a lo anterior, el equipo de evaluación y  seguimiento se encuentra apoyando la evaluación de 9 proyectos mas que se encuentran en el siguiente estado: 1. LAV0041-13 (Pendare). En revisión por parte de los jurídicos del sector. 2. LAM0793 (PECIG),3. LAM0761 (Reficar), 4. LAV0002-00-2020 (Cerromatoso) y 5. LAV0004-00-2020 (Dragado de Cartagena)  En espera de información adicional. 6. LAV0052-00-2019 (Planeta Rica) y 7. LAV0001-00-2020. (Quebradona) Preparando audiencia de información adicional. 8. LAV0012-00-2019. (Soto Norte) y 9. LAV0017-00-2019 (La Virginia)  En elaboración de concepto. De acuerdo a lo anterior se registran 13 solicitudes de apoyo en la evaluación, de las cuales 4 cuentan con acto administrativo.</t>
  </si>
  <si>
    <t>Conceptos técnicos de seguimiento de apoyo a la Subdirección de Evaluación y Seguimiento - SES</t>
  </si>
  <si>
    <t>Número de conceptos técnicos realizados / número de apoyos solicitados * 100</t>
  </si>
  <si>
    <t>Se registra solicitud de apoyo para cuatro conceptos de seguimiento (enero-abril) del LAM0209. Aeropuerto del Dorado. Durante la vigencia enero 2019, se elaboró el concepto correspondiente a Enero el cual se encuentra actualmente en revisión. Adicionalmente se realiza solicitud de apoyo para el concepto de seguimiento del expediente LAM1094 (Cerrejón) en el marco de la sentencia T-614. De acuerdo a lo anterior se reportan cinco solicitudes, de las cuales 1 se encuentra en elaboración para la vigencia enero/2020.</t>
  </si>
  <si>
    <t>Se registran dos conceptos técnicos generados para el mes de febrero de los proyectos LAM0209 (Aeropuerto el Dorado-Enero) y PEA0004 (La Francia); adicional a lo anterior, el equipo de evaluación y seguimiento se encuentra apoyando la elaboración de cuatro proyectos mas que se encuentran en el siguiente estado: 1. LAM0209. (Aeropuerto El Dorado - Febrero) 2. LAM1094 (Cerrejón) y 3. LAM2233 (Ituango) En elaboración de concepto.  4. LAM2249 (Lisama). En revisión por parte de líderes. De acuerdo a lo anterior se registran 6 solicitudes de apoyo en el seguimiento, de las cuales 2 cuentan con concepto técnico</t>
  </si>
  <si>
    <t>Se registran cuatro conceptos técnicos generados a la fecha de los proyectos LAM0209 (Aeropuerto el Dorado-Enero), PEA0004 (La Francia) y  LAM2249 (Lisama); adicional a lo anterior, el equipo de evaluación y seguimiento se encuentra apoyando la elaboración de dos proyectos mas que se encuentran en el siguiente estado: 1. LAM1094 (Cerrejón) y  2. LAM2233 (Ituango) En revisión por parte de líderes. De acuerdo a lo anterior se registran 6 solicitudes de apoyo en el seguimiento, de las cuales 4 cuentan con concepto técnico</t>
  </si>
  <si>
    <t>Documentos técnicos de modelación regional de medios biótico, abiótico y social elaborados</t>
  </si>
  <si>
    <t># de documentos técnicos de modelación regional elaborados</t>
  </si>
  <si>
    <t>Espacios de Divulgación de Resultados.</t>
  </si>
  <si>
    <t>% de socializaciones y/o divulgaciones de las Estrategias de redes de monitoreo para las Regiónes priorizadas</t>
  </si>
  <si>
    <t>Para la vigencia de 2020 se tiene programada la elaboración de tres reportes de análisis regional los cuales cuentan seis fases.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AGIL/SLLA, se generó la selección y distribución de los anexos de archivo, y se esta realizando la solicitud y descarga de los mismos. En total se identificaron 1410 radicados a descargar de 68 expedientes. De igual manera se generó la descarga en SILA de resolución y conceptos para el diligenciamiento de la matriz preliminar de permisos. Esto corresponde a un avance del  5,8% de la actividad.
Se lleva un avance del 7,8% del reporte.</t>
  </si>
  <si>
    <t xml:space="preserve">Para la vigencia enero 2020 no se reporta ninguna socialización realizada. </t>
  </si>
  <si>
    <t>Para la vigencia de 2020 se tiene programada la elaboración de tres reportes de análisis regional: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AGIL/SILA, la selección y distribución de los anexos de archivo, y se realizó la solicitud y descarga de los mismos. En total se descargó la información de 1410 radicados de 68 expedientes; de igual manera se generó la descarga en SILA de resolución y conceptos para el diligenciamiento de la matriz preliminar de permisos. Con la depuración de la información se estableció que el universo son 64 expedientes a sistematizar.  Esto corresponde al 8% de la actividad.
3.Gestión información secundaria y articulación: se realizó la revisión de la información disponible en la página web de la CAR, SDA, y otras entidades y se proyecto oficio de solitud de información y de una reunión con la CAR para presentar el instrumento y darle alcance a la información solicitada. Se encuentra pendiente la confirmación del CAR del espacio de reunión, esto corresponde a un  3,5% de avance.
4. Sistematización de expedientes: se inicio la sistematización de la información de cada uno de los componentes (flora, fauna, recurso hídrico superficial, recurso hídrico subtéraneo, aire, ruido y socioeconómico) en la base de datos del modelo de almacenamiento de regionalización. De esta actividad se lleva un 7,5% de avance.
Para este reporte se tiene un avance del 21%.</t>
  </si>
  <si>
    <t>Las socializaciones de estrategias de monitoreo se encuentran programadas para el segundo semestre de 2020</t>
  </si>
  <si>
    <t>Para la vigencia de 2020 se tiene programada la elaboración de tres reportes de análisis regional: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AGIL/SILA, la selección y distribución de los anexos de archivo, y se realizó la solicitud y descarga de los mismos. En total se descargó la información de 1410 radicados de 68 expedientes; de igual manera se generó la descarga en SILA de resolución y conceptos para el diligenciamiento de la matriz preliminar de permisos. Con la depuración de la información se estableció que el universo son 64 expedientes a sistematizar.  Esto corresponde al 8% de la actividad.
3.Gestión información secundaria y articulación: se realizó la revisión de la información disponible en la página web de la CAR, SDA, y otras entidades y se proyecto oficio de solitud de información y de una reunión con la CAR para presentar el instrumento y darle alcance a la información solicitada. Se encuentra pendiente la confirmación del CAR del espacio de reunión, esto corresponde a un  4% de avance.
4. Sistematización de expedientes: se finalizó la sistematización de la información de cada uno de los componentes (flora, fauna, recurso hídrico superficial, recurso hídrico subtéraneo, aire, ruido y socioeconómico) en la base de datos del modelo de almacenamiento de regionalización. Queda pendiente incorporar la información de las CARs. Esto corresponde a un  25% de avance.
5. Elaboración de documento por componente: Se inicio la estructuración de los documentos de cada uno de los componentes (flora, fauna, recurso hídrico superficial, recurso hídrico subtéraneo, aire, ruido y socioeconómico). Esto corresponde a un 15% de avance. Se tiene programado reunion de integralidad el 6 de abril.
Para este reporte se tiene un avance del 53,6%.</t>
  </si>
  <si>
    <t>Información y Comunicación</t>
  </si>
  <si>
    <t>Transparencia, acceso a la información pública y lucha contra la corrupción</t>
  </si>
  <si>
    <t>Nodo Regional De Información Operando.</t>
  </si>
  <si>
    <t># de reportes de alertas regionales elaborados</t>
  </si>
  <si>
    <t>Documentos de soporte elaborado.</t>
  </si>
  <si>
    <t># de propuestas de Documento de las Estrategias de redes de monitoreo para las Regiones priorizadas.</t>
  </si>
  <si>
    <t>Para la vigencia 2020 se tiene programado obtener productos finales en al menos tres de las estrategias del monitoreo del instrumento para las fases de: Generación de información: Estrategia hídrica superficial cuenca del río Tillavá (en espera de información deriviada de la imposición de obligación para su respectivo análisis). Imposición de actos administrativos para las estrategias de Alto San Jorge, cuenca del río Cusiana y Tillavá hídrica subterráneo (en fase de gestión para la primera y revisión final para la segunda y tercera). Elaboración actos administrativos para las estrategias de Guajira y Antioquia (se cuenta con propuesta de red, pendiente socializar con actores internos y externos e iniciar con la elaboración de conceptos técnicos). Formulación de red para las estrategias de Putumayo, Meta y Buenaventura (no se han iniciado actividades, se proyecta iniciar durante el segundo semestre de 2020). De acuerdo a lo anterior durante la vigencia enero 2020 se avanzó en la gestión y ajuste final de concecptos para la fase de imposición de actos adminsitrativos para las estrategias Cusiana y Tillavá hídrico subterráneo, se espera contar con conceptos finalizados durante el mes de febrero de 2020.</t>
  </si>
  <si>
    <t>ESTRATEGIAS FASE DE IMPOSICIÓN OBLIGACIONES. Estrategia hídrica subterránea cuenca del río Tillavá. 50% Cuatro conceptos. LAM4795. (Concepto técnico 31-12-20), LAM5995 (Concepto técnico 28-02-20), LAM5281 (Concepto en revisión/verificación), LAV0084 (En espera de comentarios por parte de SES). Estrategia Hídrica Superficial y atmosférica Alto San Jorge. 25%. Cuatro conceptos. LAV0051-00-2017 (Sator-Mina BIjao). Se enviaron requerimientos de monitoreo hídricos superficiales y atmosféricos a ser vinculados en el concepto de evaluación de la modificación. LAM4656 (Gecelca). Se enviaron requerimientos  de monitoreo hídricos superficiales y atmosféricos a ser vinculados en el concepto técnico de seguimiento.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25%. 7 conceptos. LAV0029-00-2017 (Rumba-Enviado  a SES para comentarios). LAV0061-13 (Chitamena Sur - Enviado  a SES para comentarios), LAM6045 (Casimena- Enviado  a SES para comentarios), LAM0425 (Campo Santiago - En ajuste final concepto), LAM2160 (Entreríos- Enviado  a SES para comentarios), LAM0524 (CPF Cusiana-En ajuste final concepto), LAM0668 (Campo Cupiagua- En elaboración). ESTRATEGIAS FASE DE ELABORACIÓN DE CONCEPTOS: Estrategia componente atmósfera Guajira. 12% 4 Conceptos. LAM1179 (Termoguajira - Priorizado segundo semestre de 2020), LAM2619 (Puerto Brisa - Seguimiento Abril), LAM1094 (Cerrejón - En elaboración de concepto) LAM3491 (Caipa- Pdte definir alcance sector)</t>
  </si>
  <si>
    <t xml:space="preserve">ESTRATEGIAS FASE DE IMPOSICIÓN OBLIGACIONES. Estrategia hídrica subterránea cuenca del río Tillavá. 75% Cuatro conceptos. LAM4795. (Concepto técnico 31-12-20), LAM5995 (Concepto técnico 28-02-20), LAM5281 (Concepto técnico 3-03-20), LAV0084 (En espera de comentarios por parte de SES).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25%. 7 conceptos. LAV0029-00-2017 (Rumba-Enviado  a SES para comentarios). LAV0061-13 (Chitamena Sur - Enviado  a SES para comentarios), LAM6045 (Casimena- Enviado  a SES para comentarios), LAM0425 (Campo Santiago - En ajuste final concepto), LAM2160 (Entreríos- Enviado  a SES para comentarios), LAM0524 (CPF Cusiana-En ajuste final concepto), LAM0668 (Campo Cupiagua- En elaboración). ESTRATEGIAS FASE DE ELABORACIÓN DE CONCEPTOS: Estrategia componente atmósfera Guajira. 12% 4 Conceptos. LAM1179 (Termoguajira - Priorizado segundo semestre de 2020), LAM2619 (Puerto Brisa - Seguimiento Abril), LAM1094 (Cerrejón - concepto en revisión), LAM3491 (Caypa- en fase de revisión). </t>
  </si>
  <si>
    <t>REPORTE AVANCE MENSUAL</t>
  </si>
  <si>
    <t>Avance indicador de producto enero</t>
  </si>
  <si>
    <t>Avance indicador de gestión enero</t>
  </si>
  <si>
    <t>Avance indicador de producto febrero</t>
  </si>
  <si>
    <t>Avance indicador de gestión febrero</t>
  </si>
  <si>
    <t>Avance indicador de producto marzo</t>
  </si>
  <si>
    <t>Avance indicador de gestión marzo</t>
  </si>
  <si>
    <t>Incrementar la credibilidad en la entidad por parte de sus grupos de interés</t>
  </si>
  <si>
    <t>Gestión de tecnologías comunicaciones y seguridad de la información</t>
  </si>
  <si>
    <t>Comunicaciones estratégicas</t>
  </si>
  <si>
    <t>Comunicaciones</t>
  </si>
  <si>
    <t>Productos comunicacionales elaborados</t>
  </si>
  <si>
    <t>Canales de comunicación en servicio</t>
  </si>
  <si>
    <t>No. Canales gestionados en servicio</t>
  </si>
  <si>
    <t>ANDREA LUCIA ARANGO HERNANDEZ [Jefe de Comunicaciones]</t>
  </si>
  <si>
    <t>En el mes de enero se implementó la campaña de comunicaciones logros ANLA, la cual fue socializada a través de canales como el correo electrónico, ronda e Intranet. Igualmente, fueron apoyadas las solicitudes internas remitidas por la Oficina de Tecnología, Talento Humano., entre otros. Igualmente, las actividades del Equipo de Comunicaciones se centraron en la planeación, la generación de contenidos internos principalmente, con el fin socializar los logros de la entidad. Por lo anterior, se presentó una baja producción de gestión con medios de comunicación y generación de contenidos en redes sociales.</t>
  </si>
  <si>
    <t>En el mes de enero, los canales de comunicación que se emplearon fueron: el correo electrónico, la ronda semanal, la Intranet, El Director nos cuenta, Facebook, Twitter, LinkedIn y la página web.</t>
  </si>
  <si>
    <t>En el mes de febrero se generaron contenidos internos y externos relacionados con los logros de la ANLA en 2019 como contar con sus procesos de seguimiento y control ambiental al 100%, y el diseño de herramientas de control que le permitieron a la entidad comprender lo que pasaba en los territorios.</t>
  </si>
  <si>
    <t>En el mes de febrero, los canales de comunicación que se emplearon fueron: el correo electrónico, la ronda semanal, la Intranet, El Director nos cuenta, la cartelera, el fondo de escritorio, Facebook, Twitter, LinkedIn, YouTube y la página web.</t>
  </si>
  <si>
    <t>En el mes de marzo se generaron contenidos internos y externos relacionados con las medidas adoptadas por la entidad frente al COVID-19 y la reestructuración, entre otros. A su vez,en materia de comunicaciones internas se generaron diferentes comunicaciones y piezas gráficas sobre el trabajo en casa.</t>
  </si>
  <si>
    <t>En el mes de marzo, los canales de comunicación que se emplearon fueron: el correo electrónico, la ronda semanal, la Intranet, El Director nos cuenta, la cartelera, el fondo de escritorio, Facebook, Twitter, LinkedIn, YouTube, la página web y correos externos a periodistas de medios de comunicación.</t>
  </si>
  <si>
    <t>Contenidos publicados en canales de comunicación interno en servicio</t>
  </si>
  <si>
    <t>No. De contenidos publicados en canales de comunicación internos</t>
  </si>
  <si>
    <t>En el mes de enero se implementó la campaña de comunicaciones logros ANLA, la cual fue socializada a través de canales como el correo electrónico, ronda e Intranet. Igualmente, fueron apoyadas las solicitudes internas remitidas por la Oficina de Tecnología, Talento Humano., entre otros.</t>
  </si>
  <si>
    <t>En este mes, se generaron contenidos relacionados con las campañas internas de logros ANLA, la aplicación ANLA y la nueva sede. A su vez, se replicaron contenidos solicitados por la Subdirección Administrativa y Financiera y sus subgrupos (Talento humano, Tecnología, Administrativa, salud y seguridad en el trabajo, entre otros).</t>
  </si>
  <si>
    <t xml:space="preserve">En este mes, se generaron contenidos relacionados con las campañas internas de  reestructuración,coronavirus y trabajo desde casa,  A su vez, se replicaron contenidos solicitados por la Subdirección Administrativa y Financiera y sus subgrupos (Talento humano, Tecnología y Financiera, entre otros). </t>
  </si>
  <si>
    <t>Contenidos publicados en canales de comunicación externo en servicio</t>
  </si>
  <si>
    <t>No. De contenidos publicados realizadas en canales de comunicación externos</t>
  </si>
  <si>
    <t>En este mes, las actividades del Equipo de Comunicaciones se centraron en la planeación, la generación de contenidos internos principalmente, con el fin socializar los logros de la entidad. Por lo anterior, se presentó una baja producción de gestión con medios de comunicación y generación de contenidos en redes sociales. Igualmente, el community manager se integró al equipo el 21 de enero.</t>
  </si>
  <si>
    <t xml:space="preserve">En este mes, se generaron contenidos para redes sociales y página web relacionados con los logros de la entidad en 2019, el seguimiento al Plan Piloto del Aeropuerto El Dorado y Sembrar nos Une, entre otros. </t>
  </si>
  <si>
    <t xml:space="preserve">En este mes, se generaron contenidos para redes sociales y página web relacionados con el coronavirus, la reestructuración de la entidad y el seguimiento al Plan Piloto del Aeropuerto El Dorado, entre otros. </t>
  </si>
  <si>
    <t>Espacio principal de rendición de cuentas realizada</t>
  </si>
  <si>
    <t>No. De rendiciones de cuentas realizadas</t>
  </si>
  <si>
    <t>Si bien el espacio de la rendición de cuentas no está previsto para este período,  cabe destacar que se realizaron actividades relacionadas con el tema como la publicación del Informe de Gestión en la página web de la entidad, la socialización del mismo a través de la ronda.</t>
  </si>
  <si>
    <t>Si bien el espacio de la rendición de cuentas no está previsto para este período, se adelantaron reuniones preparatorias de la rendición de cuentas y los espacios con los grupos de interés. Así mismo, cabe destacar que se realizaron actividades relacionadas con el tema como la publicación del comunicado de prensa, la columna de opinión del director de la ANLA (que fue publicada en la edición online e impresa de Portafolio y la Infografía de logros de la ANLA.</t>
  </si>
  <si>
    <t>En este mes, las gestiones de comunicaciones estuvieron enfocadas en informar sobre las medidades adoptadas por la entidad frente al COVID-19,la reestructuración y el trabajo desde casa,entre otros.</t>
  </si>
  <si>
    <t>Posicionamiento de la ANLA a nivel externo</t>
  </si>
  <si>
    <t>Noticias con valoración positiva de la ANLA / Total de noticias en las que ANLA aparece</t>
  </si>
  <si>
    <t>Gestión de información de la ANLA para medios de comunicación</t>
  </si>
  <si>
    <t>No. De solicitudes de los medios de comunicación gestionadas</t>
  </si>
  <si>
    <t xml:space="preserve">En el mes de enero, la gestión de Comunicaciones estuvo centrada en labores de planeación, así como en la generación de contenidos relacionados con la campaña de comunicación interna de logros ANLA. Los avances en la gestión con medios de comunicación se reflejarán más en el reporte correspondiente al mes de febrero reportarán avances  la gestión con medios de comunicación se reportarán avances en el mes de febrero </t>
  </si>
  <si>
    <t xml:space="preserve">En el mes de enero, la gestión de Comunicaciones estuvo centrada en labores de planeación. Igualmente, se realizaron acercamientos con peridistas de Semana, El Tiempo, El Espectador, La República, Colombiano, Portafolio, EL Heraldo, La FM, RCN Radio, Valor Analitik y Radio Nacional, medios de comunicación que registraron la sanción a Ecopetrol por Lisama. En este mes los esfuerzos se concentraron también en la generación de contenidos relacionados con la campaña de comunicación interna de logros ANLA. A su vez, los avances en la gestión con medios de comunicación se reflejarán más en el reporte correspondiente al mes de febrero. </t>
  </si>
  <si>
    <t>En el mes de febrero, se generaron comunicados de prensa relacionados con los logros de la ANLA en 2019, la  aprobación de la licencia ambiental al proyecto de energía eólica en La Guajira y con los trámites de licenciamiento ambiental que impliquen intervención de especies en veda, entre otros . De estas noticias la más registrada por los medios de comunicación nacionales y regionales fue la relacionada con la aprobación del proyecto eólico en la Guajira con aproximadamente 25 noticias.</t>
  </si>
  <si>
    <t xml:space="preserve">En el mes de marzo se generaron comunicados de prensa relacionados  la reestructuración de la entidad , las medidas de prevención y contención del coronavirus adoptadas por la entidad, la racionalización de trámites y  la aclaración en el sentido de que la  ANLA no emitió pronunciamiento facultando a EPM para avanzar con las obras que permitan la generación de energía de Hidroituango, entre otros. </t>
  </si>
  <si>
    <t xml:space="preserve">En el mes de marzo se generaron comunicados de prensa relacionados  la reestructuración de la entidad , las medidas de prevención y contención delcoronavirus adoptadas por la entidad, la racionalización de trámites y  la aclaración en el sentido de que la  ANLA no emitió pronunciamiento facultando a EPM para avanzar con las obras que permitan la generación de energía de Hidroituango, entre otros. </t>
  </si>
  <si>
    <t>Efectividad de la comunicación interna</t>
  </si>
  <si>
    <t>Videos de apropiación publicados/campañas priorizadas\n</t>
  </si>
  <si>
    <t>Campañas priorizadas</t>
  </si>
  <si>
    <t>Número de campañas priorizadas publicadas</t>
  </si>
  <si>
    <t>En el mes de enero se produjeron 4 videos en los que se destacaron los logros de la Subdirección Administrativa y Financiera, la Subdirección de Evaluación y Seguimiento, la Subdirección de Instrumentos, Permisos y Trámites, la Oficina Jurídica, los cuales hacen parte de la campaña interna de logros ANLA.</t>
  </si>
  <si>
    <t>En el mes de enero se implementó la campaña de logros de la ANLA, la cual se ha socializado a través de correo electrónico, Intranet, El Director nos Cuenta y el boletín semanal de la ronda.</t>
  </si>
  <si>
    <t>En el mes de febrero se publicó en la Intranet, se envío por correo masivo y se socializaron a través del boletín electrónico de la ronda los logros de la Oficina Asesora de Planeación, con el fin de dar continuidad a la campaña de logros implementada en enero. Igualmente, se grabó y publicó un video en la Intranet relacionado con el aporte de la ANLA a la iniciativa liderada por el MInisterio de Ambiente y Desarrollo Sostenible de "Sembrar nos Une".</t>
  </si>
  <si>
    <t>En el mes de febrero, las campañas internas implementadas fueron logros ANLA, la aplicación ANLA y la nueva sede.</t>
  </si>
  <si>
    <t xml:space="preserve">En el mes de marzo se publicaron en la Intranet y se socializaron por correos 8 videos relacionados con la campaña de  reestructuración de la entidad. </t>
  </si>
  <si>
    <t>En el mes de marzo, las campañas internas implementadas fueron: reestructuración, coronavirus y trabajo desde casa.</t>
  </si>
  <si>
    <t>Control Interno</t>
  </si>
  <si>
    <t>Control a la Gestión</t>
  </si>
  <si>
    <t>N/A</t>
  </si>
  <si>
    <t>Nivel de efectividad de las acciones de mejoramiento definidas por la entidad</t>
  </si>
  <si>
    <t>Número de acciones efectivas (PM interno + PM CGR) / Total de acciones evaluadas (PM interno + PM CGR)</t>
  </si>
  <si>
    <t>Efectividad de las acciones del plan de mejoramiento interno</t>
  </si>
  <si>
    <t>No. Total de acciones con concepto positivo /No. Total de acciones evaluadas del plan de mejoramineto interno</t>
  </si>
  <si>
    <t>Jefe de Oficina Control Interno o quien haga sus veces</t>
  </si>
  <si>
    <t>Evaluadas en total 178 de las cuales se cerraron 161</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</si>
  <si>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t>
    </r>
  </si>
  <si>
    <t>Cumplimiento de las acciones formuladas en el Plan de Mejoramiento suscrito con la CGR (50%)</t>
  </si>
  <si>
    <t>No. Total de acciones cerradas /No. Total de acciones evaluadas del plan de mejoramiento CGR.</t>
  </si>
  <si>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Se evaluaron en el mes 36 acciones de las cuales se cerraron 36, es decir el 100%.
El porcentaje acumulado se calcula sumando la totalidad de acciones evaluadas en la vigencia (118 acciones) sobre las cerradas (108 acciones); esto arroja un avance acumulado de 91,5%</t>
    </r>
  </si>
  <si>
    <t>REPORTE AVANCE MENSUAL ENERO_2020</t>
  </si>
  <si>
    <t>REPORTE AVANCE MENSUAL FEBRERO_2020</t>
  </si>
  <si>
    <t>REPORTE AVANCE MENSUAL MARZO_2020</t>
  </si>
  <si>
    <t>Actuaciones sancionatorias</t>
  </si>
  <si>
    <t>Oficina Asesora Jurídica</t>
  </si>
  <si>
    <t>Sancionatorios</t>
  </si>
  <si>
    <t>Unidad de actos administrativos expedidos en procesos sancionatorios ambientales competencia de ANLA</t>
  </si>
  <si>
    <t>No. Actos Administrativos sancionatorios firmados</t>
  </si>
  <si>
    <t>Concepto técnico sancionatorio acogidos</t>
  </si>
  <si>
    <t>No. de actos administrativos firmados en procesos sancionatorios ambientales de competencia de la ANLA acogiendo conceptos técnicos de la etapa correspondiente</t>
  </si>
  <si>
    <t>DANIEL RICARDO PAEZ DELGADO [Jefe de Oficina Asesora Juridica]</t>
  </si>
  <si>
    <t>Se emitieron 60 actos administrativos para el mes de enero vigencia 2020, distribuidos en los dos indicadores medibles en enero, de la siguiente manera: Indicador 1 se emitieron 27 actos administrativos acogiendo CT de inicio y para el indicador 3 se emitieron 33 actos administrativos de gestión entre las etapas del proceso sancionatorio.
E1_SANCIONATORIO_ACTOS ADMINISTRATIVOS FIRMADOS_ENERO_2020</t>
  </si>
  <si>
    <t>Para el primer indicador se emitieron 25 autos de apertura de investigación y 2 autos de indagación preliminar.</t>
  </si>
  <si>
    <t>Se emitieron 60 actos administrativos para el mes de febrero vigencia 2020, distribuidos en los tres indicadores medibles en febrero, de la siguiente manera: Indicador 1 se emitieron 21 actos administrativos acogiendo CT de inicio, indicador 2 se emitieron 4 resoluciones de fondo y para el indicador 3 se emitieron 35 actos administrativos de gestión entre las etapas del proceso sancionatorio.
E1_SANCIONATORIO_ACTOS ADMINISTRATIVOS FIRMADOS_FEBRERO_2020</t>
  </si>
  <si>
    <t>Para el primer indicador se emitieron 21 autos de apertura de investigación y 1 indagación preliminar acogiendo CT.</t>
  </si>
  <si>
    <t>Se emitieron 65 actos administrativos para el mes de marzo vigencia 2020, distribuidos en los tres indicadores medibles en marzo, de la siguiente manera: Indicador 1 se emitieron 27 actos administrativos acogiendo CT de inicio, indicador 2 se emitieron 5 desiciones de fondo y para el indicador 3 se emitieron 33 actos administrativos de gestión entre las etapas del proceso sancionatorio.
E1_SANCIONATORIO_ACTOS ADMINISTRATIVOS FIRMADOS_MARZO_2020</t>
  </si>
  <si>
    <t>Para el primer indicador se emitieron 26 autos de apertura de investigación y 1 resolución que impone medida preventiva acogiendo CT.</t>
  </si>
  <si>
    <t>Decisiones de fondo</t>
  </si>
  <si>
    <t>No. de actos administrativos de decisiones de fondo firmados en procesos sancionatorios ambientales de competencia de la ANLA</t>
  </si>
  <si>
    <t>EL INDICADOR DE GESTIÓN 2 "DECISIONES DE FONDO" SE MIDE A PARTIR DE FEBRERO Y HASTA DICIEMBRE DE 2020</t>
  </si>
  <si>
    <t>Para el segundo indicador se emitieron 2 resoluciones de Cesación del proceso sancionatorio, 1 resolución de Exoneración de responsabilidad y 1 resolución que Impone Sanción.</t>
  </si>
  <si>
    <t>Para el segundo indicador se emitieron 2 resoluciones de Cesación del proceso sancionatorio, 1 auto de archivo de indagación preliminar  y 2 resoluciones que resuelven recurso de reposición a sanción.</t>
  </si>
  <si>
    <t>Impulso procesal en los procesos Sancionatorios Ambientales</t>
  </si>
  <si>
    <t>No. de actos administrativos firmados en procesos sancionatorios ambientales de competencia de la ANLA con avance entre etapas</t>
  </si>
  <si>
    <t>Para el tercer indicador se emitieron 8 autos que decreta, rechaza o niega pruebas, 6 auto de aclaración, 6 autos de formulación de cargos, 5 autos de archivo de proceso sancionatorio, 2 resolución que levanta medida preventiva, 1 auto de cobro sancionatorio, 1 auto de traslado por competencia, 1 auto que ordena diligencia, 1 auto por el que se fija fecha para la práctica de una prueba, 1 auto por el que resuelve recurso y 1 auto que vincula persona a investigación.</t>
  </si>
  <si>
    <t>Para el tercer indicador se emitieron 17 autos que decreta, rechaza o niega pruebas, 13 autos de formulación de cargos, 1 auto de archivo de proceso sancionatorio, 1 resolución que levanta medida preventiva, 2 auto por el que resuelve recurso.</t>
  </si>
  <si>
    <t>Para el tercer indicador se emitieron 27 autos de formulación de cargos, 2 autos que decreta, rechaza o niega pruebas, 1 auto de aclaración, 1 auto de prorroga del periodo probatorio, 1 auto que ordena diligencia dentro de investigación sancionatoria y 1 resolución que niega levantamiento de medida.</t>
  </si>
  <si>
    <t>Defensa jurídica</t>
  </si>
  <si>
    <t>Apoyo</t>
  </si>
  <si>
    <t>Gestión jurídica</t>
  </si>
  <si>
    <t>Procesos judiciales</t>
  </si>
  <si>
    <t>Tasa de éxito procesal</t>
  </si>
  <si>
    <t>Número de procesos en contra de la entidad terminados (ejecutoriado) con fallo favorable / Total numero de procesos en contra de la entidad terminados</t>
  </si>
  <si>
    <t>Para el mes de enero de 2020 se emitieron seis fallos ejecutoriados de los cuales 5 son favorables para la entidad:
E1_JUDICIALES 2014-00071
E2_JUDICIALES 2015-00019
E3_JUDICIALES 2017-00449
E4_JUDICIALES 2017-00606
E5_JUDICIALES 2009-00301
E6_JUDICIALES 2018-704 DESFAVORABLE</t>
  </si>
  <si>
    <t xml:space="preserve">Para el mes de febrero de 2020, se emitieron dos fallos uno  favorable  y  uno desfavorable ejecutoriado.
E1_JUDICIALES 2016-07850 FAVORABLE 1 INST
E2_JUDICIALES 2016-00114 DESFAVORABLE 2 INST
</t>
  </si>
  <si>
    <t xml:space="preserve">Para el mes de marzo de 2020 se emitió un fallo ejecutoriado favorable:
E1_JUDICIALES 2011-00612
</t>
  </si>
  <si>
    <t>Conceptos jurídicos</t>
  </si>
  <si>
    <t>Implementación Plan de Acción de Comité de Conciliación</t>
  </si>
  <si>
    <t>Porcentaje de avance de actividades de acuerdo con el cronograma</t>
  </si>
  <si>
    <t>De acuerdo con el Plan de Acción de Comité de Conciliación estaban programadas 20 actividades que se cumplieron en su totalidad.
E5_JUDICIALES_Plan de Acción Comité de Conciliación 2020</t>
  </si>
  <si>
    <t>De acuerdo con el Plan de Acción de Comité de Conciliación estaban programadas 22 actividades que se cumplieron en su totalidad.
E2_JUDICIALES_Plan de Acción Comité de Conciliación 2020</t>
  </si>
  <si>
    <t>De acuerdo con el Plan de Acción de Comité de Conciliación estaban programadas 24 actividades que se cumplieron en su totalidad.
E2_JUDICIALES_Plan de Acción Comité de Conciliación 2020
E3_JUDICIALES_EVIDENCIAS COMITÉ DE CONCILIACIÓN_MARZO 2020</t>
  </si>
  <si>
    <t>Gestión Presupuestal y eficiencia del gasto público</t>
  </si>
  <si>
    <t>Procesos coactivos</t>
  </si>
  <si>
    <t>Cartera coactiva recuperada hasta la vigencia 2020</t>
  </si>
  <si>
    <t>Total recaudo en banco de cartera coactiva</t>
  </si>
  <si>
    <t>Recaudo en banco cartera coactiva</t>
  </si>
  <si>
    <t>Total recaudo en banco de cartera / meta establecida para la vigencia</t>
  </si>
  <si>
    <t>Durante el periodo de enero de 2020 se recaudo por cobro coactivo $1,807,011,508, representado en  pagos parciales y pagos totales, logrando el 42% de la meta propuesta.
E1_COACTIVO_Base de Datos Financiera_ Ene 2020</t>
  </si>
  <si>
    <t xml:space="preserve">Durante el periodo de enero de 2020 se recaudo por cobro coactivo $1,807,011,508, representado en  pagos parciales y pagos totales, logrando el 42% de la meta propuesta.
</t>
  </si>
  <si>
    <r>
      <rPr>
        <sz val="10"/>
        <rFont val="Calibri"/>
        <family val="2"/>
        <scheme val="minor"/>
      </rPr>
      <t>A febrero de 2020 se recaudo por cobro coactivo y persuasivo $370.606.078, representado en  pagos parciales y pagos totales.</t>
    </r>
    <r>
      <rPr>
        <sz val="10"/>
        <color rgb="FFFF0000"/>
        <rFont val="Calibri"/>
        <family val="2"/>
        <scheme val="minor"/>
      </rPr>
      <t xml:space="preserve">
</t>
    </r>
    <r>
      <rPr>
        <sz val="10"/>
        <rFont val="Calibri"/>
        <family val="2"/>
        <scheme val="minor"/>
      </rPr>
      <t xml:space="preserve">E1_COACTIVO_Base Datos Financiera_ Pagos CC_Feb 2020
E2_COACTIVO_Base Datos Financiera_Pagos CP_Feb 2020
E3_Cuadro Seguimiento Cobro Coactivo
</t>
    </r>
  </si>
  <si>
    <t>Durante el periodo de febrero de 2020 se recaudo por cobro coactivo $216.454.628, representado en  pagos parciales y pagos totales.</t>
  </si>
  <si>
    <r>
      <rPr>
        <sz val="10"/>
        <rFont val="Calibri"/>
        <family val="2"/>
        <scheme val="minor"/>
      </rPr>
      <t>A Marzo de 2020 se recaudo por cobro coactivo   $650.170.439, representado en  pagos parciales y pagos totales.</t>
    </r>
    <r>
      <rPr>
        <sz val="10"/>
        <color rgb="FFFF0000"/>
        <rFont val="Calibri"/>
        <family val="2"/>
        <scheme val="minor"/>
      </rPr>
      <t xml:space="preserve">
</t>
    </r>
    <r>
      <rPr>
        <sz val="10"/>
        <rFont val="Calibri"/>
        <family val="2"/>
        <scheme val="minor"/>
      </rPr>
      <t xml:space="preserve">E1_COACTIVO_BASE FINANCIERA_PAGOS CC_Marzo 2020
E2_COACTIVO_BASE FINANCIERA_PAGOS CP_Marzo 2020
E3_Cuadro_S_Cobro_Coactivo_Metas Marzo 2020
</t>
    </r>
  </si>
  <si>
    <t>Durante el periodo de marzo de 2020 se recaudo por cobro coactivo  $205.223.653, representado en  pagos parciales y pagos totales.</t>
  </si>
  <si>
    <t>Recaudo en banco cartera persuasiva</t>
  </si>
  <si>
    <t>Total recaudo en banco de cartera / meta establecida para la vigencia\n</t>
  </si>
  <si>
    <t>En el primer mes del año 2020, no se recibio remisiones de autos de cobro por parte de SAF.</t>
  </si>
  <si>
    <t>Se recibe en el segundo mes del año 2020, 184 remisiones por parte de SAF por cobros de seguimiento y por multas, representadas en $4,816,495,550. 
Se recaudo $154,151,450 de la meta establecida para el 2020.</t>
  </si>
  <si>
    <t xml:space="preserve">
Durante el mes de marzo se recaudo por cobro persuasivo $444,946,786 de la meta establecida para el 2020.</t>
  </si>
  <si>
    <t>Procesos disciplinarios</t>
  </si>
  <si>
    <t>Oficina de Control Disciplinario Interno</t>
  </si>
  <si>
    <t>Control Disciplinario</t>
  </si>
  <si>
    <t>Porcentaje de trámites de actuaciones disciplinarias</t>
  </si>
  <si>
    <t>Número total de procesos impulsados / Número total de procesos</t>
  </si>
  <si>
    <t>NIDIAN CONSTANZA BARRETO CABALLERO [Coordinador(a)]</t>
  </si>
  <si>
    <t>Durante el mes de enero se emitieron 36 Actos administrativos.</t>
  </si>
  <si>
    <t>Durante el mes de febrero se emitieron 60 Actos administrativos.</t>
  </si>
  <si>
    <t>Durante el mes de marzo se emitieron  8 Actos administrativos.</t>
  </si>
  <si>
    <t>Grado de satisfacción en acciones preventivas de los colaboradores capacitados</t>
  </si>
  <si>
    <t>Porcentaje de satisfacción alcanzado por los colaboradores capacitados en acciones preventivas</t>
  </si>
  <si>
    <t>Durante el mes de enero se capacitan 300 Servidores de Anla con alto grado de satisfacción.</t>
  </si>
  <si>
    <t>Durante el mes de febrero se capacitan 43 colaboradores de Anla con alto grado de satisfacción.</t>
  </si>
  <si>
    <t>Durante el mes de marzo se capacitan 17  colaboradores de Anla con alto grado de satisfacción.</t>
  </si>
  <si>
    <t>Procesos (activos a 30 septiembre 2019) en etapa de cargos o finalizada a 31 de diciembre 2020</t>
  </si>
  <si>
    <t>Número de procesos avanzados a la etapa de cargos o finalizados/104 procesos (año 2015 a septiembre 30) terminados</t>
  </si>
  <si>
    <t>Este Indicador tiene el porcentaje de las tareas realizadas durante la vigencia es importante mencionar que se mide anualmenta mide anualmenre.</t>
  </si>
  <si>
    <t>Este Indicador tiene el porcentaje de las tareas realizadas durante la vigencia es importante mencionar que se mide anualmenta mide anualmente, y el porcentaje arrojado es la suma de cada mes.</t>
  </si>
  <si>
    <t>Gobierno Digital, antes Gobierno en Línea</t>
  </si>
  <si>
    <t>Gestión tecnológica y seguridad de la información</t>
  </si>
  <si>
    <t>Oficina de Tecnologías de la Información</t>
  </si>
  <si>
    <t>Tecnologias de Información y Comunicación</t>
  </si>
  <si>
    <t>Sistema de interoperabilidad implementado</t>
  </si>
  <si>
    <t>Número de sistemas integrados</t>
  </si>
  <si>
    <t>Herramientas De Software Adquiridas</t>
  </si>
  <si>
    <t>No. de herramientas de software adquiridas</t>
  </si>
  <si>
    <t>FERNANDO OSPINA MARIN [Líder]</t>
  </si>
  <si>
    <t>Se está definiendo el alcance de la contratación del API GATEWAY que permitirá la interoperabilidad entre sistemas de información y servicios de acuerdo con la meta definida.</t>
  </si>
  <si>
    <t>Actualmente el proceso TIC se encuentra realizando las actividades precontractuales necesarias para la adquisición de los sistemas y las tecnologías planeadas en el Plan de Adquisiciones 2020</t>
  </si>
  <si>
    <t>Se está definiendo el alcance de la contratación del API GATEWAY que permitirá la interoperabilidad entre sistemas de información y servicios de acuerdo con la meta definida.
En el mes de marzo se definió la ficha técnica de APIGATEWAY solicitaron cotizaciones con fines de estudio de mercado a varias empresas colombianas.</t>
  </si>
  <si>
    <t>En el mes de marzo se firmó el contrato correspondiente a la renovación de licencias y servicios geoespaciales PLANET por valor de $1.141.000.0000
Actualmente el proceso TIC se encuentra realizando las actividades precontractuales necesarias para la adquisición de los sistemas y las tecnologías planeadas en el Plan de Adquisiciones 2020</t>
  </si>
  <si>
    <t>Equipos De Hardware Adquiridos</t>
  </si>
  <si>
    <t>No. de unidades de hardware adquiridos</t>
  </si>
  <si>
    <t>Usuarios del sistema</t>
  </si>
  <si>
    <t>Número de usuarios del sistema</t>
  </si>
  <si>
    <t>Módulos Del Sistema De Información Actualizados</t>
  </si>
  <si>
    <t>Número de módulos actualizados/optimizados</t>
  </si>
  <si>
    <t>Aunque se realizó el paso a producción del aplicativo de contingencias en la última semana de enero, aún no se ha registrado una cifra contundente de usuarios impactados con la solución. Se reportará en febrero.</t>
  </si>
  <si>
    <t>Se realizó el análisis, diseño y desarrollo del aplicativo de contingencias en la Ventanilla VITAL.</t>
  </si>
  <si>
    <t xml:space="preserve">Aunque se realizó el paso a producción del aplicativo de contingencias y se reportaron 385 usuarios </t>
  </si>
  <si>
    <t>Se realizó el paso a producción del aplicativo de contingencias y se reportaron 385 usuarios impactados.</t>
  </si>
  <si>
    <t xml:space="preserve">Se realizó el análisis, diseño y desarrollo del aplicativo de contingencias en la Ventanilla VITAL.
Se realizó el análisis, diseño, desarrollo y puesta en producción de la aplicación ANLA en las plataforma IOS de APPLE.
Se realizó el análisis, diseño, desarrollo y puesta en producción del formulario de Sistema de Recolección Selectiva SRS. </t>
  </si>
  <si>
    <t>Procesos del modelo de gestión de seguridad implementado</t>
  </si>
  <si>
    <t># procesos de perfilamiento de herramientas de gestión de seguridad de la información ejecutados</t>
  </si>
  <si>
    <t>Sistemas de seguridad electrónica adquiridos</t>
  </si>
  <si>
    <t># de componentes de seguridad adquiridos o actualizados</t>
  </si>
  <si>
    <t>Se realizó el perfilamiento de la herramienta espacializada de gestion y restauración de copias de respaldo NETBACKUP.</t>
  </si>
  <si>
    <t>Se realizó el perfilamiento de la herramienta espacializada de gestion y restauración de copias de respaldo NETBACKUP.
Se realizó el perfilamiento de VMWARE</t>
  </si>
  <si>
    <t>Implementación del Plan de Tratamiento de Riesgos de Seguridad y Privacidad de la Información 2020 -2024</t>
  </si>
  <si>
    <t># de actividades ejecutadas / # actividades proyectadas para 2021</t>
  </si>
  <si>
    <t>Formulación, presentación, recepción de recomendaciones, realización de ajustes  y aprobación por parte del Comité Directivo al Implementación del Plan de Tratamiento de Riesgos de Seguridad y Privacidad de la Información 2020 -2022</t>
  </si>
  <si>
    <t>5%
Formulación, presentación, recepción de recomendaciones, realización de ajustes  y aprobación por parte del Comité Directivo al Implementación del Plan de Tratamiento de Riesgos de Seguridad y Privacidad de la Información 2020 -2022
25%
Realización de 2 mesas de trabajo con la OAP y Control Interno y consolidación de nueva propuesta de mapa de riesgos de seguridad de la información de acuerdo con las nuevas necesitades y visión de la OTI.</t>
  </si>
  <si>
    <t>Implementación del Plan de Seguridad y Privacidad de la Información 2020 -2024</t>
  </si>
  <si>
    <t># de actividades ejecutadas / # actividades proyectadas para 2020</t>
  </si>
  <si>
    <t>Formulación, presentación, recepción de recomendaciones, realización de ajustes  y aprobación por parte del Comité Directivo al Implementación del Plan de Seguridad y Privacidad de la Información 2020 -2022</t>
  </si>
  <si>
    <t xml:space="preserve">5%
Formulación, presentación, recepción de recomendaciones, realización de ajustes  y aprobación por parte del Comité Directivo al Implementación del Plan de Seguridad y Privacidad de la Información 2020 -2022
15%
-Prueba de concepto Microsoft-GLUP estado de seguridad Office 365.
</t>
  </si>
  <si>
    <t>Implementación del Plan Estratégico de Tecnologías de la Información y las Comunicaciones PETIC 2020 -2024</t>
  </si>
  <si>
    <t>Actividades De Soporte Y Gestión De Procesos Realizadas</t>
  </si>
  <si>
    <t xml:space="preserve">Formulación, presentación, recepción de recomendaciones, realización de ajustes  y aprobación por parte del Comité Directivo al Plan Estratégico de TI 2020-2022 </t>
  </si>
  <si>
    <t>Implementación y despliegue del pool de direcciones de LACNIC, así como la configuración requerida para la puesta en marcha del protocolo IPV6 en la ANLA, como parte del cumplimiento de los plazos y lineamientos de MinTIC.</t>
  </si>
  <si>
    <t xml:space="preserve">5%
-Formulación, presentación, recepción de recomendaciones, realización de ajustes  y aprobación por parte del Comité Directivo al Plan Estratégico de TI 2020-2022 
20%
-Elaboración de tableros de control, reportes e informes de periodicidad mensual para el seguimiento de los proyectos de la OTI.
</t>
  </si>
  <si>
    <t>Datos publicados en el portal Datos abiertos del Gobierno colombiano</t>
  </si>
  <si>
    <t>Conjunto de datos publicados en el portal Datos abiertos del Gobierno colombiano</t>
  </si>
  <si>
    <t>No se estimó publicación de datos abiertos para este mes</t>
  </si>
  <si>
    <t>Servicio al ciudadano</t>
  </si>
  <si>
    <t>Atención al ciudadano</t>
  </si>
  <si>
    <t>SAF</t>
  </si>
  <si>
    <t>Centro de orientación al usuario en implementación</t>
  </si>
  <si>
    <t>Centro de Orientación en implementación</t>
  </si>
  <si>
    <t>JHON COBOS TELLEZ [Coordinador(a)]</t>
  </si>
  <si>
    <t xml:space="preserve">No presenta avance el indicador, teniendo en cuenta que el Plan de trabajo de la implementación del Centro de Orientación se ejecutará una vez se dé el traslado a la nueva sede. </t>
  </si>
  <si>
    <t>No presenta avance el indicador, teniendo en cuenta que el Plan de trabajo de la implementación del Centro de Orientación se ejecutará una vez se dé el traslado a la nueva sede. En el mes de marzo se adelantó reunión con el Grupo de Gestión Administrativa, con el fin de revisar los temas de accesibilidad.</t>
  </si>
  <si>
    <t>-</t>
  </si>
  <si>
    <t>Avance en la caracterización grupos de interés</t>
  </si>
  <si>
    <t>(Actividades realizadas * peso porcentual ) / total de actividades</t>
  </si>
  <si>
    <t>Se definieron un total de 4 actividades, así:
1. Ajuste formulario de caracterización
2. Identificación de Entidades Públicas - Autoridades Ambientales (de acuerdo con la priorización).
3. Aplicación de formulario de caracterización.
4. Tabulación y Resultados</t>
  </si>
  <si>
    <t>Aumentar la Satisfacción de los Usuarios frente a los trámites y Servicios</t>
  </si>
  <si>
    <t>Incrementar en 5 puntos el grado de satisfacción de los usuarios externos frente a los trámites y Servicios</t>
  </si>
  <si>
    <t>Resultados Encuesta de Satisfacción 2019</t>
  </si>
  <si>
    <t>Fortalecimiento de los canales de atención.</t>
  </si>
  <si>
    <t>Implementar 3 nuevos canales de atención a los usuarios y/o ciudadanos</t>
  </si>
  <si>
    <t>No está programado para el mes de enero</t>
  </si>
  <si>
    <t>Se implementaran 3 nuevos canales:
1. Virtual hold
2. Click to call
3. Chatbot</t>
  </si>
  <si>
    <t>Fortalecer la utilización de medios electrónicos en el proceso de notificación de los actos administrativos expedidos por la Entidad</t>
  </si>
  <si>
    <t xml:space="preserve">Notificaciones por medios electrónicos / notificaciones realizadas </t>
  </si>
  <si>
    <t xml:space="preserve">se evidencia que el 73% de las notificaciones realizadas en la vigencia 2019 fueron por medios electrónicos y un 25% por medios físicos, sin embargo, de este número de notificaciones físicas se realizaron 722 notificaciones a la empresa ECOPETROL SA. y 228 a la empresa ADAMA, quienes no aceptan la utilización de medios electrónicos en los procesos de notificación. </t>
  </si>
  <si>
    <t>En el reporte de notificaciones del mes de febrero se evidencia el cumplimiento del 79% en el citado indicador, cuya fuente es la base de datos de la  “Ventanilla Única de Tramites Ambientales - Vital” remitido por el área de tecnología del Grupo de Servicios Administrativos.</t>
  </si>
  <si>
    <t xml:space="preserve">Se evidencia el cumplimiento del 82,47% en el citado indicador, de los 1238 usuarios a notificar en el mes de marzo, 1018 fueron notificados a traves de medios electrónicos y 220 medios físicos. La  fuente de información es la base de datos de la  “Ventanilla Única de Tramites Ambientales - Vital” remitido por el área de Tecnologías de la Información. </t>
  </si>
  <si>
    <t>Caracterización de los conflictos de competencia de la Autoridad Nacional de Licencias Ambiental</t>
  </si>
  <si>
    <t>Número de actividades elaboradas/Número de actividades programadas</t>
  </si>
  <si>
    <t xml:space="preserve">Se llevó a cabo la primera actividad del Plan de Trabajo correspondiente al Análisis de información recolectada en 2019 sobre denuncias ambientales, requerimientos de entes de control  y resultados de las acciones de presencia territorial y, la definición y métodos para la caracterización de los conflictos para la ANLA. </t>
  </si>
  <si>
    <t>Porcentajes de peticiones, quejas, reclamos y sugerencias (PQRS) atendidas de manera oportuna</t>
  </si>
  <si>
    <t>N° de PQRS respondidos por el GAC en los terminos legales durante el periodo / N° de PQRS asignados al GAC</t>
  </si>
  <si>
    <t>Base de datos Control de tiempos DPE 2019</t>
  </si>
  <si>
    <t xml:space="preserve">Recibidos en agosto atendido en enero 1
Recibidos en septiembre atendido en enero 1
Recibidos en octubre atendido en enero 3
Recibidos en noviembre atendido en enero 4
Recibidos en diciembre atendido en enero 84
Recibidos en enero atendido en enero 368
Recibidos en agosto para elaborar auto de desistimiento. 4
Recibidos en septiembre para elaborar auto de desistimiento. 8
Recibidos en octubre para elaborar auto de desistimiento. 3
Recibidos en diciembre para elaborar auto de desistimiento. 1
Recibidos en diciembre se encuentran en trámite dentro del término. 2 
Recibidos en enero se encuentran en trámite dentro del término. 210
Nota 1: se aclara que de los 12 registros de octubre reportados en diciembre pendientes para elaborar auto de desistimiento, en 4 de ellos el profesional a cargo identificó que el usuario cumplió con el requerimiento en el término establecido, y la solicitud fue remitida al expediente, por lo tanto no es necesario elaborar auto de desistimiento.
Nota 2: se aclara que de los 7 registros de noviembre reportados en diciembre pendientes para elaborar auto de desistimiento, en 3 de ellos el profesional a cargo identificó que el usuario cumplió con el requerimiento en el término establecido, y la solicitud fue remitida al expediente, por lo tanto no es necesario elaborar auto de desistimiento.
Nota 3: se aclara que de los 95 registros de diciembre reportados en el mismo mes, 1 de ellos el profesional a cargo identificó que el usuario cumplió con el requerimiento en el término establecido, y la solicitud fue remitida al expediente, 
con 4 registros se evidencia que tenían respuesta en el mes de diciembre (2019203035-1-000, 2019202811-1-000, 2019206508-1-000, 2019202704-1-000), 3 fueron reasignados al expediente (2019200394-1-000, 2019205346-1-000, 2019206837-1-000) 1 fue anulado (2019205064-1-000) y 1 reasignado a la SIPTA ( 2019206726-1-000)
</t>
  </si>
  <si>
    <t>En los meses de Enero y febrero se el Grupo de Atención al Ciudadano respondió en terminos legales 718 PQRS, de un total de recibidos de 724, es decir, se respondieron fuera de termino 6 PQRS.</t>
  </si>
  <si>
    <t>En los meses de Enero, febrero y marzo el Grupo de Participación Ciudadana y Atención al Ciudadano respondió en terminos legales 1341 PQRS, de un total de recibidos de 1351, es decir, se respondieron fuera de termino 10 PQRS.</t>
  </si>
  <si>
    <t>Gestión administrativa, financiera y del talento humano</t>
  </si>
  <si>
    <t>Gestión de contratación</t>
  </si>
  <si>
    <t>Contratos</t>
  </si>
  <si>
    <t>Porcentaje de certificaciones realizadas y enviadas</t>
  </si>
  <si>
    <t>N° de certificaciones enviadas a los contratistas por medio de correo electrónico/ contratos terminados en 2019 y 2020 sin certificación</t>
  </si>
  <si>
    <t>MARIA ELMIRA DIAZ ROJAS [Coordinador(a)]</t>
  </si>
  <si>
    <t>Ente indicador se reportan trimestralmente</t>
  </si>
  <si>
    <t>Este indicador tiene periodicidad de reporte trimestral, por lo que el primer reporte se hará en abril de 2020, incluyendo los meses de enero a marzo.</t>
  </si>
  <si>
    <t xml:space="preserve">En el primer trimestre de 2020 se logró enviar 997 certificaciones de un total de 1623 contratos terminados que se deben certificar. </t>
  </si>
  <si>
    <t>Porcentaje de contratos por modalidad contratación directa de prestación de servicios y/o apoyo a la gestión atendidos dentro de los tiempos establecidos en el procedimiento</t>
  </si>
  <si>
    <t>No. total de dias de tramite del proceso de contratación directa de prestación de servicios profesionales y/o apoyo a la gestión /No. dias establecidos en el procedimiento de contratación directa de prestación de servicios profesionales y/o apoyo a la gestión</t>
  </si>
  <si>
    <t>En el mes de enero fueron suscritos 566 contratos, de los cuales el 100% fueron firmados dentro de los términos del procedimiento.</t>
  </si>
  <si>
    <t>El mes de febrero se firmaron 135 contratos de Prestación de Servicios Profesionales y/o Apoyo, los cuales se firmaron dentro de los términos en su totalidad.</t>
  </si>
  <si>
    <t>El mes de marzo se firmaron 21 contratos de Prestación de Servicios Profesionales y/o Apoyo, los cuales se firmaron dentro de los términos en su totalidad.</t>
  </si>
  <si>
    <t>Porcentaje de liquidaciones realizadas dentro de los términos de ley.</t>
  </si>
  <si>
    <t>N° de liquidaciones realizadas / Solicitudes de liquidación recibidas en debida forma</t>
  </si>
  <si>
    <t xml:space="preserve">Entre los meses de enero y marzo se recibieron 19 solicitudes de liquidación en debida forma, de las cuales se liquidaron 10 contratos. </t>
  </si>
  <si>
    <t>Gestión financiera</t>
  </si>
  <si>
    <t>Finanzas y presupuesto</t>
  </si>
  <si>
    <t>Porcentaje de recaudo efectivo</t>
  </si>
  <si>
    <t>Valor Recaudo efectivo / (Meta recaudo vigencia 2020)</t>
  </si>
  <si>
    <t>2 Recaudo efectivo servicio de seguimiento</t>
  </si>
  <si>
    <t>Valor efectivo recaudado servicio de seguimiento / (Valor proyectado recaudo por servicio de seguimiento)</t>
  </si>
  <si>
    <t>MARTA PATRICIA CRISTANCHO MEDINA [Coordinador(a)]</t>
  </si>
  <si>
    <t>En el mes de enero se recaudó $6.445.640.723 correspondiente al 4% de la meta  $ 145.132.117.462 esperada para la vigencia 2020.</t>
  </si>
  <si>
    <t>En el mes de enero se recaudó por el servicio de  seguimiento $5.593.386.723 correspondiente al 5% de la meta  $ 104.311.415.646,781 esperada para la vigencia 2020.</t>
  </si>
  <si>
    <t>Al mes de febrero se ha recaudado $11.248.540.381 correspondiente al 8% de la meta  $ 145.132.117.462 esperada para la vigencia 2020.</t>
  </si>
  <si>
    <t>Al mes de febrero se ha recaudado por el servicio de  seguimiento  $ 9.251.994.529 correspondiente al 9% de la meta  $ 104.311.415.646,781 esperada para la vigencia 2020.</t>
  </si>
  <si>
    <t>Al mes de marzo se ha recaudado $22,147,193,124 correspondiente al 15% de la meta  $ 145.132.117.462 esperada para la vigencia 2020.</t>
  </si>
  <si>
    <t>Al mes de marzo se ha recaudado por el servicio de  seguimiento  $19,279,085,420 correspondiente al 19% de la meta  $ 104.311.415.646,781 esperada para la vigencia 2020.</t>
  </si>
  <si>
    <t>Avance en la estrategia de sostenibilidad financiera de ANLA</t>
  </si>
  <si>
    <t>(Avance de las actividades* peso porcentual) / total de actividades</t>
  </si>
  <si>
    <t xml:space="preserve">Actualmente la Subdirección Administrativa y Financiera está adelantando el trámite de contratación de la persona encargada de la estrategia de sostenibilidad financiera de ANLA </t>
  </si>
  <si>
    <t>Avance a la Ejecución presupuestal en obligaciones</t>
  </si>
  <si>
    <t>Valor obligado / valor comprometido</t>
  </si>
  <si>
    <t>El prespuesto vigencia 2020 para el mes de enero registró obligaciones acumulados del 9%; Incluyendo apropiacion vigente de presupuesto de regalias asignada a la ANLA mediante Resolucion 659-2019</t>
  </si>
  <si>
    <t>El prespuesto vigencia 2020 para el mes de febrero registró obligaciones acumulados del 16%; Incluyendo presupuesto comprometido de regalias,apropiacion que fue asignada a la ANLA mediante Resolucion 659-2019</t>
  </si>
  <si>
    <t>El prespuesto vigencia 2020 para el mes de marzo registró obligaciones acumulados del 23%; Incluyendo presupuesto comprometido de regalias,apropiacion que fue asignada a la ANLA mediante Resolucion 659-2019</t>
  </si>
  <si>
    <t>Avance a la Ejecución presupuestal en compromisos</t>
  </si>
  <si>
    <t>Valor comprometido / programación presupuestal de las dependencias</t>
  </si>
  <si>
    <t>El prespuesto vigencia 2020 para el mes de enero registró compromisos acumulados del 54%; Incluyendo apropiacion vigente de presupuesto de regalias asignada a la ANLA mediante Resolucion 659-2019</t>
  </si>
  <si>
    <t>El prespuesto vigencia 2020 para el mes de febrero registró compromisos acumulados del 60%; Incluyendo apropiacion vigente de presupuesto de regalias asignada a la ANLA mediante Resolucion 659-2019</t>
  </si>
  <si>
    <t>El prespuesto vigencia 2020 para el mes de marzo registró compromisos acumulados del 69%; Incluyendo apropiacion vigente de presupuesto de regalias asignada a la ANLA mediante Resolucion 659-2019</t>
  </si>
  <si>
    <t>Implementación del Gestor Documental</t>
  </si>
  <si>
    <t>Número de actividades desarrolladas/Número de actividades programadas</t>
  </si>
  <si>
    <t>JOSE RAUL NAVARRETE VALBUENA [Coordinador(a)]</t>
  </si>
  <si>
    <t>Se está elaborando la ficha técnica para el proceso de adquisición del Gestor Documental, la cual se encuentra en borrador.</t>
  </si>
  <si>
    <t>Se ajusto la ficha técnica en conjunto con el área de técnologias y se envio a los oferentes para dar inicio al proceso de Estudio de Mercados. Se anexa correo electrónico como evidencia.</t>
  </si>
  <si>
    <t>Plan Institucional de Archivos PINAR diseñado y en implementación</t>
  </si>
  <si>
    <t>Tablas de Retención Documental implementadas</t>
  </si>
  <si>
    <t>Tablas de retención documental implementadas</t>
  </si>
  <si>
    <t>Para el mes de enero no se programó proceso de implementación de TRD según cronograma</t>
  </si>
  <si>
    <t>De acuerdo con las actividades planteadas en los cronogramas definidos en el PINAR, se ejecutó la totalidad como se describe en el avance del indicador.</t>
  </si>
  <si>
    <t>Se llevó a cabo el proceso de implementación de TRD en la Oficina de Control Interno.</t>
  </si>
  <si>
    <t>Número de metros lineales digitalizados</t>
  </si>
  <si>
    <t>No. de metros lineales de archivo organizados y digitalizados</t>
  </si>
  <si>
    <t>Para el mes de enero no se programó proceso de implementación de Metros lineales digitalizados según cronograma</t>
  </si>
  <si>
    <t>El proceso de digitalización está asociado al proyecto de implementación del gestor Documental, por lo que durante el mes de febrero no hay avance.</t>
  </si>
  <si>
    <t>El proceso de digitalización está asociado al proyecto de implementación del gestor Documental, por lo que durante el mes de Marzo no hay avance.</t>
  </si>
  <si>
    <t>Número de transferencias documentales formalizadas</t>
  </si>
  <si>
    <t>Transferencias documentales formalizadas/Transferencias Documentales por Formalizar</t>
  </si>
  <si>
    <t>El proceso de digitalización está asociado al proyecto de implementación del gestor Documental, por lo que durante el mes de enero no hay avance.</t>
  </si>
  <si>
    <t>Se llevó a cabo el proceso correspondiente en el Grupo de Atención al Ciudadano</t>
  </si>
  <si>
    <t>Se llevó a cabo la Transferencia Documental correspondiente en el Grupo de Atención al Ciudadano.</t>
  </si>
  <si>
    <t>Tablas de Retención Documental actualizadas</t>
  </si>
  <si>
    <t># Total de Tablas de Retención Documental actualizadas / # Total de Tablas de Retención Documental por Actualizar</t>
  </si>
  <si>
    <t>De acuerdo con el cronograma, para el mes de enero no se programó proceso de formalización de transferencias, sin embargo se llevó a cabo transferencia de 131 cajas de archivo correspondientes al Grupo de Finanzas y Presupuesto.</t>
  </si>
  <si>
    <t>No se realizó actualización de las TRD, debido a que este proceso está asociado al cambio de la estructura organizacional de la entidad.</t>
  </si>
  <si>
    <t>Se dio inicio al proceso de la actualización de las TRD a partir de la nueva estructura organizacional, se realizo cuadro comparativo de las dependencias actuales frente a las TRDS convalidadas en el año 2018.</t>
  </si>
  <si>
    <t>Gestión administrativa</t>
  </si>
  <si>
    <t>Servicios administrativos</t>
  </si>
  <si>
    <t>Uso adecuado sobre el consumo del recurso papel</t>
  </si>
  <si>
    <t>(Promedio mensual (peso hoja) histórico - Consumo mensual (peso hoja))) / (Promedio anual historico (peso hoja)</t>
  </si>
  <si>
    <t>En el mes de enero, el consumo total fue de 269.496 número de hojas, para un ahorro del 14%, comparado con el promedio anual histórico que es de 313.518 número de hojas.</t>
  </si>
  <si>
    <t>En el mes de febrero, el consumo total fue de 167.213 número de hojas, para un ahorro del 35%, comparado con el promedio anual histórico que es de 313.518 número de hojas.</t>
  </si>
  <si>
    <t xml:space="preserve">En el mes de marzo, el consumo total fue de 103.640 número de hojas, para un ahorro del 60%, comparado con el promedio anual histórico que es de 313.518 número de hojas.
(la meta se supera teniendo en cuenta la contingencia por el COVID-19 y la ausencia de usuarios internos en la entidad) </t>
  </si>
  <si>
    <t>Grado de satisfacción en casos mesa de ayuda</t>
  </si>
  <si>
    <t>Porcentaje de satisfaccIón en mesa de ayuda</t>
  </si>
  <si>
    <t>Se calificaron en el mes de enero un total de 92 casos, de los cuales 67 fueron de calificación excelente (100/100), 23 casos de calificación bueno (70/100) y 2 casos de calificación regular (30/100) para un total de 91% de satisfacción.</t>
  </si>
  <si>
    <t>Se calificaron en el mes de enero un total de 58 casos, de los cuales 40 fueron de calificación excelente (100/100), 18 casos de calificación bueno (70/100) y 3 casos de calificación regular (30/100) para un total de 94% de satisfacción.</t>
  </si>
  <si>
    <t>Se calificaron en el mes de marzo un total de 41 casos, de los cuales 26 fueron de calificación excelente (100/100), 13 casos de calificación bueno (70/100) y 2 casos de calificación regular (30/100) para un total de 89% de satisfacción.</t>
  </si>
  <si>
    <t>Porcentaje de cumplimiento del cronograma para el traslado</t>
  </si>
  <si>
    <t>Actividades del cronograma de trabajo realizadas / Actividades del cronograma de trabajo planeadas</t>
  </si>
  <si>
    <t xml:space="preserve">Se programaron en el cronograma de traslado de la sede un total de 8 Macroactividades para el periodo, las cuales se cumplieron en su totalidad 4 de ellas </t>
  </si>
  <si>
    <t xml:space="preserve">Se programaron en el cronograma de traslado de la sede un total de 8 Macroactividades para el periodo, las cuales se cumplieron en su totalidad 5 de ellas </t>
  </si>
  <si>
    <t>Gestión del Talento humano</t>
  </si>
  <si>
    <t>Talento humano</t>
  </si>
  <si>
    <t>Porcentaje de impacto de los eventos de bienestar</t>
  </si>
  <si>
    <t>Calificación actividad 1 + Calificación actividad 2+ Calificación actividad (n)/ # de actividades calificadas</t>
  </si>
  <si>
    <t>Participación del núcleo familiar de los funcionarios en las actividades de bienestar.</t>
  </si>
  <si>
    <t># servidores que asisten con su núcleo familiar/# Servidores Asistentes total</t>
  </si>
  <si>
    <t>JOHN MAURICIO ARDILA SANTOS [Coordinador(a)]</t>
  </si>
  <si>
    <t>Durante el mes de ENERO realizaron las actividades respectivas para publicación del Programa de bienestar e incentivos, se hace referencia que el cronograma esta para ser realizado con el proceso contractual, en cual se esta trabajando para contratar dicho proceso.</t>
  </si>
  <si>
    <t>Durante el mes de ENERO se realizaron las actividades respectivas para publicación del Programa de bienestar e incentivos, se hace referencia que el cronograma está para ser ejecutado con el proceso contractual, en cual se esta trabajando para contratar dicho proceso.</t>
  </si>
  <si>
    <t>Durante el mes de FEBRERO se evaluó una actividad “Evaluación actividad del programa de bienestar social: Primera Jornada Laboral Continua”  que se realizó en dicho mes, la cual da como puntaje final obtuvo un total de 97,92% cumpliendo así con la meta mensual.</t>
  </si>
  <si>
    <t>Durante el mes de MARZO se evaluaron 6 actividades obtuvo un total de 84% de cumplimiento, a continuación, se listan las actividades:
1.	Jornada de atención y servicios del Teatro Nacional: 91%.
2.	Jornada de atención y servicios de Mary Kay en el marco de la conmemoración del Día Internacional de la Mujer: 80%.
3.	Jornada de atención y servicios de CAFAM: 93%.
4.	Capacitación Planeación Financiera en el marco de la Escuela de Desarrollo Personal y Familiar: 67%.
5.	Jornada de atención y servicios de AGROMIEL: 82%.
6.	Jornada de atención y servicios de FAVI: 90%</t>
  </si>
  <si>
    <t>Tasa de calidad de capacitaciones iguales o superiores a 2 horas</t>
  </si>
  <si>
    <t>Durante el mes de ENERO realizaron las siguientes actividades (los porcentajes correspondientes de las actividades son de la evaluación que se les practica a los asistentes frente a la capacitación recibida):
1.	ACUERDOS DE GESTIÓN ENERO CALIFICACIÓN: 96.881%
2.	CONOCIENDO LA ANLA ENERO CALIFICACIÓN: 95.394%
3.	SILA-VITAL-ULISES ENERO CALIFICACIÓN: 92.003%
4.	SIGPRO ENERO CALIFICACIÓN: 93.573%
5.	ACTUALIZACIÓN EN LEGISLACION AMBIENTAL ENERO CALIFICACIÓN: 97.096%
Utilizando la formula del indicador se obtiene un promedio del 94,9894% de calificación (excelente- bueno) del evento cumpliendo con la meta mensual de pasar del 90% de porcentaje positivo en los eventos.</t>
  </si>
  <si>
    <t>Durante el mes de FEBRERO realizaron las siguientes actividades (los porcentajes correspondientes de las actividades son de la evaluación que se les practica a los asistentes frente a la capacitación recibida):
1.	SENSIBILIZACION GESTION DOCUMENTAL ENERO 99,0208333333333%
2.	CONTROL DISCIPLINARIO INTERNO ENERO 95,3303571428572%
3.	CONOCIENDO LA ANLA FEBRERO 98,2447916666667%
4.	SIGPRO FEBRERO 96,9891975308642%
5.	NEGOCIACION COLECTIVA FEBRERO 91,6458333333333%
6.	GESTION DOCUMENTAL FEBRERO 99,0416666666667%
7.	CADENAS PRODUCTIVAS FEBRERO 95,9904513888889%
8.	SECOP II FEBRERO 96,2878787878788%
9.	SILA VITAL ULISES FEBRERO 96,9285714285714%
10.	AGIL FEBRERO 97,8802083333333%
11.	DEFENSA JUDICIAL Y CONCILIACION EN LA ANLA 96,6845238095238%
12.	FORMULACION Y MEDICION DE INDICADORES 93,3%
Utilizando la formula del indicador se obtiene un promedio del 96,45% de calificación (excelente- bueno) del evento cumpliendo con la meta mensual de pasar del 90% de porcentaje positivo en los eventos.
Nota: durante el mes de febrero para el promedio reportado se tuvo en cuenta dos actividades del mes de enero que no se habían reportado.</t>
  </si>
  <si>
    <t>Durante el mes de MARZO realizaron las siguientes actividades (los porcentajes correspondientes de las actividades son de la evaluación que se les practica a los asistentes frente a la capacitación recibida):
AGIL MARZO	96,88%
LA FUNCIÓN ECOLÓGICA DE LA PROPIEDAD Y DE LA EMPRESA MARZO	93,00%
Utilizando la formula del indicador se obtiene un promedio del 94,4% de calificación (excelente- bueno) del evento cumpliendo con la meta mensual de pasar del 90% de porcentaje positivo en los eventos.</t>
  </si>
  <si>
    <t>Disminuir en un 5% el nivel de estrés de funcionarios que puntuaron muy alto en la Batería de Riesgo Psico-social.</t>
  </si>
  <si>
    <t>Resultado de la Batería de riesgo Psicosocial 2019 en la variable \\\"muy alto en estrés” (-) Resultado de la Batería de riesgo Psicosocial en la variable\\\"muy alto en estrés” 2020</t>
  </si>
  <si>
    <t>Acciones para la disminución de la variable\\muy alto en estrés</t>
  </si>
  <si>
    <t>Acciones realizadas para reducir el nivel de estrés en los funcionarios/ Acciones Programadas para reducir el nivel de estrés en los funcionarios</t>
  </si>
  <si>
    <t>En el mes de enero del presente se aplicó la batería  a los funcionarios que no habían contestado en el mes de diciembre de 2019, se realizó la tabulación de 598 baterías, las acciones encaminadas a disminuir en un 5% los funcionarios con nivel  de estrés alto y muy alto se programaran una vez se cuente con el informe diagnóstico de riesgo psicosocial, está programado para el mes de febrero.</t>
  </si>
  <si>
    <t>En la evaluación de factores de riesgo psicosocial realizada en diciembre de 2019  se evaluaron 597  personas de las cuales 141 puntuaron alto y muy alto en el nivel de estrés, es decir el 23% de la población evaluada, el indicador de calidad de vida pretende que se disminuya en un 5% esta población, por lo cual se programaron 65 actividades en el Plan de Trabajo año 2020 de SST con el objetivo de disminuir esta población con estrés alto y muy alto.</t>
  </si>
  <si>
    <t>Durante el mes de FEBRERO se logró un avance del 7,69230769230769% correspondiente a las actividades que a continuación se describen:
A la fecha de hoy hemos realizado 5 actividades 1 de enero y 4 de febrero así:
Enero 
•	Programación y realización de actividades físicas para colaboradores - Hábitos de Vida Saludable: Pausas Activas 65 personas
Febrero 
•	Intervención en promoción y prevención -personal asintomático y riesgo bajo: Cobertura de 219 personas 
•	Intervención población en riesgo medio y alto - Escuela terapéutica Psicosocial: Cobertura de 28 personas en jornada integral de salud 
•	Revisión y Actualización del documento de Programa de Vigilancia Psicosocial
•	Revisión y Actualización del documento de Programa de Prevención de Riesgo Cardiovascular</t>
  </si>
  <si>
    <t>Durante el mes de MARZO se logró un avance del 12,3076923076923% correspondiente a las actividades que a continuación se describen:
1.	Intervención en promoción y prevención -personal asintomático y riesgo bajo - Pausas Activas
2.	Intervención población en riesgo medio y alto - Escuela terapéutica Psicosocial 
3.	Revisión y Actualización del documento de Programa de Vigilancia Psicosocial
4.	Retroalimentación  Individual a trabajadores que puntuaron  niveles  alto y muy alto en la  edición subjetiva de Factores de riesgo psicosocial.
5.	Realizar plan de capacitación 2020 sobre intervención Psicosocial 
6.	Jornadas de manejo de fatiga y carga mental (pausas cognitivas)  
7.	Capacitación  en prevención de riesgo psicosocial 
8.	Realización de envió de comunicados masivos sobre TIPs de prevención de riesgo cardiovascular.</t>
  </si>
  <si>
    <t>Promedio Indicadores de Producto</t>
  </si>
  <si>
    <t>Promedio de avance en metas de gestión</t>
  </si>
  <si>
    <t>No está programado para el mes</t>
  </si>
  <si>
    <t>Promedio de avance en metas de Producto SAF</t>
  </si>
  <si>
    <t>Promedio de avance en metas de gestión SAF</t>
  </si>
  <si>
    <t>Promedio Indicadores de Producto SAF</t>
  </si>
  <si>
    <t>ENERO</t>
  </si>
  <si>
    <t>FEBRERO</t>
  </si>
  <si>
    <t>MARZO</t>
  </si>
  <si>
    <t>Indicadores producto</t>
  </si>
  <si>
    <t>Indicadores de Gestión</t>
  </si>
  <si>
    <t>OAP</t>
  </si>
  <si>
    <t>OAJ</t>
  </si>
  <si>
    <t>TIC</t>
  </si>
  <si>
    <t>Control disciplinario</t>
  </si>
  <si>
    <t>OCI</t>
  </si>
  <si>
    <t>PROMEDIO SAF</t>
  </si>
  <si>
    <t>SMPC</t>
  </si>
  <si>
    <t>PROMEDIO SMPC</t>
  </si>
  <si>
    <t>Geomática</t>
  </si>
  <si>
    <t>PROMEDIO SES</t>
  </si>
  <si>
    <t>SIPTA</t>
  </si>
  <si>
    <t>Permisos y trámites</t>
  </si>
  <si>
    <t>PROMEDIO SIPTA</t>
  </si>
  <si>
    <t>PROMEDIO ENTIDAD</t>
  </si>
  <si>
    <t>* Aquellos indicadores que son constantes (todos los meses deben cumplir la meta propuesta) son normalizados según el tiempo promedio transcurridos, para no inflar el promedio de avance ni de los grupos, ni el de la entidad.</t>
  </si>
  <si>
    <t>JUNIO</t>
  </si>
  <si>
    <t>REPORTE AVANCE MENSUAL ABRIL</t>
  </si>
  <si>
    <t>REPORTE AVANCE MENSUAL MAYO</t>
  </si>
  <si>
    <t>REPORTE AVANCE MENSUAL JUNIO</t>
  </si>
  <si>
    <t>Al 30 de abril se gestionaron 6.290 AA para resolver solicitudes de evaluación de Permisos y Trámites ambientales. El sector que mayor participación tiene en este avance es VUCE,  87.6%, seguido de Prueba Dinámica con el 5.6% y Beneficios Tributarios con el 3.4%. Al cierre de abril se logró un avance del  29% respecto a la meta de 21.422  AA  de evaluación de Permisos y trámites ambientales planteada para  la vigencia 2020.</t>
  </si>
  <si>
    <t>El indicador de conceptos técnicos para resolver solicitudes de evaluación de permisos y trámites ambientales,  al 30 de abril alcanzó un avance total  del  31% respecto a la meta de 2.700 CT, meta programada para la vigencia 2020, es decir, al cierre de abril se finalizaron 840 CT de evaluación.  Prueba Dinámica es el sector que más ha aportado a este avance, 470 CT  que representan el 55.9% del avance, seguido de Beneficios Tributarios con 23.8% y Diversidad Biológica con 17.3%.</t>
  </si>
  <si>
    <t>Al 31 de mayo  se gestionaron 7,215 AA para resolver solicitudes de evaluación de Permisos y Trámites ambientales. El sector que mayor participación tiene en este avance es VUCE,  87.66%, seguido de Prueba Dinámica con el 5.5% y Beneficios Tributarios con el 3.6%. Al cierre de mayo se logró un avance del  34% respecto a la meta de 21.422  AA  de evaluación de Permisos y trámites ambientales planteada para  la vigencia 2020.</t>
  </si>
  <si>
    <t>El indicador de conceptos técnicos para resolver solicitudes de evaluación de permisos y trámites ambientales,  al 31 de mayo alcanzó un avance total  del  37% respecto a la meta de 2.700 CT, es decir, al cierre de mayo se finalizaron 1003 CT de evaluación.  Prueba Dinámica es el sector que más ha aportado a este avance, 542 CT  que representan el 54% del avance, seguido de Beneficios Tributarios con 26.6% y Diversidad Biológica con 17%.</t>
  </si>
  <si>
    <t>Al 30 de junio  se gestionaron 8.296 AA para resolver solicitudes de evaluación de Permisos y Trámites ambientales. El sector que mayor participación tiene en este avance es VUCE,  87.68%, seguido de Prueba Dinámica con el 5.45% y Beneficios Tributarios con el 3.69%. Al cierre de junio se logró un avance del  39% respecto a la meta de 21.422  AA  de evaluación de Permisos y trámites ambientales planteada para  la vigencia 2020.</t>
  </si>
  <si>
    <t>El indicador de conceptos técnicos para resolver solicitudes de evaluación de permisos y trámites ambientales,  al 30 de junio alcanzó un avance total  del  44% respecto a la meta de 2.700 CT, es decir, al cierre de junio se finalizaron 1201 CT de evaluación.  Prueba Dinámica es el sector que más ha aportado a este avance, 648 CT  que representan el 53.96% del avance, seguido de Beneficios Tributarios con 27.31% y Diversidad Biológica con 16.65%.</t>
  </si>
  <si>
    <t>Al corte de 30 de Abril, se reporta igual cantidad de visitas a las reportadas en el mes de Marzo debido al estado de emergencia decretado por el gobierno de Colombia, en cabeza del presidente de la república, así como a las directrices propias de la entidad para hacer frente a la emergencia del Covid-19</t>
  </si>
  <si>
    <t>Al corte de 31 de mayo se reporta igual cantidad de visitas a las reportadas en los meses de Marzo y abril, debido al estado de emergencia decretado por el gobierno de Colombia, en cabeza del presidente de la república, así como a las directrices propias de la entidad para hacer frente a la emergencia del Covid-19</t>
  </si>
  <si>
    <t>Al corte de 30 de junio se reporta igual cantidad de visitas a las reportadas en los meses de Marzo, abril y Mayo, debido al estado de emergencia decretado por el gobierno de Colombia, en cabeza del presidente de la república, así como a las directrices propias de la entidad para hacer frente a la emergencia del Covid-19</t>
  </si>
  <si>
    <t>La meta de Actos Administrativos  que acogen el seguimiento a permisos otorgados para la vigencia 2020 se proyectó en 816 AA,  al finalizar abril se alcanzó un avance del 21.20% respeto a la meta, es decir que, al 30 de abril se gestionaron 173 AA de seguimiento a permisos.  La participación de los sectores en este avance se dio de la siguiente manera: Diversidad Biológica 50%, Permisos Fuera de Licencia 28% y Posconsumo 22%.</t>
  </si>
  <si>
    <t>Al 30 de abril se finalizaron 213 CT de seguimiento que representan el 26.1% de avance frente a la meta planteada para 2020 de 816 CT de seguimiento. Los grupos presentan los siguientes porcentajes de participación respecto a la producción mencionada: Diversidad Biológica 46%; Posconsumo 31% y PFL 23%.</t>
  </si>
  <si>
    <t>La meta de Actos Administrativos  que acogen el seguimiento a permisos otorgados,  para la vigencia 2020 se proyectó en 816 AA,  al finalizar mayo se alcanzó un avance del 30.27% respeto a la meta, es decir que, al 31 de mayo se gestionaron 247 AA de seguimiento a permisos.  La participación de los sectores en este avance se dio de la siguiente manera: Diversidad Biológica  43%, Posconsumo 35% y Permisos Fuera de Licencia 22%.</t>
  </si>
  <si>
    <t>Al 31 de mayo se finalizaron 275 CT de seguimiento que representan el 33,70% de avance frente a la meta planteada para 2020, 816 CT de seguimiento. Los grupos presentan los siguientes porcentajes de participación respecto a la producción mencionada: Diversidad Biológica 41%; Posconsumo 38% y PFL 21%.</t>
  </si>
  <si>
    <t>La meta de Actos Administrativos  que acogen el seguimiento a permisos otorgados,  para la vigencia 2020 se proyectó en 816 AA,  al finalizar junio se alcanzó un avance del 39.46% respeto a la meta, es decir que, al 30 de Junio se gestionaron 322 AA de seguimiento a permisos.  La participación de los sectores en este avance se dio de la siguiente manera: Diversidad Biológica  41%, Posconsumo 39% y Permisos Fuera de Licencia 20%.</t>
  </si>
  <si>
    <t>Al 30 de mayo se finalizaron 360 CT de seguimiento que representan el 44.12% de avance frente a la meta planteada para 2020, 816 CT de seguimiento. Los grupos presentan los siguientes porcentajes de participación respecto a la producción mencionada: Diversidad Biológica 42,8%; Posconsumo 38.6% y PFL 18.6%.</t>
  </si>
  <si>
    <t>Al corte de 31 de mayo se reporta igual cantidad de visitas a las reportadas en los meses de marzo y abril, debido al estado de emergencia decretado por el gobierno de Colombia, en cabeza del presidente de la república, así como a las directrices propias de la entidad para hacer frente a la emergencia del Covid-19</t>
  </si>
  <si>
    <t>Al corte de 30 de Junio se reporta igual cantidad de visitas a las reportadas en los meses de marzo, abril y Mayo, debido al estado de emergencia decretado por el gobierno de Colombia, en cabeza del presidente de la república, así como a las directrices propias de la entidad para hacer frente a la emergencia del Covid-19</t>
  </si>
  <si>
    <t>pd</t>
  </si>
  <si>
    <t>Se estimaron los indicadores de impacto de los años 2017 y 2018, de donde se obtuvo el ponderado de la reducción porcentual de emisiones en prueba dinámica a vehículo completo para el año 2017 el cual correspondió al 86% y para el año 2018 correspondió al 87%.  El indicador para el año 2018 es superior al estimado para el año 2017, así mismo, las emisiones contaminantes por motocarros, Monóxidos de Carbono (CO), Hidrocárburos más Óxidos de Nitrógeno (HC+NOx) disminuyeron de 2,85 g/km a 2,71 g/km, de 0,96 g/km a 0,64 g/km, respectivamente, las emisiones contaminantes por motocicletas Monóxidos de Carbono (CO), Hidrocárburos más Óxidos de Nitrógeno (HC+NOx) disminuyeron de 1,91 g/km a 1,44 g/km, de 0,47 g/km a 0,43 g/km, respectivamente y las emisiones contaminantes por motocicletas Monóxidos de Carbono (CO), Hidrocárburos más Óxidos de Nitrógeno (HC+NOx) disminuyeron de 1,91 g/km a 1,44 g/km, de 0,47 g/km a 0,43 g/km, respectivamente; por lo que se puede asumir que los motocarros y las motocicletas importados en el 2018 son más limpios que los que fueron importados en el 2017.</t>
  </si>
  <si>
    <t>Se estimaron los indicadores de impacto de los años 2017 y 2018, de donde se obtuvo el ponderado de la reducción porcentual de emisiones en prueba dinámica a prueba motor para el año 2017 el cual correspondió al 76% y para el año 2018 correspondió al 77%. El indicador para el año 2018 es superior al estimado para el año 2017, así mismo, las emisiones contaminantes por vehículos pesados que operan con gas natural como combustible, Monóxidos de Carbono (CO), Hidrocárburos (HC), Óxidos de Nitrógeno (NOx), disminuyeron de 0,59 g/kWh a 0,42 g/kWh, de 0,61 g/kWh a 0,31 g/kWh,  de 0,63 g/kWh a 0,40 g/kWh respectivamente; por lo que se puede asumir que los vehículos pesados que operan con gas natural como combustible importados en el 2018 son más limpios que los que fueron importados en el 2017.</t>
  </si>
  <si>
    <t>Al 30 de abril se realizaron 549 requerimientos de información información adicional sobre las 6,791 solicitudes recibidas,  esto representa un porcentaje de reproceso del 8.08%.</t>
  </si>
  <si>
    <t>Al 31 de mayo se realizaron 643 requerimientos de información información adicional sobre las 7,804 solicitudes recibidas,  esto representa un porcentaje de reproceso del 8.24%.</t>
  </si>
  <si>
    <t>8,38%%</t>
  </si>
  <si>
    <t>Al 30 de junio se realizaron 755 requerimientos de información información adicional sobre las 9,014 solicitudes recibidas,  esto representa un porcentaje de reproceso del 8.38%.</t>
  </si>
  <si>
    <t>A 30 de abril se avanza en un 29 % de los instrumentos de apoyo ambiental externo: D:\OneDrive - ANLA - Autoridad Nacional de Licencias Ambientales\NO MISIONAL\PAI 2020\Instrumentos</t>
  </si>
  <si>
    <t>FASE DE SOCIALIZACION E IMPLEMENTACION:
Obligaciones mínimas finalizó la fase de socialización en el mes de marzo, durante Abril se realizó un 133% de implementación a diferentes proyectos del sector energía e infraestructura.
Desmantelamiento y abandono finalizó esta fase en el mes de marzo, en Abril se realizaron algunas aclaraciones de carácter técnico y jurídico para generar la versión final del documento con un 95% de avance.
Periodicidad de ICAS: únicamente se realizaron socializaciones en el mes de Abril, ninguna implementación ya que dada la situación de emergencia no se han radicado nuevos estudios para evaluación (Fase en la cual aplica la implementación de este instrumento).
En cuanto a Cambios menores se realizó la presentación del procedimiento de radiación y de los criterios de evaluación a 21 profesionales, adicional se programó validación de este procedimiento con las sub direcciones sin obtener espacio en sus agendas.
FASE DE DESARROLLO Y CONSTRUCCION:
Abandono y desmantelamiento Sector minería: instrumento finalizado y en proceso de revisión interna.
Abandono y desmantelamiento Sector energía: revisión de documentación asociada a normatividad y expedientes.
Manual de seguimiento: mesas de trabajo con Ministerio con el fin de presentar los instrumentos internos y validar su aplicabilidad en la actualización del manual; revisión de la actualización versión 2018 realizada por SIPTA.
CTS Aplicativo: validación de componente administrativo con Sub dirección de seguimiento y reuniones de inicio de desarrollo con Tecnologías.
CTS Matriz de obligaciones: finalización de la matriz en SIG.ANLA e inicio del diligenciamiento on line. 
IDA: en su última fase de construcción con un 95% de avance.
Fichas PMA_PSM: realizando inclusiones de la última versión del instrumento de estandarización de impactos.</t>
  </si>
  <si>
    <t>A 31 de mayo se avanza en un 41 % de los instrumentos de apoyo ambiental externo: D:\OneDrive - ANLA - Autoridad Nacional de Licencias Ambientales\NO MISIONAL\PAI 2020\Instrumentos</t>
  </si>
  <si>
    <t>INSTRUMENTOS EN IMPLEMENTACION_x000D_
_x000D_
_x000D_
Abandono y desmantelamiento Hidrocarburos: en proceso  de adopción con OAP._x000D_
_x000D_
CTS - Matriz de balance al aire y para el sector de agroquímicos en proceso de desarrollo._x000D_
_x000D_
Obligaciones mínimas Fase I: en espera respuesta de memorando remitido a OAJ._x000D_
_x000D_
Periodicidad en la entrega de ICAS: en espera respuesta de memorando remitido a OAJ._x000D_
_x000D_
IDA: en fase de pruebas para finalizar en Junio 5,  para después oficializar su adopción._x000D_
_x000D_
Criterios de evaluación de cambios menores: en proceso de ajuste con base en comentarios de OAJ._x000D_
_x000D_
_x000D_
INSTRUMENTOS EN DESARROLLO_x000D_
_x000D_
Estandarización de fichas PMA/PSM: en proceso de elaboración._x000D_
_x000D_
Desmantelamiento y Abandono de Energía: en análisis de información preliminar._x000D_
_x000D_
Desmantelamiento y Abandono de Minería: en proceso de revisión interno SIPTA._x000D_
_x000D_
Modificación estructura del ICA: en análisis de información preliminar._x000D_
_x000D_
Manual de Seguimiento: tabla de contenido establecida para iniciar la programación de mesas de trabajo con SS y SA._x000D_
_x000D_
Obligaciones mínimas Fase II: instrumento reactivado mediante mesas de trabajo con SS y SA.</t>
  </si>
  <si>
    <t>A 30 de junio se avanza en un 68 % de los instrumentos de apoyo ambiental externo: D:\OneDrive - ANLA - Autoridad Nacional de Licencias Ambientales\NO MISIONAL\PAI 2020\Instrumentos_x000D_
Es preciso indicar que de acuerdo con el memorando No. 8141-3-0095, se define quitar el instrumento NORM del plan de acción</t>
  </si>
  <si>
    <t>INSTRUMENTOS EN IMPLEMENTACION_x000D_
_x000D_
Abandono y desmantelamiento Hidrocarburos: Este instrumento está a la espera para iniciar su desarrollo con el área de tecnologías, a la fecha su avance en etapa de implementación es de un 45%._x000D_
_x000D_
CTS - Matriz de balance – Obligaciones mínimas Fase I y Criterios de evaluación de cambios menores: Se encuentran en proceso de adopción con OAP._x000D_
_x000D_
Periodicidad en la entrega de ICAS: Se encuentra en espera de respuesta al memorando por la OAJ._x000D_
_x000D_
INSTRUMENTOS EN DESARROLLO_x000D_
_x000D_
Estandarización de fichas PMA/PSM: Se encuentra en revisión interna por la SIPTA._x000D_
_x000D_
Desmantelamiento y Abandono de Energía: Este instrumento a la fecha se encuentra suspendido y tiene un avance del 21% en su fase de desarrollo._x000D_
_x000D_
Desmantelamiento y Abandono de Minería: Este instrumento a la fecha se encuentra suspendido y tiene un avance del 47% en su fase de desarrollo._x000D_
_x000D_
Modificación estructura del ICA y el Manual de Seguimiento: A la fecha se están realizando mesas de trabajo internas en la SIPTA._x000D_
_x000D_
Obligaciones mínimas Fase II: Para este instrumento, se están programando mesas de trabajo con SELA.</t>
  </si>
  <si>
    <t>A la fecha ningun requerimiento (11) que ha llegado a la entidad cumplen con lo aspectos previos al inicio de las actividades hito, que lleven al desarrollo de algún termino de referencia especifico, o en algunos caso no son competencia de la autoridad.
https://anla-my.sharepoint.com/:x:/g/personal/aromero_anla_gov_co/EdOcji5iqkVJq3ong8vTWi4B_Lc_rqsVh18UDCUoF8J_-g?e=VyBLJG</t>
  </si>
  <si>
    <t>A la fecha ningun requerimiento (14) que ha llegado a la entidad cumplen con lo aspectos previos al inicio de las actividades hito, que lleven al desarrollo de algún termino de referencia especifico, o en algunos caso no son competencia de la autoridad.
https://anla-my.sharepoint.com/:x:/g/personal/aromero_anla_gov_co/EdOcji5iqkVJq3ong8vTWi4B_Lc_rqsVh18UDCUoF8J_-g?e=VyBLJG</t>
  </si>
  <si>
    <t>Se registran dos actos administrativos de otorgamiento de los proyectos Conconcreto (LAV0050-13) y  Verderón (LAV033-00-2019), un acto administrativo de modificación de licencia del proyecto Campo Capella y dos actos administrativos de terminación del trámite del proyecto Bienparado (LAV0038-00-2109) y Pendare (LAV0041-13); adicional a lo anterior, el equipo de evaluación y  seguimiento se encuentra apoyando la evaluación de 9 proyectos mas que se encuentran en el siguiente estado: 1. LAM0793 (PECIG), 2. LAV0002-00-2020 (Cerromatoso) y 3.LAV0052-00-2019 (Planeta Rica), En espera de información adicional. 4. LAV0001-00-2020. (Quebradona) Preparando audiencia de información adicional; 5. LAV0012-00-2019. (Soto Norte) 6. LAM0761 (Reficar) y 7. Solicitud de prórroga del permiso de captación de agua subterránea proveniente del pozo profundo La Francia (ASB0008); en elaboración de concepto, 8. LAM0806 Mosificación PMA Nechí en revisión de información radicada y 9. LAV0004-00-2020 (Dragado de Cartagena), suspendido . De acuerdo a lo anterior se registran 14 solicitudes de apoyo en la evaluación, de las cuales 5 cuentan con acto administrativo. El proyecto LAV0017-00-2019 (La Virginia), es retirado del reporte toda vez que la subdirección de evaluación desistió del apoyo en virtud de la llegad de profesionales transversales especializados en los temas que de manera previa fueron solicitados para apoyo.</t>
  </si>
  <si>
    <t xml:space="preserve">Se registran dos actos administrativos de otorgamiento de los proyectos Conconcreto (LAV0050-13) y  Verderón (LAV033-00-2019), un acto administrativo de modificación de licencia del proyecto Campo Capella y dos actos administrativos de terminación del trámite del proyecto Bienparado (LAV0038-00-2109) y Pendare (LAV0041-13); adicional a lo anterior, el equipo de evaluación y  seguimiento se encuentra apoyando la evaluación de 9 proyectos mas que se encuentran en el siguiente estado: 1. LAM0793 (PECIG), 2. LAV0002-00-2020 (Cerromatoso) y 3.LAV0052-00-2019 (Planeta Rica), En espera de información adicional. 4. LAV0001-00-2020. (Quebradona) Preparando audiencia de mesas de expertos y audiencia de información adicional; 5. LAV0012-00-2019. (Soto Norte) 6. LAM0761 (Reficar) y 7. Solicitud de prórroga del permiso de captación de agua subterránea proveniente del pozo profundo La Francia (ASB0008); en revisión de concepto, 8. LAM0806 Modificación PMA Nechí y 9. Evaluación pozo Cedrillo en revisión de información radicada y elaboración de protocolo visita guiada. 10. LAV0004-00-2020 (Dragado de Cartagena), suspendido . De acuerdo a lo anterior se registran 15 solicitudes de apoyo en la evaluación, de las cuales 5 cuentan con acto administrativo. </t>
  </si>
  <si>
    <t xml:space="preserve">Se registran dos actos administrativos de otorgamiento de los proyectos 1.Conconcreto (LAV0050-13) y  2.Verderón (LAV033-00-2019), un acto administrativo de modificación de licencia del proyecto 3.Campo Capella (LAM3816), dos actos administrativos de terminación del trámite del proyecto 4.Bienparado (LAV0038-00-2109) y 5.Pendare (LAV0041-13) y un acto administrativo de prórroga concesión de aguas subterráneas pozo profundo 6.La Francia (ASB0008); adicional a lo anterior, el equipo de evaluación y  seguimiento se encuentra apoyando la evaluación de 13 proyectos mas que se encuentran en el siguiente estado: 1. LAM0793 (PECIG) en revisión por parte de la Dirección general; 2. LAV0002-00-2020 (Cerromatoso) en elaboración de concepto: 3.LAV0052-00-2019 (Planeta Rica) revisando información adicional radicada. 4. LAV0001-00-2020. (Quebradona) Participación mesas de expertos y preparación audiencia de información adicional; 5. LAV0012-00-2019. (Soto Norte) Ajustes concepto técnico y en mesas técnicas con la subdirección, 6. LAM0761 (Reficar) revisión de concepto por parte de líder y coordinación, 7. LAM0806 (Modificación PMA Nechí)  y 8. Evaluación pozo Cedrillo en en visita virtual guiada. 9. LAV0004-00-2020 (Dragado de Cartagena), suspendido; 10. LAV0018-00-2020 (Termoeléctrica Tesorito) en reunión de información adicional; 11. VPD0073-00-2020 (Parque eólico Guajira) y 12.VPD0071-00-2020 (LÍNEA DE TRANSMISIÓN ASOCIADA A LA CONEXIÓN PORCE III SOGAMOSO) en reunión de presentación del proyecto y definición de protocolo visita virtual guiada; 13. VPD0041-00-2020 (Parque eólica casa eléctrica) en revisión de información radicada por el licenciatario. De acuerdo a lo anterior se registran 18 solicitudes de apoyo en la evaluación, de las cuales 6 cuentan con acto administrativo. </t>
  </si>
  <si>
    <t>Se registran cinco conceptos técnicos generados a la fecha de los proyectos LAM0209 (Aeropuerto el Dorado-Enero), PEA0004 (La Francia), LAM2249 (Lisama) y LAM2233 (Ituango); adicional a lo anterior, el equipo de evaluación y seguimiento se encuentra apoyando la elaboración de dos proyectos mas que se encuentran en el siguiente estado: 1. LAM1094 (Cerrejón), 2.LAM3308 (La Loma), 3. LAM1248 (Matachín) y 4. LAM8039 (Doña Juana) En revisión por parte de líderes y  5. LAM0237 Hidrosogamoso, revisando información para análisis climatológico. De acuerdo a lo anterior se registran 10  solicitudes de apoyo en el seguimiento, de las cuales 5 cuentan con concepto técnico</t>
  </si>
  <si>
    <t>Se registran once conceptos técnicos generados a la fecha de los proyectos LAM0209 (Aeropuerto el Dorado-2), PEA0004 (La Francia), LAM2249 (Lisama), LAM2233 (Ituango), LAM8039-00 (Doña Juana - 3), LAM3308 (La Loma), LAM1094 (Cerrejón) y LAM1248 (Matachín); adicional a lo anterior, el equipo de evaluación y seguimiento se encuentra apoyando la elaboración de dos conceptos mas que se encuentran en el siguiente estado:  1. LAM8039 (Doña Juana) En revisión por parte de líderes y  2. LAM0237 Hidrosogamoso, revisando información para análisis climatológico. De acuerdo a lo anterior se registran 13  solicitudes de apoyo en el seguimiento, de las cuales 11 cuentan con concepto técnico</t>
  </si>
  <si>
    <t>Se registran doce conceptos técnicos generados a la fecha de los proyectos 1 y 2.LAM0209 (Aeropuerto el Dorado-2), 3.PEA0004 (La Francia), 4.LAM2249 (Lisama), 5.LAM2233 (Ituango), 6-9.LAM8039-00 (Doña Juana - 4), 10.LAM3308 (La Loma), 11.LAM1094 (Cerrejón) y 12.LAM1248 (Matachín); adicional a lo anterior, el equipo de evaluación y seguimiento se encuentra apoyando la elaboración de cinco conceptos mas que se encuentran en el siguiente estado:  1.LAM8039 (Doña Juana) Quinto concepto en revisión por parte de líderes; 2. LAM0237 Hidrosogamoso, revisando información para análisis climatológico y en mesas técnicos con expertos, 3. Urrá observaciones por parte de líder, 4. LAM0209 Dorado en elaboración concepto de seguimiento y 5. LAM0019 Rubiales. Concepto en revisión. De acuerdo a lo anterior se registran 17  solicitudes de apoyo en el seguimiento, de las cuales 12 cuentan con concepto técnico</t>
  </si>
  <si>
    <t>Durante el mes de abril se realizaron dos socializaciones de las estrategias de monitoreo generadas por regionalización a las nuevas coordinaciones Caribe - pacífico (17-04-20) y Medio Magdalena - Cauca - Catatumbo (20-04-20)</t>
  </si>
  <si>
    <t>Durante el mes de abril se realizaron dos socializaciones de las estrategias de monitoreo generadas por regionalización a las nuevas coordinaciones Caribe - pacífico (17-04-20) y Medio Magdalena - Cauca - Catatumbo (20-04-20). Durante el mes de mayo se realizaron tres socializaciones:  La socialización de la estrategia de monitoreo recurso hídrico en la cuenca del río Cusiana, la cual culminó con la fase de elaboración de conceptos (07-05-20), así mismo se socializó la estrategia de monitoreo recurso hídrico subterráneo en la  SZH río Guarrojo, Alto Vichada y Muco, la cual se encuentra en fase de formulación  a la coordinación Orinoquía y profesionales a cargo de dicha coordinación. (18-05-20), por último se realizó la socialización de la estrategia de monitoreo para el sector hidroeléctrico en reunión con CORNARE. (19-05-20)</t>
  </si>
  <si>
    <t>Para la vigencia de 2020 se tiene programada la elaboración de tres reportes de análisis regional:
Reporte SZH Río Bogota (primer reporte)
1. Definición del área de estudio: se realizó reunión técnicas para delimitar y definir el área de estudio de este reporte (17-01-2020) y se generaro el shape del área, lo que corresponde al 2% de la actividad.
2. Gestión documental de expedientes: se generó la identificación de expedientes  del área de estudio en AGIL/SILA, la selección y distribución de los anexos de archivo, y se realizó la solicitud y descarga de los mismos. En total se descargó la información de 1410 radicados de 68 expedientes; de igual manera se generó la descarga en SILA de resolución y conceptos para el diligenciamiento de la matriz preliminar de permisos. Con la depuración de la información se estableció que el universo son 64 expedientes a sistematizar.  Esto corresponde al 8% de la actividad.
3.Gestión información secundaria y articulación: se realizó la revisión de la información disponible en la página web de la CAR, SDA, y otras entidades y se proyecto oficio de solitud de información y de una reunión con la CAR para presentar el instrumento y darle alcance a la información solicitada. Se encuentra pendiente la confirmación del CAR del espacio de reunión, esto corresponde a un  8% de la actividad
4. Sistematización de expedientes: se finalizó la sistematización de la información de cada uno de los componentes (flora, fauna, recurso hídrico superficial, recurso hídrico subtéraneo, aire, ruido y socioeconómico) en la base de datos del modelo de almacenamiento de regionalización. Igualmente se incorporo la información remitida por la SDA, respecto a la información de la CAR se incorporara en una actualización del reporte de acuerdo con la información obtenida de la propuesta de convenio con esta entidad. Esto corresponde a un  30% de la actividad
5. Elaboración de documento por componente: Se finalizo la estructuración de los documentos de cada uno de los componentes (flora, fauna, recurso hídrico superficial, recurso hídrico subtéraneo, aire, ruido y socioeconómico). Esto corresponde a un 30% de la actividad. Se tiene programado reunion de integralidad el 6 de abril. 
6.Elaboración del documento de integralidad y acumulativos. El 6 de abril se realizó la reunion de impactos acumulativos e integralidad y conforme a esta reunion, el equipo estructuro el documento. El cual ya se encuentra finalizado. Esto corresponde a un 14% de la actividad.                                                                                                                                                                                                                                                                                          7. Revisión, ajuste y documento final: El día 29 de abril ya se encuentra consolidada la versión final de la ficha consolidada, con los respectivos ajustes y correciones. Esto corresponde a un 8% de la actividad                                                      
De acuerdo a lo anterior, para este reporte se tiene un avance del 100%.                                                                                                                                                                                                                                                                             En el mes de mayo se adelantara la socialización del reporte de Río Bogotá al Subdirector y el envió del reporte ala OAJ, para luego remitir a Diagramación. Por otra parte se iniciara de manera simultanea con los reportes de alertas del Golfo de Tribuga y la actualización del reporte de la Guajira</t>
  </si>
  <si>
    <t>Para la vigencia de 2020 se tiene programada la elaboración de tres reportes de análisis regional:_x000D_
_x000D_
Reporte SZH Río Bogota (primer reporte finalizado 100%) En el mes de mayo se realizo la socialización de resultados al Subdirector y producto de dicha socialización se elaboro un video de resultados del reporte con el fin de aumentar el alcance de divulgación de los reportes de alertas._x000D_
Reporte Actualización Guajira (14%)                                                                                                                                                                                                                                                                                                                                            1. Definición del área de estudio: se realizó reunión técnicas para delimitar y definir el área de estudio de este reporte (17-01-2020) y se generaro el shape del área, lo que corresponde al 2% de la actividad._x000D_
2. Gestión documental de expedientes: se generó la identificación de expedientes  del área de estudio en AGIL/SILA, la selección y distribución de los anexos de archivo, y se realizó la solicitud y descarga de los mismos. En total se descargó la información de 200 radicados de 26 expedientes información despues de agosto de 2017 fecha de corte de reporte de 2017. Esto corresponde al 8% de la actividad._x000D_
3.Gestión información secundaria y articulación: se realizó la revisión de la información disponible en la página web de la Corpoguajira y otras entidades y se proyecto oficio de solitud de información y de una reunión con Corpoguajira para presentar el instrumento y darle alcance a la información solicitada. Se encuentra pendiente la confirmación del Corpoguajira del espacio de reunión, esto corresponde a un  8% de la actividad y se tiene avance del 4%_x000D_
Reporte Pacifico Norte: Golfo de Tribuga y Cupica (14%)                                                                                                                                                                                                                                                                                                         1. Definición del área de estudio: se realizó reunión técnicas para delimitar y definir el área de estudio de este reporte (17-01-2020) y se generaro el shape del área, lo que corresponde al 2% de la actividad._x000D_
2. Gestión documental de expedientes: Segun la revision del estado de licenciamiento e el área de estudio no se encuentran proyectos activos razon por la cual no se realiza esta gestión (8%)_x000D_
3.Gestión información secundaria y articulación: se realizó la revisión de la información disponible en la página web de las entidades en la zona y se proyecto oficio de solitud de información y de una reunión con: CODECHOCO, ANI, AUNAP, IIAP e Invemar.  para presentar el instrumento y darle alcance a la información solicitada. A la fecha se ha realizado la socialización con la AUNPA; se encuentra pendiente la confirmación de las demás entidades del espacio de reunión, esto corresponde a un  8% de la actividad y se tiene avance del 4%                                                                                                                                                                                                                                                  En el mes de junio para los reportes de alertas del Golfo de Tribuga y la actualización del reporte de la Guajira, se realizara la sistematización de información primaria y secundaria y elaboración de los documentos por componentes.</t>
  </si>
  <si>
    <t>Para la vigencia de 2020 se tiene programada la elaboración de tres reportes de análisis regional:_x000D_
_x000D_
Reporte SZH Río Bogota (primer reporte finalizado 100%) En el mes de junio el Subdirector realizo la revisión de la ficha y posterior a esto se remitió a la OAJ para revisión juridica. En el mes de julio se propone socializar la metodología y los resultados del reporte de manera interna a los demas  grupos de Regionalización_x000D_
Reporte Actualización Guajira (54%)                                                                                                                                                                                                                                                                                                                                            1. Definición del área de estudio: se realizó reunión técnicas para delimitar y definir el área de estudio de este reporte (17-01-2020) y se generaro el shape del área, lo que corresponde al 2% de la actividad._x000D_
2. Gestión documental de expedientes: se generó la identificación de expedientes  del área de estudio en AGIL/SILA, la selección y distribución de los anexos de archivo, y se realizó la solicitud y descarga de los mismos. En total se descargó la información de 200 radicados de 26 expedientes información despues de agosto de 2017 fecha de corte de reporte de 2017. Esto corresponde al 8% de la actividad._x000D_
3.Gestión información secundaria y articulación: se realizó la revisión de la información disponible en la página web de la Corpoguajira y otras entidades y se proyecto oficio de solitud de información y de una reunión con Corpoguajira para presentar el instrumento y darle alcance a la información solicitada. Se encuentra pendiente la confirmación del Corpoguajira del espacio de reunión, esto corresponde a un  8% de la actividad y se tiene avance del 4%_x000D_
4. Sistematización expedientes por componente.   Esta actividad representa el 30% y se cuenta con porcentaje de avance del 25%         _x000D_
5. Documento por componente análisis regional: Esta actividad representa el 30% y se tiene un % de avance del 14%                  _x000D_
6. Integralidad e impactos acumulativos: El 30 de junio se realizo reunion de integralidad e impactos acumulativos. Esta actividad representa el 14%._x000D_
Reporte Pacifico Norte: Golfo de Tribuga y Cupica (78%)                                                                                                                                                                                                                                                                                                         1. Definición del área de estudio: se realizó reunión técnicas para delimitar y definir el área de estudio de este reporte (17-01-2020) y se generaro el shape del área, lo que corresponde al 2% de la actividad._x000D_
2. Gestión documental de expedientes: Segun la revision del estado de licenciamiento e el área de estudio no se encuentran proyectos activos razon por la cual no se realiza esta gestión (8%)_x000D_
3.Gestión información secundaria y articulación: se realizó la revisión de la información disponible en la página web de las entidades en la zona y se proyecto oficio de solitud de información y de una reunión con: CODECHOCO, ANI, AUNAP, IIAP e Invemar.  para presentar el instrumento y darle alcance a la información solicitada. A la fecha se ha realizado la socialización con la AUNAP y Fundación Marviva, esto corresponde a un  8% de la actividad y se tiene avance del 8%   _x000D_
4. Sistematización expedientes por componente. Para este reporte no se realizo sistematizacion de información primaria (expedientes), a cambio se realizo la revisión de la información secundaria remitida por Fundación Marviva y la AUNAP. Esta actividad se encuentra finalizada y representa el 30%._x000D_
5. Documento por componente análisis regional: Este reporte contempló los siguientes componentes: Hidrico superficial, Biotico, Socioeconomico y un analisis fisico de oleaje y sismicidad. Adicionalmente se conto con la participación de VEA y el apoyo de Cambio Climatico. Esta actividad representa el 30% y se tiene un avance del 23,3%_x000D_
6. Integralidad e impactos acumulativos: En esta actividad se esta estructurando e implementado una nueva metodologia de impactos acumulativos con lo cual se generan 2 documentos: Descripción de actividades y el documento de Analisis de integralidad e impactos acumulativos. Esta actividad representa el 14% y se tiene un porcentaje de avance de 6,5%                                                                                                                                                                                                                                   Adicionalmente en el mes de junio se realizo la socialización de resultados de la CH-ALZP con la CDMB.</t>
  </si>
  <si>
    <t>ESTRATEGIAS FASE DE IMPOSICIÓN OBLIGACIONES. Estrategia hídrica subterránea cuenca del río Tillavá. 100% Cuatro conceptos. LAM4795. (Concepto técnico 31-12-20), LAM5995 (Concepto técnico 28-02-20), LAM5281 (Concepto técnico 3-03-20), LAV0084 (Concepto técnico del 22-04-20).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50%. 7 conceptos. LAV0029-00-2017 (Rumba-Enviado  a SES para comentarios). LAV0061-13 (Chitamena Sur - Enviado  a SES para comentarios), LAM6045 (Casimena- Enviado  a SES para comentarios), LAM0425 (Campo Santiago - Enviado a SES- En espera de comentarios), LAM2160 (Entreríos- Enviado  a SES para comentarios), LAM0524 (CPF Cusiana-Ennviado a SES en espera de comentarios), LAM0668 (Campo Cupiagua- Enviado a SES - en espera de comentarios). ESTRATEGIAS FASE DE ELABORACIÓN DE CONCEPTOS: Estrategia componente atmósfera Guajira. 50% 4 Conceptos. LAM1179 (Termoguajira - Priorizado segundo semestre de 2020), LAM2619 (Puerto Brisa - Concepto técnico 29-04-20), LAM1094 (Cerrejón - concepto en revisión), LAM3491 (Caypa- Concepto técnico 8-04-20). ESTRATEGIAS FASE DE FORMULACIÓN. Estrategia componente hìdrico subterraneo VMM 50% en Fase de revisión interna. Estrategia componente hídrico subterráneo SZH Muco, Guarrojo y Alto Vichada. 50% En fase de revisión interna.</t>
  </si>
  <si>
    <t>ESTRATEGIAS FASE DE IMPOSICIÓN OBLIGACIONES. Estrategia hídrica subterránea cuenca del río Tillavá. 100% Cuatro conceptos. LAM4795. (Concepto técnico 31-12-20), LAM5995 (Concepto técnico 28-02-20), LAM5281 (Concepto técnico 3-03-20), LAV0084 (Concepto técnico del 22-04-20).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50%. Se reinició proceso de socialización con los nuevos profesionales a cargo de acuerdo a reestructuración de la entidad, en proceso de revisión de priorización de proyectos según Subdirección de seguimiento, se espera durante el mes de junio iniciar socializaciones con los líderes a cargo de los siete expedientes incluidos en la estrategia. ESTRATEGIAS FASE DE ELABORACIÓN DE CONCEPTOS: Estrategia componente atmósfera Guajira. 75% 4 Conceptos. LAM1179 (Termoguajira - Priorizado segundo semestre de 2020), LAM2619 (Puerto Brisa - Concepto técnico 29-04-20), LAM1094 (Cerrejón - Concepto técnico 15-05-20), LAM3491 (Caypa- Concepto técnico 8-04-20). ESTRATEGIAS FASE DE FORMULACIÓN. Estrategia componente hìdrico subterraneo VMM 50% en Fase de revisión interna. Estrategia componente hídrico subterráneo SZH Muco, Guarrojo y Alto Vichada. 50% En fase de revisión interna, teniendo en cuenta priorización de la nueva subdirección de seguimiento.</t>
  </si>
  <si>
    <t xml:space="preserve">ESTRATEGIAS FASE DE IMPOSICIÓN OBLIGACIONES. Estrategia hídrica subterránea cuenca del río Tillavá. 100% Cuatro conceptos. LAM4795. (Concepto técnico 31-12-20), LAM5995 (Concepto técnico 28-02-20), LAM5281 (Concepto técnico 3-03-20), LAV0084 (Concepto técnico del 22-04-20). Estrategia Hídrica Superficial y atmosférica Alto San Jorge. 50%. Cuatro conceptos. LAV0051-00-2017 (concepto técnico 16-03-20). LAM4656 (concepto técnico 31-03-20). LAV0045-00-2016 (Termobijao-Sator). En espera de inicio fase de construcción para imposición de obligación. LAV0002-00-2020. (Cerromatoso. Se vincularan requerimientos hídricos superficiales y atmosféricos en el concepto de evaluación de licencia ambiental). Estrategia Hídrica Superficial Cuenca del Río Cusiana. 50%. Durante el mes de junio se inició con las socializaciones con los líderes a cargo de los siete expedientes incluidos en la estrategia y se definieron fechas de entrega para cada unod e los expedientes. ESTRATEGIAS FASE DE ELABORACIÓN DE CONCEPTOS: Estrategia componente atmósfera Guajira. 75% 4 Conceptos. LAM1179 (Termoguajira - Priorizado segundo semestre de 2020), LAM2619 (Puerto Brisa - Concepto técnico 29-04-20), LAM1094 (Cerrejón - Concepto técnico 15-05-20), LAM3491 (Caypa- Concepto técnico 8-04-20). ESTRATEGIAS FASE DE FORMULACIÓN. Estrategia componente hìdrico subterraneo VMM 50% en Fase de revisión interna. Estrategia componente hídrico subterráneo SZH Muco, Guarrojo y Alto Vichada. 50% En fase de revisión interna.  Estrategia </t>
  </si>
  <si>
    <t>Durante el mes de abril se reporta un avance del 29% de avance en la elaboración de los documentos de planeación. A la fecha se cuenta con los siguientes documentos:
1.Plan de Acción de la Política de  Gestión Presupuestal y eficiencia del Gasto Público.
2. Plan de Acción de la Política de Gobierno Digital
3. Plan de Acción de la Política de Seguridad Digital
4. Plan de Acción de la Política de Mejora Normativa</t>
  </si>
  <si>
    <t>En el mes de abril fueron aprobados los siguientes planes:
1. Plan de Acción de la Política de  Gestión Presupuestal y eficiencia del Gasto Público.
2. Plan de Acción de la Política de Gobierno Digital
3. Plan de Acción de la Política de Seguridad Digital
4. PLan de Acción de la Política de Mejora Normativa</t>
  </si>
  <si>
    <t>A corte de mayo 31, se cuenta con 7 de los 11 documentos de planeación proyectados, los cuales corresponden a las siguientes políticas:  
-  Talento Humano
- Mejora Normativa 
- Gestión Presupuestal y Eficiencia del Gasto Público
- Fortalecimiento Institucional y Simplificación de Procesos
- Gobierno Digital
- Seguridad Digital
- Seguimiento y Evaluación del Desempeño Institucional.</t>
  </si>
  <si>
    <t>A corte de mayo 31, se encuentran aprobados 7 Planes de acción de las siguientes políticas: 
-  Talento Humano
- Mejora Normativa 
- Gestión Presupuestal y Eficiencia del Gasto Público
- Fortalecimiento Institucional y Simplificación de Procesos
- Gobierno Digital
- Seguridad Digital
- Seguimiento y Evaluación del Desempeño Institucional.</t>
  </si>
  <si>
    <t>En  mayo se terminaron de aprobar los 7 Planes de acción de las siguientes políticas, con lo cual se da por finalizada este indicador: 
-  Talento Humano
- Mejora Normativa 
- Gestión Presupuestal y Eficiencia del Gasto Público
- Fortalecimiento Institucional y Simplificación de Procesos
- Gobierno Digital
- Seguridad Digital
- Seguimiento y Evaluación del Desempeño Institucional.</t>
  </si>
  <si>
    <t>Establecimiento del plan de acción para generar el mapa de conocimiento de ANLA y generación de los formatos para levantar el conocimiento tácito y explícito.
De igual manera se divulgo con el equipo de catalizadores con el fin de tener el inventario de la entidad listo el 20 de mayo y posteriomente diagramar el mapa de conocimiento.</t>
  </si>
  <si>
    <t>Con el equipo de catalizadores de gestión del conocimiento y la innovación se realizó el inventario de conocimiento tácito y explícito de cada una de las áreas y se consolidaron los archivos para tener el conocimiento tácito y explícito de ANLA.</t>
  </si>
  <si>
    <t xml:space="preserve">Este indicador se cumplió en el mes de mayo. </t>
  </si>
  <si>
    <t xml:space="preserve">Se establecio la linea base de los siguientes componentes:
Periodicidad
Niveles de seguimiento
Cumplimiento normativo
Pasivos Ambientales (cierre y/o desmantelamiento)
</t>
  </si>
  <si>
    <t>1. Se recogieron históricos de propuesta de complejidad de años anteriores
2. Se establece fecha de enlace con la estrategia de sostenibilidad financiera (agosto)
3. Se detecto que información relevante de seguimiento se puede integrar a la APP de la entidad
4. Se realizó primera versión del inventario de instrumentos</t>
  </si>
  <si>
    <t>1. Se consolidó inventario de los instrumentos y demás documentos utilizados en el proceso de seguimiento del licenciamiento ambiental
2. Se realizó la primera mesa de trabajo para establecer criterios y procedimientos para establecer los proyectos activos y contribuir con un indicador de cobertura</t>
  </si>
  <si>
    <t xml:space="preserve">	
Se preparó la propuesta del alcance la Misión sobre Licenciamiento Ambiental MLA la cual contiene alcance estrateico, objetivos del a misión, ejes temáticos y recomendaciones generales.</t>
  </si>
  <si>
    <t xml:space="preserve">	
Se preparó la propuesta del alcance la Misión sobre Licenciamiento Ambiental MLA la cual contiene alcance estratégico, objetivos del a misión, hoja de ruta por ejes temáticos y recomendaciones generales sugeridas. Se espera iniciar el proceso de socialización a partir del mes de junio</t>
  </si>
  <si>
    <t>Durante el mes de junio se realizaron actividades de mejoras de forma de hitos ya desarrollados, por lo tanto no se presenta avance para este mes en el plan de trabajo.</t>
  </si>
  <si>
    <t xml:space="preserve">	
Se propusieron los componentes que harán parte de la Estrategía de Evaluación. Se espera que sean validados para continuar con el diagnosttico y cuantificación.</t>
  </si>
  <si>
    <t xml:space="preserve">	
Se validaron los compontes que harán parte de la Estrategia de Evaluación. Se inició el diagnóstico y la cuantificación de cada uno de ellos.</t>
  </si>
  <si>
    <t>Se consolidó información cuantitativa para diagnosticar los componentes de la estrategia de evaluación. Se realizó presentación inicial del diagnóstico. Se está por avanzar en el componente de socialización de los componentes.</t>
  </si>
  <si>
    <t xml:space="preserve">Se  hizo la presentacion en comité directivo de tablero de control propuesto, ahora se proceden a hacer mesas de trabajo para la construccion de aquellos indicadores que no tiene la entidad. </t>
  </si>
  <si>
    <t>Durante el mes de mayo se avanzó en la distribución de indicadores dentro de los miembros del equipo de planeación y se empezaron a hacer mesas de trabajo para la construcción de indicadores que no se tienen en la entidad.</t>
  </si>
  <si>
    <t>Durante el mes de junio se iniciaron las mesas de trabajo para la construcción de los indicadores con las respectivas dependencias y miembros de la OAP.</t>
  </si>
  <si>
    <t>A corte 30 de abril se cuenta con un avance del 68% en las tres herramientas programadas para la vigencia</t>
  </si>
  <si>
    <t>Se realizaron los siguientes cambios :
    1) Realizar Cambios de Inicio
    2) Realizar Cambios en Hitos Principales
    3) Actualizar Proyectos Activos
    4) Actualizar Filtros
    5) Actualizar Reportes
    6) Integración de OELA
    7) Actualizar Recursos de Reposición
   8) Se implementaron los numeros telefonicos
   9) Elaborar módulo de SDE
   10 Elaborar módulo de VPI
   11) Realizar alertas
   12) Realizar mapeo de proyectos
   13) Realizar trazabilidad anual
   14) Crear calendarios informativos
   15) Realizar trazabilidad por trámite</t>
  </si>
  <si>
    <t>A corte 31 de mayo las herramientas cuentan con un 68% de avance</t>
  </si>
  <si>
    <t>Durante el mes de mayo se realizaron actividades de mejora de hitos ya desarrollados, por lo tanto no se presenta avance para este mes en el plan de trabajo.</t>
  </si>
  <si>
    <t>A la fecha se cuenta con lo siguiente :
    1) Realizar Cambios de Inicio
    2) Realizar Cambios en Hitos Principales
    3) Actualizar Proyectos Activos
    4) Actualizar Filtros
    5) Actualizar Reportes
    6) Integración de OELA
    7) Actualizar Recursos de Reposición
   8) Se implementaron los numeros telefonicos
   9) Elaborar módulo de SDE
   10 Elaborar módulo de VPI
   11) Realizar alertas
   12) Realizar mapeo de proyectos
   13) Realizar trazabilidad anual
   14) Crear calendarios informativos
   15) Reealizar trazabilidad por trámite
   16) Se realizó la versión inicial de medidas preventivas</t>
  </si>
  <si>
    <t>Durante el mes de junio se realizaron actividades de mejora de hitos ya desarrollados, por lo tanto no se presenta avance para este mes en el plan de trabajo.</t>
  </si>
  <si>
    <t>Se realizaron los siguientes cambios :
    1) Elaborar Módulo MIPG
    2) Elaborar Módulo PEI
    3) Elaborar Reporte PAA
    4) Elaborar Reporte PAI
    5) Culminar Módulo de CDP
    6) Módulo de Modificaciones Ver 1.0
    7) Avance en Módulo de Calidad
    8) Importador SIIF
    9) Actualizar Reportes para ver el valor de los RP y saldos disponibles
   10) Actualizar estructura
   11 Crear versión 1.0 para el reporte de indicadores
   12) Crear versión 2.0 del importador de SIIF</t>
  </si>
  <si>
    <t>Durante el mes de abril no se realizaron capacitaciones</t>
  </si>
  <si>
    <t>A corte 31 de mayo se ha realizado un taller de los 5 programados para la vigencia</t>
  </si>
  <si>
    <t>A corte 30 de junio se han realizado 4 talleres de los 5 programados: indicadores, rendición de cuentas, racionalización de trámites y ODS</t>
  </si>
  <si>
    <t xml:space="preserve">Se socializó el mapa de procesos aprobado en el Comité Directivo, el plan de trabajo y el inventario de documentos asociados al nuevo mapa a los líderes de los procesos y enlaces de calidad de manera virtual el 28/04/2020.
Se realizó mesas de trabajo para la planificación de las necesidades del aplicativo de gestión documental  
</t>
  </si>
  <si>
    <t>Se llevó a cabo mesas de trabajo para  definir las necesidades para el diseño del módulo de control de documentos. 
Se definió la tipología, jerarquía y contenidos mínimos de los documentos (caracterización, procedimiento, manual, instructivo, protocolo, programa, y formato)</t>
  </si>
  <si>
    <t>Con corte 30 de junio se realizó las siguientes actividades: Se socializaron las plantillas de los siguientes documentos: caracterización, procedimiento, manual, instructivo, protocolo, polìtica, programa y formato.
Se acompañó a los equipos de trabajo en la actualización de las caracterizaciones de los procesos con el siguiente avance: Sin iniciar 4 (23%), en proceso 8 (44%), finalizada 6 (33%).
Se ha acompañado a los enlaces y equipos de trabajo en la actualización de los documentos, de acuerdo al instructivo y procedimiento de información documentada, explicando las plantillas y el diligenciamiento de las mismas.
Se ha realizado mesas de trabajo para el diseño y el desarrollo del módulo de control de documentos, realizando pruebas de funcionamiento en cuanto a la asociación de procesos, dependencias y roles.</t>
  </si>
  <si>
    <t>Se cuenta con un avance del 55% en la reformulación de los proyectos de inversión de la entidad, toda vez que los archivos trabajados con el DNP aún se encuentran en proceso de ajuste y no han sido aprobados.</t>
  </si>
  <si>
    <t>A corte 31 de mayo los proyectos de inversión presentan un avance del 80%, a la fecha hace falta terminar los documentos de soporte del proyecto de fortalecimiento.</t>
  </si>
  <si>
    <t>A corte 30 de junio los proyectos se registraron y actualizaron en el SUIFP, con lo cual se da por finalizada esta actividad</t>
  </si>
  <si>
    <t>SELA</t>
  </si>
  <si>
    <t>PROMEDIO SELA</t>
  </si>
  <si>
    <t>SSLA</t>
  </si>
  <si>
    <t>Alto Magdalena-Cauca</t>
  </si>
  <si>
    <t>Caribe-Pacifico</t>
  </si>
  <si>
    <t>Medio Magdalena-Cauca Catatumbo</t>
  </si>
  <si>
    <t>Orinoquía-Amazonas</t>
  </si>
  <si>
    <t xml:space="preserve">Agroquímicos </t>
  </si>
  <si>
    <t>PROMEDIO SSLA</t>
  </si>
  <si>
    <t>Avance indicador de producto abril</t>
  </si>
  <si>
    <t>Avance indicador de gestión abril</t>
  </si>
  <si>
    <t>Avance indicador de producto mayo</t>
  </si>
  <si>
    <t>Avance indicador de gestión mayo</t>
  </si>
  <si>
    <t>Avance indicador de producto junio</t>
  </si>
  <si>
    <t>En el mes de abril se generaron contenidos internos y externos relacionados con las medidas adoptadas por la entidad frente al COVID-19 y la reestructuración, entre otros. A su vez,en materia de comunicaciones internas se generaron diferentes comunicaciones y piezas gráficas relacionadas con las campañas de reestructuración y de trabajo en casa</t>
  </si>
  <si>
    <t>En el mes de abril, los canales de comunicación que se emplearon fueron: el correo electrónico, la Ronda, la Intranet, El Director nos cuenta, el fondo de escritorio, Facebook, Twitter, LinkedIn, la página web y correos externos a periodistas de medios de comunicación.</t>
  </si>
  <si>
    <t>En el mes de mayo se generaron contenidos internos y externos relacionados con las apuestas de la ANLA, así como diferentes comunicados de prensa y videos relacionados con  las reuniones informativas del trámite de modificación del Plan de Manejo Ambiental (PMA) solicitado por la Policía Nacional en relación con el PECIG.</t>
  </si>
  <si>
    <t>En el mes de mayo, los canales de comunicación que se emplearon fueron: el correo electrónico para colaboradores de la ANLA, la Ronda, la Intranet, el fondo de escritorio, Facebook, Twitter, LinkedIn, YouTube, la página web y correos externos a periodistas de medios de comunicación.</t>
  </si>
  <si>
    <t>En el mes de junio se generaron contenidos internos relacionados con las apuestas de la ANLA, el Día Mundial del Medio Ambiente y el coronavirus. A su vez, se generaron diferentes comunicados de prensa relacionados con las apuestas de la ANLA por la biodiversidad, el curso de licenciamiento ambiental y la expedición de certificaciones ambientales otorgadas por la Autoridad Nacional de Licencias Ambientales por la adquisición de vehículos que operan con gas natural vehicular .</t>
  </si>
  <si>
    <t>En el mes de junio los canales de comunicación que se emplearon fueron: el correo electrónico para colaboradores de la ANLA, la Ronda, la Intranet, el fondo de escritorio, Facebook, Twitter, LinkedIn, YouTube, la página web y correos externos a periodistas de medios de comunicación.</t>
  </si>
  <si>
    <t xml:space="preserve">En abril, se generaron contenidos relacionados con las campañas internas de  reestructuración, y trabajo en casa.  A su vez, se replicaron contenidos solicitados por la  Oficina Asesora de Planeación, la Oficina Asesora Jurídica, la Subdirección Administrativa y Financiera y sus subgrupos (Talento humano, Tecnología y Financiera, Administrativa, entre otros). </t>
  </si>
  <si>
    <t xml:space="preserve">En mayo se generaron contenidos relacionados con las campañas internas de apuestas de la ANLA y el Nuevo Modelo Interno de Licenciamiento.  A su vez, se replicaron contenidos solicitados por la  Dirección General, la SIPTA, la Subdirección de Mecanismos de Participación Ciudadana Ambiental, la Oficina Asesora de Planeación, la Oficina Asesora Jurídica, la Subdirección Administrativa y Financiera y sus subgrupos (Talento humano, Tecnología y Financiera, Administrativa, entre otros). </t>
  </si>
  <si>
    <t xml:space="preserve">En junio se generaron contenidos relacionados con las campañas internas del Día Mundial del Medio Ambiente, apuestas de la ANLA y coronavirus.  A su vez, se replicaron contenidos solicitados por  la SIPTA, la Subdirección de Mecanismos de Participación Ciudadana Ambiental,  la Subdirección Administrativa y Financiera y sus subgrupos (Talento humano, Tecnología y Financiera, Administrativa, entre otros). </t>
  </si>
  <si>
    <t xml:space="preserve">En este mes, se generaron contenidos para redes sociales y página web relacionados con el coronavirus, los servicios de la entidad en tiemposde COVID-19, apuestas por la biodiverisidad y el seguimiento al Plan Piloto del Aeropuerto El Dorado, entre otros. </t>
  </si>
  <si>
    <t xml:space="preserve">En este mes se generaron contenidos para redes sociales y página web relacionados con el coronavirus, los servicios de la entidad en tiempos de COVID-19 y relacionados con las reuniones informativas del trámite de modificación del Plan de Manejo Ambiental (PMA) solicitado por la Policía Nacional en relación con el PECIG y Doña Juana. </t>
  </si>
  <si>
    <t xml:space="preserve">En este mes se generaron contenidos para redes sociales y página web relacionados con el Día Mundial del Medio Ambiente, coronavirus, los servicios de la entidad en tiempos de COVID-19  y Doña Juana, entre otros. </t>
  </si>
  <si>
    <t>El evento de la rendiciuón de cuentas está previsto para el En este mes, las gestiones de comunicaciones estuvieron enfocadas en informar sobre las medidades adoptadas por la entidad frente al COVID-19,la reestructuración y el trabajo desde casa,entre otros.</t>
  </si>
  <si>
    <t xml:space="preserve">El evento de la rendición de cuentas está previsto para el segundo semestre del año. En este mes se avanzó en la consolidación de la información y el diseño del Informe de Rendición de Cuentas para abogados y ambientalistas junto con la Oficina Asesora de Planeación. </t>
  </si>
  <si>
    <t>El evento de rendición de cuentas sectorial está previsto para finales de agosto o principios de septiembre de 2020. En junio, se le envío a ambientalistas y abogados informes con los avances de los compromisos socializados en los espacios de diálogo de 2019. En el mes de junio también se estructuró la estrategia de comunicaciones de Rendición de Cuentas de la entidad.</t>
  </si>
  <si>
    <t>En el mes de abril se generó un comunicado de prensa relacionado con la alianza entre la ANLA y UPME para temas de licenciamiento ambiental, se atendieron a diversos periodistas con respecto a la audiencia pública ambiental sobre glifosato y se publicó en la página web el micrositio de Coooperación y Relacionamientpo Internacional.</t>
  </si>
  <si>
    <t>En el mes de mayo se generaron comunicados de prensa relacionados con del trámite de modificación del Plan de Manejo Ambiental (PMA) en relación con el PECIG y se atendieron a diversos periodistas con respecto a los fallos judiciales relacionados con la audiencia pública ambiental sobre glifosato. Igualmente, se publicó el micrositio de Seguimiento de Licencias Ambientales.</t>
  </si>
  <si>
    <t>En el mes de mayo se generaron comunicados de prensa relacionados con el trámite de modificación del Plan de Manejo Ambiental (PMA) en relación con el PECIG y se atendieron a diversos periodistas con respecto a los fallos judiciales relacionados con la audiencia pública ambiental sobre glifosato. Igualmente, se publicó el microsiitio de Seguimiento de Licencias Ambientales.</t>
  </si>
  <si>
    <t>En el mes de junio se generaron comunicados de prensa relacionados con las apuestas de la ANLA por la biodiversidad, el curso virtual de licenciamiento ambiental y la aprobación de certificaciones ambientales a vehículos de carga gas natural. Igualmente, en este mes de rediseño el micrositio de Apuestas por la Biodiversidad.</t>
  </si>
  <si>
    <t>En el mes de abril no se generaron videos relacionados con las campañas internas, pero se publicó en la Intranet el video del reporte de oportunidad .</t>
  </si>
  <si>
    <t>En el mes de abril, las campañas internas implementadas fueron: reestructuración y trabajo desde casa que se vienen desarrollando desde el mes de marzo.</t>
  </si>
  <si>
    <t xml:space="preserve">En el mes de mayo no se generaron videos relacionados con las campañas internas, pero se generaron videos externos relacionados con las reuniones informativas del trámite de modificación de PECIG. </t>
  </si>
  <si>
    <t>En el mes de mayo, las campañas internas implementadas fueron: las apuestas de la ANLA, el Nuevo Modelo Interno de Licenciamiento Ambiental, el comité de convivencia laboral, la reestructuración y el Coronavirus (estas dos últimas se vienen implementado desde el mes de marzo).</t>
  </si>
  <si>
    <t>En el mes de junio, no se generaron videos relacionados con las campañas internas, pero se generaron videos relacionados con la conmemoración del Día Mundial de Medio Ambiente como el saludo del director con motivo de esta fecha y la crónica de la Ciénaga de la Virgen.</t>
  </si>
  <si>
    <t>En el mes de junio, las campañas internas implementadas fueron: el Día Mundial del Medio Ambiente (celebrado el 5 de junio), las apuestas de la ANLA ( se ha implementado en abril, mayo y junio) y el Coronavirus (se viene implementando desde marzo).</t>
  </si>
  <si>
    <t>Indicador de producto total</t>
  </si>
  <si>
    <t>53,3%</t>
  </si>
  <si>
    <t>Indicador de Gestión total</t>
  </si>
  <si>
    <t>27,7%</t>
  </si>
  <si>
    <t>REPORTE AVANCE MENSUAL ABRIL_2020</t>
  </si>
  <si>
    <t>REPORTE AVANCE MENSUAL MAYO_2020</t>
  </si>
  <si>
    <t>REPORTE AVANCE MENSUAL JUNIO_2020</t>
  </si>
  <si>
    <t>Se emitieron 63 actos administrativos para el mes de abril vigencia 2020, distribuidos en los tres indicadores medibles en abril, de la siguiente manera: Indicador 1 se emitieron 25 actos administrativos acogiendo CT de inicio, indicador 2 se emitieron 5 desiciones de fondo y para el indicador 3 se emitieron 33 actos administrativos de gestión entre las etapas del proceso sancionatorio.
E1_SANCIONATORIO_ACTOS ADMINISTRATIVOS FIRMADOS_ABRIL_2020</t>
  </si>
  <si>
    <t>Para el primer indicador se emitieron 23 autos de apertura de investigación 1  auto de indagación preliminar y 1 resolución que impone medida preventiva acogiendo CT.</t>
  </si>
  <si>
    <t>Se emitieron 68 actos administrativos para el mes de mayo vigencia 2020, distribuidos en los tres indicadores medibles en mayo, de la siguiente manera: Indicador 1 se emitieron 25 actos administrativos acogiendo CT de inicio, indicador 2 se emitieron 4 decisiones de fondo y para el indicador 3 se emitieron 39 actos administrativos de gestión entre las etapas del proceso sancionatorio.
E1_SANCIONATORIO_ACTOS ADMINISTRATIVOS FIRMADOS_MAYO_2020</t>
  </si>
  <si>
    <t>Para el primer indicador se emitieron 25 autos de apertura de investigación acogiendo CT.</t>
  </si>
  <si>
    <t>Se emitieron 70 actos administrativos para el mes de junio vigencia 2020, distribuidos en los tres indicadores medibles en junio, de la siguiente manera: Indicador 1 se emitieron 25 actos administrativos acogiendo CT de inicio, indicador 2 se emitieron 2 decisiones de fondo y para el indicador 3 se emitieron 43 actos administrativos de gestión entre las etapas del proceso sancionatorio.
E1_SANCIONATORIO_ACTOS ADMINISTRATIVOS FIRMADOS_JUNIO_2020</t>
  </si>
  <si>
    <t>Para el primer indicador se emitieron 24 autos de apertura de investigación y 1 resolución que impone medida preventiva acogiendo CT.</t>
  </si>
  <si>
    <t>Para el segundo indicador se emitieron 2 resoluciones de Cesación del proceso sancionatorio, 1 resolución que impone sanción, 1 resolución que declara caducidad  y 1 resolución que resuelve recurso de reposición a sanción.</t>
  </si>
  <si>
    <t>Para el segundo indicador se emitieron 3 resoluciones de Cesación del proceso sancionatorio y 1 auto archivo de indagación preliminar.</t>
  </si>
  <si>
    <t>Para el segundo indicador se emitieron 2 resoluciones de Cesación del proceso sancionatorio.</t>
  </si>
  <si>
    <t>Para el tercer indicador se emitieron 19 autos de formulación de cargos, 5 autos que decreta, rechaza o niega pruebas, 1 auto de aclaración, 1 auto de traslado por competencia, 2 autos que reconocen tercer interviniente, 1 auto que resuelve recurso de reposición, 2 auto que ordena diligencia dentro de investigación sancionatoria y 2 resoluciones que levantan medida preventiva.</t>
  </si>
  <si>
    <t>Para el tercer indicador se emitieron 10 autos de formulación de cargos, 14 autos que decreta, rechaza o niega pruebas, 1 auto de acumulación, 5 autos de archivo de proceso sancionatorio, 7 auto que resuelve recurso de reposición, 1 auto que ordena diligencia dentro de investigación sancionatoria y 1 resolución que levantan medida preventiva.</t>
  </si>
  <si>
    <t>Para el tercer indicador se emitieron 15 autos de formulación de cargos, 11 autos de archivo de proceso sancionatorio, 9 autos que decreta, rechaza o niega pruebas, 2 auto de aclaración, 2 autos que reconocen tercer interviniente, 1 auto que resuelve recurso de reposición, 1 auto que ordena diligencia dentro de investigación sancionatoria, 1 auto vincula persona a una investigación y 1 resolución que levantan medida preventiva.</t>
  </si>
  <si>
    <t xml:space="preserve">Para el mes de abril de 2020, no se emitió ningún  fallo, en consecuencia queda un total de 8 fallos y 6 de ellos favorables. </t>
  </si>
  <si>
    <t xml:space="preserve">Para el mes de mayo de 2020, se emitieron cinco fallos ejecutoriados los cuales  son favorables para la entidad:
E1_JUDICIALES_FALLOS MAYO_2020
</t>
  </si>
  <si>
    <t xml:space="preserve">Para el mes de Junio de 2020, no se emitió ningún  fallo, en consecuencia queda un total de 13 fallos y 11 de ellos favorables. </t>
  </si>
  <si>
    <t>De acuerdo con el Plan de Acción de Comité de Conciliación estaban programadas 28 actividades que se cumplieron en su totalidad.
E1_JUDICIALES_Plan de Acción Comité de Conciliación 2020
E2_JUDICIALES_EVIDENCIAS COMITÉ DE CONCILIACIÓN_ABRIL 2020</t>
  </si>
  <si>
    <t>De acuerdo con el Plan de Acción de Comité de Conciliación estaban programadas 21 actividades que se cumplieron en su totalidad.
E2_JUDICIALES_PA Comité de Conciliación 2020 seguimiento Mayo</t>
  </si>
  <si>
    <t>De acuerdo con el Plan de Acción de Comité de Conciliación estaban programadas 22 actividades que se cumplieron en su totalidad.
E1_JUDICIALES_PA Comité de Conciliación 2020 seguimiento Junio</t>
  </si>
  <si>
    <r>
      <rPr>
        <sz val="10"/>
        <rFont val="Calibri"/>
        <family val="2"/>
        <scheme val="minor"/>
      </rPr>
      <t>A Abril de 2020 se recaudo por cobro coactivo   $29.989.493, representado en  pagos parciales y pagos totales.</t>
    </r>
    <r>
      <rPr>
        <sz val="10"/>
        <color rgb="FFFF0000"/>
        <rFont val="Calibri"/>
        <family val="2"/>
        <scheme val="minor"/>
      </rPr>
      <t xml:space="preserve">
</t>
    </r>
    <r>
      <rPr>
        <sz val="10"/>
        <rFont val="Calibri"/>
        <family val="2"/>
        <scheme val="minor"/>
      </rPr>
      <t xml:space="preserve">E1_COACTIVO_BASE FINANCIERA_PAGOS CC_Abril 2020
E2_COACTIVO_BASE FINANCIERA_PAGOS CP_Abril 2020
E3_Cuadro_S_Cobro_Coactivo_Metas Abril 2020
</t>
    </r>
  </si>
  <si>
    <t>Durante el periodo de abril de 2020 se recaudo por cobro coactivo  $16.032.903, representado en  pagos totales.</t>
  </si>
  <si>
    <r>
      <rPr>
        <sz val="10"/>
        <rFont val="Calibri"/>
        <family val="2"/>
        <scheme val="minor"/>
      </rPr>
      <t>A Mayo de 2020 se recaudo por cobro coactivo y persuasivo $542.785.113, representado en  pagos parciales y pagos totales.</t>
    </r>
    <r>
      <rPr>
        <sz val="10"/>
        <color rgb="FFFF0000"/>
        <rFont val="Calibri"/>
        <family val="2"/>
        <scheme val="minor"/>
      </rPr>
      <t xml:space="preserve">
</t>
    </r>
    <r>
      <rPr>
        <sz val="10"/>
        <rFont val="Calibri"/>
        <family val="2"/>
        <scheme val="minor"/>
      </rPr>
      <t>E1_COACTIVO_BASE FINANCIERA_PAGOS CC_Mayo 2020
E2_COACTIVO_BASE FINANCIERA_PAGOS CP_Mayo 2020
E3_COACTIVO_Cuadro_S_Cobro_Coactivo_Metas Mayo 2020</t>
    </r>
  </si>
  <si>
    <t>Durante el periodo de mayo de 2020 se recaudo por cobro coactivo $269.898.639, representado en  pagos parciales y pagos totales.</t>
  </si>
  <si>
    <r>
      <rPr>
        <sz val="10"/>
        <rFont val="Calibri"/>
        <family val="2"/>
        <scheme val="minor"/>
      </rPr>
      <t>A junio de 2020 se recaudo por cobro coactivo y persuasivo $1,008,672,094, representado en  pagos parciales y pagos totales.</t>
    </r>
    <r>
      <rPr>
        <sz val="10"/>
        <color rgb="FFFF0000"/>
        <rFont val="Calibri"/>
        <family val="2"/>
        <scheme val="minor"/>
      </rPr>
      <t xml:space="preserve">
</t>
    </r>
    <r>
      <rPr>
        <sz val="10"/>
        <rFont val="Calibri"/>
        <family val="2"/>
        <scheme val="minor"/>
      </rPr>
      <t>E1_COACTIVO_BASE FINANCIERA_PAGOS CC_Junio 2020
E2_COACTIVO_BASE FINANCIERA_PAGOS CP_Junio 2020
E3_COACTIVO_Cuadro_S_Cobro_Coactivo_Metas Junio 2020</t>
    </r>
  </si>
  <si>
    <t>Durante el periodo de junio de 2020 se recaudo por cobro coactivo $227.575.617, representado en  pagos parciales y pagos totales.</t>
  </si>
  <si>
    <t xml:space="preserve">
Durante el mes de abril se recaudo por cobro persuasivo $13.956.590 de la meta establecida para el 2020.</t>
  </si>
  <si>
    <r>
      <rPr>
        <sz val="10"/>
        <rFont val="Calibri"/>
        <family val="2"/>
        <scheme val="minor"/>
      </rPr>
      <t>Se recibe al finalizar el cuarto mes del año 2020, 165 remisiones por parte de SAF por cobros de seguimiento, representados en $3,020,834,114, quedando como cartera total en etapa de cobro persuasivo $3,649,211,905</t>
    </r>
    <r>
      <rPr>
        <sz val="10"/>
        <color rgb="FFFF0000"/>
        <rFont val="Calibri"/>
        <family val="2"/>
        <scheme val="minor"/>
      </rPr>
      <t xml:space="preserve">
</t>
    </r>
    <r>
      <rPr>
        <sz val="10"/>
        <rFont val="Calibri"/>
        <family val="2"/>
        <scheme val="minor"/>
      </rPr>
      <t>Se recaudo $272,886,474 de la meta establecida para el 2020.</t>
    </r>
  </si>
  <si>
    <t xml:space="preserve">
Durante el mes de junio se recaudo por cobro persuasivo $781,096,477  de la meta establecida para el 2020.</t>
  </si>
  <si>
    <t>ACUMULADO PRODUCTO</t>
  </si>
  <si>
    <t>ACUMULADO GESTIÓN</t>
  </si>
  <si>
    <t>AVANCE AL 100% PRODUCTO</t>
  </si>
  <si>
    <t>AVANCE AL 100% GESTIÓN</t>
  </si>
  <si>
    <t>No presenta avance el indicador, teniendo en cuenta que el Plan de trabajo de la implementación del Centro de Orientación se ejecutará una vez se dé el traslado a la nueva sede. En el mes de mayo se adelantó reunión con el Grupo de Gestión Administrativa, con el fin de revisar el primer plano de distribución Centro de Orientación.</t>
  </si>
  <si>
    <t>No presenta avance el indicador, teniendo en cuenta que el Plan de trabajo de la implementación del Centro de Orientación se ejecutará una vez se dé el traslado a la nueva sede. En el mes de junio se presentó el plano definitivo del Centro de Orientación. Se adelantaron las visitas técnicas de los proveedores de digiturno y canal dedicado para coordinar la logística del traslado en el mes de julio.</t>
  </si>
  <si>
    <t>Se definieron un total de 4 actividades, así:
1. Ajuste formulario de caracterización. 2. Identificación de Entidades Públicas - Autoridades Ambientales (de acuerdo con la priorización). 3. Aplicación de formulario de caracterización. 4. Tabulación y Resultados
De las 4 actividades definidas, se llevaron a cabo 2: ajuste al formulario de caracterización de las Autoridades Ambientales y la identificación de las Autoridades para la aplicación del Instrumento.</t>
  </si>
  <si>
    <t>Se definieron un total de 4 actividades, así:
1. Ajuste formulario de caracterización. 2. Identificación de Entidades Públicas - Autoridades Ambientales (de acuerdo con la priorización). 3. Aplicación de formulario de caracterización. 4. Tabulación y Resultados
El 6 de mayo se remitió el formulario de caracterización a las Autoridades Ambientales, una vez se complete la información se procederá a elaborar el respectivo documento con los resultados.</t>
  </si>
  <si>
    <t>Se definieron un total de 4 actividades, así:
1. Ajuste formulario de caracterización. 2. Identificación de Entidades Públicas - Autoridades Ambientales (de acuerdo con la priorización). 3. Aplicación de formulario de caracterización. 4. Tabulación y Resultados
El 6 de mayo se remitió el formulario de caracterización a 39 Autoridades Ambientales.
Con corte a 30 de junio se encuentra pendiente la respuesta de 6 CARs.
Una vez se complete la información se procederá a elaborar el respectivo documento con los resultados.</t>
  </si>
  <si>
    <t>En el primer trimestre se aplicó la encuesta de satisfacción de usuarios. En el mes de junio del 2020 se completó la muestra de la encuesta de satisfacción correspondiente a la medición del segundo semestre de 2019, presentando como resultado una satisfacción general del 83,2%. En el mes de Julio de 2020 se aplicará la encuesta de satisfacción correspondiente a la medición del primer semestre de 2020, los resultados se presentarán en el ultimo trimestre del año.</t>
  </si>
  <si>
    <t>Se implementaron 3 nuevos canales:
1. Virtual hold
2. Click to call
3. Chatbot</t>
  </si>
  <si>
    <t>Numero</t>
  </si>
  <si>
    <t>En el segundo trimestre se llevó a cabo la segunda actividad del plan de trabajo de manera parcial, teniendo en cuenta que el documento se encuentra en revisión y ajustes que se alimentarán con las recomendaciones de expertos del PNUD.</t>
  </si>
  <si>
    <t>N° de PQRS ordinarios respondidos en los términos legales / N° de PQRS ordinarios recibidos.</t>
  </si>
  <si>
    <t>En los meses de Enero y febrero el Grupo de Atención al Ciudadano respondió en terminos legales 718 PQRS, de un total de recibidos de 724, es decir, se respondieron fuera de termino 6 PQRS.</t>
  </si>
  <si>
    <t xml:space="preserve"> Ene-Mar de 2020: Con corte al primer trimestre del año 2020 la Entidad recibió 2.134 peticiones, quejas, reclamos y sugerencias Ordinarias, de las cuales se atendieron dentro de termino 2.109, representando un porcentaje de cumplimiento del 98,8%. En el mes de enero se recibieron 255 PQRS y se atendieron dentro de término 254 (99,60%); el acumulado en el mes de febrero correspondió a 1174 PQRS recibidos y  1157 PQRS atendidos dentro de término (98,55%) y en el mes de marzo correspondió a 2134 PQRS recibidos y 2109 PQRS atendidos dentro de término (98,82%).
En relación con las peticiones verbales recibidas a traves de los canales telefónico, chat y presencial en el trimestre se recibieron 6.308 , las cuales de atendieron de manera inmediata. (Enero 1.982, febrero 2.219 y marzo 2.107). Dado que la respuesta es inmediata, no se tiene en cuenta en el calculo del indicador. 
Para el I trimestre la Subdirección de Mecanismos de Participación Ciudadana Ambiental atendió el 80% de las peticiones, quejas, reclamos y sugerencias ordinarias que ingresaron a la Entidad.</t>
  </si>
  <si>
    <t xml:space="preserve"> Ene-Abr de 2020: Con corte al 30 de abril del 2020 la Entidad recibió 2.858 peticiones, quejas, reclamos y sugerencias Ordinarias, de las cuales se atendieron dentro de termino 2.822, es decir, se respondieron fuera de termino 36 PQRS. Representando un porcentaje de cumplimiento del 98,7%. </t>
  </si>
  <si>
    <t>Ene-May de 2020: Con corte al 31 de mayo del 2020 la Entidad recibió 3.609 peticiones, quejas, reclamos y sugerencias Ordinarias, de las cuales se atendieron dentro de termino 3.573, es decir, se respondieron fuera de termino 36 PQRS. Representando un porcentaje de cumplimiento del 99%. 
Se aclara que 5 radicados reportados en el mes de abril como vencidos cambiaron el estado de acuerdo con la siguiente información:
2020033835: se respondió en tiempo con otro radicado de entrada 2020061021-1-000 (en tiempo)
2020034680: prórroga, salió respuesta sin radicado asociado al inicial. (en tiempo)
2020034885: prórroga, posteriormente se identificó como actividad informativa. (en tiempo)
2020039702: traslado, salió respuesta sin radicado asociado al inicial. (en tiempo)
2020052016: se cambió la actividad y se reasignó a trámite dentro del expediente LAM2469.</t>
  </si>
  <si>
    <t>Ene-Jun de 2020: Con corte al 30 de junio del 2020 la Entidad recibió 4.442 peticiones, quejas, reclamos y sugerencias Ordinarias, de las cuales se atendieron dentro de termino 4.403, es decir, se respondieron fuera de termino 39 PQRS. Representando un porcentaje de cumplimiento del 99,1%. 
En relación con las peticiones verbales recibidas a traves de los canales telefónico, chat y presencial en el trimestre se recibieron 4.558, las cuales de atendieron de manera inmediata. (Abril 1.459, mayo 1.576 y junio 1.523). Dado que la respuesta es inmediata, no se tiene en cuenta en el calculo del indicador.
Para el I semestre la Subdirección de Mecanismos de Participación Ciudadana Ambiental atendió el 79% de las peticiones, quejas, reclamos y sugerencias ordinarias que ingresaron a la Entidad.</t>
  </si>
  <si>
    <t>PROMEDIO ATENCIÓN AL CIUDADANO</t>
  </si>
  <si>
    <t>Indicador de producto total*</t>
  </si>
  <si>
    <t>Indicador de Gestion total*</t>
  </si>
  <si>
    <t>Indicador de Gestion total</t>
  </si>
  <si>
    <t>37,7%</t>
  </si>
  <si>
    <t xml:space="preserve">*Incluye el indicador : Notificaciones por medios electrónicos / notificaciones realizadas </t>
  </si>
  <si>
    <t>Durante el mes de Abril se presentaron un total de 60 actividades.  Del total de estas actividades, 59 actividades fueron finalizadas dentro de los términos establecidos, 1  fueron finalizadas vencidas, esto arroja un porcentaje de oportunidad del 98,3% para el mes de Abril. En total acumulado a Abril se han recibido un total de 221 solicitudes, de las cuales 213 han sido respondidas dentro de los términos establecidos, 8 vencidas.  Esta gestión arroja una porcentaje de oportunidad del 96,3%.</t>
  </si>
  <si>
    <t>Durante el mes de Mayo se presentaron un total de 38 actividades.  Del total de estas actividades, 36 actividades fueron finalizadas dentro de los términos establecidos, 2  fueron finalizadas vencidas, esto arroja un porcentaje de oportunidad del 94,7% para el mes de Mayo. En total acumulado a Mayo se han recibido un total de 264 solicitudes, de las cuales 254 han sido respondidas dentro de los términos establecidos y  10 vencidas.  Esta gestión arroja una porcentaje de oportunidad del 96,21%.</t>
  </si>
  <si>
    <t>Durante el mes de Junio se presentaron un total de 53 actividades.  Del total de estas actividades, 52 actividades fueron finalizadas dentro de los términos establecidos, 1  fue finalizada vencida, esto arroja un porcentaje de oportunidad del 98,11% para el mes de Junio. En total acumulado a Junio se han recibido un total de 317 solicitudes, de las cuales 306 han sido respondidas dentro de los términos establecidos y  11 vencidas.  Esta gestión arroja una porcentaje de oportunidad del 96,53%.</t>
  </si>
  <si>
    <t>Durante el mes de Abril se presentaron un total de 242 actividades.  Del total de estas actividades, 142 actividades fueron finalizadas dentro de los términos establecidos, 30 fueron finalizadas vencidas y 70 activas vencidas; esto arroja un porcentaje de oportunidad del 58,7% para el mes de Abril.  En total acumulado el total acumulado a Abril se han recibido 890 solicitudes; esta gestión arroja una porcentaje de oportunidad del 68,5%, para el acumulado del año, con 610 solicitudes en términos y 280 vencidas.</t>
  </si>
  <si>
    <t>Durante el mes de Mayo se presentaron un total de 299 actividades.  Del total de estas actividades, 181 actividades fueron finalizadas dentro de los términos establecidos, 72 fueron finalizadas vencidas y 46 activas vencidas; esto arroja un porcentaje de oportunidad del 60,5% para el mes de Abril.  En total acumulado el total acumulado a Mayo se han recibido 1209 solicitudes; esta gestión arroja una porcentaje de oportunidad del 72,8%, para el acumulado del año, con 880 solicitudes en términos y 283 vencidas.</t>
  </si>
  <si>
    <t>Durante el mes de Junio  se presentaron un total de 317 actividades.  Del total de estas actividades, 174 actividades fueron finalizadas dentro de los términos establecidos, 104 fueron finalizadas vencidas y 39 activas vencidas; esto arroja un porcentaje de oportunidad del 54,9% para el mes de Junio.  En total acumulado el total acumulado a Junio se han recibido 1537 solicitudes; esta gestión arroja una porcentaje de oportunidad del 72,3%, para el acumulado del año, con 1111 solicitudes en términos, 387 vencidas y 39 activas vencidas .</t>
  </si>
  <si>
    <t>Durante el mes de Abril se gestionaron 3 autos de inicio, los cuales todos fueron atendidos dentro de los términos establecidos, esto arroja un porcentaje de oportunidad del 100%. Se debe tener en cuenta que 2 de los autos eran del sector de agroquímicos y no requerían visita, por esta razón se gestionaron en términos; y uno queda pendiente debido a directriz emitida por la entidad de no realizar visitas.  En total acumulado a Abril se presentan 25  autos de inicio con 16 gestionados dentro de los términos y esto arroja un porcentaje de oportunidad del 64%.</t>
  </si>
  <si>
    <t>Durante el mes de Mayo se gestionaron 4 autos de inicio, de los cuales 1 fue atendido fuera de los términos establecidos y los otros 3 se encuentran pendientes debido a la directriz de la entidad de no realizar visitas tecnicas a los usuarios; esto arroja un porcentaje de oportunidad del 0%.  En total acumulado a Mayo se presentan 29 autos de inicio con 16 gestionados dentro de los términos y esto arroja un porcentaje de oportunidad del 55,1%.</t>
  </si>
  <si>
    <t>Durante el mes de Junio se presentaron 6 autos de inicio, de los cuales 2 se encuentran pendientes debido a la directriz de la entidad de no realizar visitas técnicas a los usuarios, y 4 se atendieron (por solicitud de la subdirección de Evaluación) con fecha de finalización dentro de los términos establecidos; esto arroja un porcentaje de oportunidad del 66,6% para el mes de Junio.  En total acumulado corte Junio se presentan 35 autos de inicio con 20 gestionados dentro de los términos y esto arroja un porcentaje de oportunidad del 57,1%.</t>
  </si>
  <si>
    <t>Durante el mes de Abril se gestionaron 4 VPD, de las cuales las 4 fueron atendidas en términos, obteniendo un porcentaje de oportunidad del 100% par el mes de Marzo. En el total acumulado a Abril se han recibido un total de 61 solicitudes, de las cuales 54 han sido gestionadas a tiempo y 7 vencidas, obteniendo un porcentaje de oportunidad del 88,5%.</t>
  </si>
  <si>
    <t>Durante el mes de Mayo se gestionaron 12 VPD, de las cuales las 12 fueron atendidas en términos, obteniendo un porcentaje de oportunidad del 100% par el mes de Mayo. En el total acumulado a Mayo se han recibido un total de 73 solicitudes, de las cuales 66 han sido gestionadas a tiempo y 7 vencidas, obteniendo un porcentaje de oportunidad del 90,4%.</t>
  </si>
  <si>
    <t>Durante el mes de Junio se gestionaron 12 BPD, de las cuales las 12 fueron atendidas en términos, obteniendo un porcentaje de oportunidad del 100% para el mes de Junio. En el total acumulado a Junio se han recibido un total de 85 solicitudes, de las cuales 78 han sido gestionadas a tiempo y 7 vencidas, obteniendo un porcentaje de oportunidad del 91,7%.</t>
  </si>
  <si>
    <t>Durante el mes de Abril se presentaron un total de 109 actividades.  Del total de estas actividades, 107 actividades fueron finalizadas dentro de los términos establecidos, 1 fueron finalizadas vencidas y a fecha de corte 1 se encontraba activa vencida.  Esto arroja un porcentaje de oportunidad del 98,2% para el mes de Abril. En total acumulado a Abril se han recibido un total de 444 solicitudes, de las cuales 439 han sido respondidas dentro de los términos establecidos, 5 vencidas.  Esta gestión arroja una porcentaje de oportunidad del 98,9%.</t>
  </si>
  <si>
    <t>Durante el mes de Mayo se presentaron un total de 85 actividades.  Del total de estas actividades, 84 actividades fueron finalizadas dentro de los términos establecidos, 1 fueron finalizadas vencidas.  Esto arroja un porcentaje de oportunidad del 98,98% para el mes de Mayo. En total acumulado a Mayo se han recibido un total de 555 solicitudes, de las cuales 550 han sido respondidas dentro de los términos establecidos, 5 vencidas.  Esta gestión arroja una porcentaje de oportunidad del 99,1%.</t>
  </si>
  <si>
    <t>Durante el mes de Junio se presentaron un total de 114 actividades.  Del total de estas actividades, 113 actividades fueron finalizadas dentro de los términos establecidos, 1 fue finalizada vencida.  Esto arroja un porcentaje de oportunidad del 99,1% para el mes de Junio. En total acumulado a Junio se han recibido un total de 701 solicitudes, de las cuales 694 han sido respondidas dentro de los términos establecidos, 7 vencidas. Esta gestión arroja una porcentaje de oportunidad del 99% acumulado corte Junio.</t>
  </si>
  <si>
    <t>Durante el mes de Abril se presentaron un total de 30 actividades.  Del total de estas actividades, 30 actividades fueron finalizadas dentro de los términos establecido y no se presentaron vencimientos, esto arroja un porcentaje de oportunidad del 100% para el mes de Abril. En total acumulado a Abril se han recibido un total de 200 solicitudes, de las cuales 198 han sido respondidas dentro de los términos establecidos y 2 vencidas.  Esta gestión arroja una porcentaje de oportunidad del 99%.</t>
  </si>
  <si>
    <t>Durante el mes de Mayo se presentaron un total de 54 actividades.  Del total de estas actividades, 56 actividades fueron finalizadas dentro de los términos establecido y no se presentaron vencimientos, esto arroja un porcentaje de oportunidad del 100% para el mes de Mayo. En total acumulado a Mayo se han recibido un total de 262 solicitudes, de las cuales 259 han sido respondidas dentro de los términos establecidos y 3 vencidas.  Esta gestión arroja una porcentaje de oportunidad del 98,9%.</t>
  </si>
  <si>
    <t>Durante el mes de Junio se presentaron un total de 59 actividades.  Del total de estas actividades, 59 actividades fueron finalizadas dentro de los términos establecido y no se presentaron vencimientos, esto arroja un porcentaje de oportunidad del 100% para el mes de Junio. En total acumulado a Junio se han recibido un total de 329 solicitudes, de las cuales 326 han sido respondidas dentro de los términos establecidos y 3 vencidas.  Esta gestión arroja una porcentaje de oportunidad del 99,1% acumulado corte Junio.</t>
  </si>
  <si>
    <t>Se firmó el contrato correspondiente a la renovación de licencias y servicios geoespaciales PLANET por valor de $1.141.000.0000
Actualmente el proceso TIC se encuentra realizando las actividades precontractuales necesarias para la adquisición de los sistemas y las tecnologías planeadas en el Plan de Adquisiciones 2020</t>
  </si>
  <si>
    <t>Adquisición de Software:
1-Se firmó el contrato correspondiente a la renovación de licencias y servicios geoespaciales SKYSAT PLANET por valor de $1.141.000.0000
Actualmente la OTI se encuentra realizando las actividades precontractuales necesarias para la adquisición de los sistemas y las tecnologías proyectadas en el Plan de Adquisiciones 2020. (Ver Anexo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</si>
  <si>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Avances en las actividades asociadas a lograr la interoperabilidad de 5 sistemas institucionales: 
Para lograr la interoperabilidad de los sistemas institucionales y servicios tecnológicos de la ANLA, se requiere adquirir, parametrizar y desplegar la solución API GATEWAY.
Con corte a 30 de junio de 2020, las actividades precontractuales que se han realizado son las siguientes:
1-Fomulación de ficha técnica.
2-Solicitud de cotizaciones con fines de estudio de mercado.
3-Elaboración de primera versión de Estudios Previos
4-Gestión de Certificado de Disponibilidad Presupuestal
La radicación del proceso en el Grupo de Contratos se estima para el mes de Julio de 2020, de acuerdo con lo proyectado en el Plan de Adquisiciones OTI y la ejecución del contrato se realizará en el segundo semestre de la presente vigencia.</t>
  </si>
  <si>
    <t>Adquisición de Software:
1-Se firmó el contrato correspondiente a la renovación de licencias y servicios geoespaciales SKYSAT PLANET por valor de $1.141.000.0000
2-Se generó la aceptación de oferta correspondiente a la adquisición de licencias ADOBE CREATIVE SUITE por valor de  $17.995.000
Actualmente la OTI se encuentra realizando las actividades precontractuales necesarias para la adquisición de los sistemas y las tecnologías proyectadas en el Plan de Adquisiciones 2020. (Ver Anexo A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</si>
  <si>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Adquisición de Hardware:
Actualmente la OTI se encuentra realizando las actividades precontractuales necesarias para la adquisición de los sistemas y las tecnologías proyectadas en el Plan de Adquisiciones 2020. (Ver Anexo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</si>
  <si>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Se realizó el análisis, diseño y desarrollo del aplicativo de contingencias en la Ventanilla VITAL.
Se realizó el análisis, diseño, desarrollo y puesta en producción de la aplicación ANLA en las plataforma IOS de APPLE.
Se realizó el análisis, diseño, desarrollo y puesta en producción del formulario de Sistema de Recolección Selectiva SRS. 
Se realizó la maquetación , el diseño y puesta en producción de los micrositios del portal web Mecanismos de Participación Ciudadana, Cooperación Internacional, Nuevo Modelo de Licenciamiento Ambiental y Cambio Climático</t>
  </si>
  <si>
    <t>Número de Usuarios impactados con los desarrollos de software OTI:
1- Con el paso a producción de del módulo de contingencias se reportaron 385 usuarios impactados en su primer mes de funcionamiento de acuerdo con el reporte de la Ventanilla VITAL.
2- Con el paso a producción de los micrositios del portal web, de acuerdo con las estadísticas de la cuenta de Google Analytics de la ANLA se reportaron 1799  visitas de usuarios  en el mes de Junio distribuidas así:
A. Mecanismos de Participación Ciudadana: 361 vistas a las categorías del micrositio diseñado y puesto en producción por OTI.
B. Cooperación Internacional: 39 vistas a las categorías del micrositio diseñado y puesto en producción por OTI.
C.  Nuevo Modelo de Licenciamiento Ambiental: 1.399 vistas a las categorías y documentos del micrositio diseñado y puesto en producción por OTI.
Para un total de 2.184 usuarios impactados con proyectos desarrollados por OTI,  lo cual supera el indicador programado inicialmente. Se requiere realizar el redimensionamiento antes del próximo reporte.</t>
  </si>
  <si>
    <t>Módulos Del Sistema De Información Actualizados:
20% -&gt;-Se realizó el análisis, diseño y desarrollo del aplicativo de contingencias en la Ventanilla VITAL.
20%-&gt;-Se realizó el análisis, diseño, desarrollo y puesta en producción de la aplicación ANLA en las plataforma IOS de APPLE.
20% -&gt;-Se realizó el análisis, diseño, desarrollo y puesta en producción del formulario de Sistema de Recolección Selectiva SRS. 
20%-&gt;-Se realizó la maquetación , el diseño y puesta en producción de los micrositios del portal web Mecanismos de Participación Ciudadana, Cooperación Internacional, Nuevo Modelo de Licenciamiento Ambiental y Cambio Climático</t>
  </si>
  <si>
    <t>Avances en el perfilamiento de herramientas asociadas a seguridad realizados a la fecha:
1- Herramienta de gestión de máquinas virtuales VMWARE
2- Herramienta de gestion y restauración de copias de respaldo NETBACKUP.</t>
  </si>
  <si>
    <t>Adquisición de Componentes de Seguridad:
1- Se firmó el contrato correspondiente a la adquisición de productos y servicios MICROSOFT por valor de $1.175.004.552,75
Actualmente la OTI se encuentra realizando las actividades precontractuales necesarias para la adquisición de los sistemas y las tecnologías proyectadas en el Plan de Adquisiciones 2020. (Ver Anexo Seguimiento y Avance de Procesos Contractuales OTI)
Es importante mencionar que durante el primer semestre 2020 la OTI priorizó el fortalecimiento de su equipo de trabajo a través de la contratación por prestación de servicios de profesionales y tecnicos para aumentar la oportunidad en la respuesta a requerimientos TI de caracter estratégico y operativo. Los cambios más representativos que justifican estas contrataciones son la reestructuración de la Entidad, el traslado a la nueva sede, la emergencia sanitaria COVID-19 y el incremento de solicitudes de desarrollo de software.  Lo anterior se evidencia con los registros presupuestales de las actividades de FONAM TIC asociadas a recurso humano "Actualizar y desarrollar nuevas funcionalidades en los sistemas de información institucional de acuerdo a las necesidades misionales, estratégicas y de apoyo de la entidad."  y "Brindar asesoría técnica y soporte tecnológico a los procesos acorde con los requerimientos institucionales y gubernamentales." Ver herramienta PAI.
Durante el segundo semestre 2020 se realizará la gestión requerida desde lo precontractual, contractual y poscontractual para cumplir las metas proyectadas en la vigencia 2020.</t>
  </si>
  <si>
    <t xml:space="preserve">5%
Formulación, presentación, recepción de recomendaciones, realización de ajustes  y aprobación por parte del Comité Directivo al Implementación del Plan de Tratamiento de Riesgos de Seguridad y Privacidad de la Información 2020 -2022
25%
Realización de 2 mesas de trabajo con la OAP y Control Interno y consolidación de nueva propuesta de mapa de riesgos de seguridad de la información de acuerdo con las nuevas necesitades y visión de la OTI.
10%
Revisar la documentación vigente de gestión de riesgos de seguridad de la información publicada por el Departamento Administrativo de la función pública y el Ministerio de TIC. 
40%
Proponer criterios de impacto/calificación de riesgos de seguridad digital y participar en las mesas de trabajo de actualización de la política de riesgos de la ANLA </t>
  </si>
  <si>
    <t>Plan de Tratamiento de Riesgos de Seguridad y Privacidad de la Información: 
1-Se formula y gestiona la aprobación del Plan de Tratamiento de Riesgos de Seguridad y Privacidad de la Información ante el Comité Institucional de Gestión y Desempeño
2-Se realizaron mesas de trabajo con la Oficina Asesora de Planeación para la incorporación de riesgos de seguridad de la información en el mapa de riesgos institucional de acuerdo con la metodología de la ANLA
3-Se revisó la documentación vigente de gestión de riesgos de seguridad de la información publicada por el Departamento Administrativo de la función pública y el Ministerio de TIC.
4-Se proponen criterios de impacto/calificación de riesgos de seguridad digital y participar en las mesas de trabajo de actualización de la política de riesgos de la ANLA 
5-Se realizaron perfilamientos de herramientas especializadas NETBACKUP y VMWARE en términos de seguridad de la información y buenas prácticas de administración. 
(Ver Anexo B Avance Plan Integrado OTI Semestre I)</t>
  </si>
  <si>
    <t>Plan de Seguridad y Privacidad de la Información:
1- Se formula y gestiona la aprobación por parte del Comité de Gestión Institucional de Gestión y Desempeño del Plan de Seguridad y Privacidad de la Información 2020
2-Se definió e incorporó el rol de Oficial de Seguridad de la Información en la OTI.
3-Se realizó la revisión de la política de seguridad de la información, se encuentra pendiente de oficialización por parte de la OAP.
4-Se proyectó cronograma para el levantamiento de información con los nuevos grupos y se ajustó el instrumento para la recolección de datos.
5-Se realizaron pruebas de concepto con proveedores especializados para fortalecer la seguridad de la información (TRENDMICRO, GLUP y SAFEID)
6-Se definieron acciones de mejora de acuerdo con los resultados de la preauditoría interna de Seguridad de la Información con base en la NTC ISO IEC 27001:2013 realizada en 2019 
7-Se realizó la ficha técnica y dimensionamiento inicial de la contratación a través de visitas al Datacenter con proveedores para proyectar el alcance del traslado
(Ver Anexo B Avance Plan Integrado OTI Semestre I)</t>
  </si>
  <si>
    <t xml:space="preserve">5%
-Formulación, presentación, recepción de recomendaciones, realización de ajustes  y aprobación por parte del Comité Directivo al Plan Estratégico de TI 2020-2022 
20%
-Elaboración de tableros de control, reportes e informes de periodicidad mensual para el seguimiento de los proyectos de la OTI.
6,25%
Dimensionar los requerimientos tecnológicos necesarios para garantizar la operación tecnológica de la Entidad en la nueva sede y ejecutar las acciones proyectadas en ese ejercicio.
6,25%
-Realizar análisis del mercado del gestor documental </t>
  </si>
  <si>
    <t>Avances en las acciones asociadas al PETI:
1-Se formuló y gestionó la aprobación por parte del Comité de Gestión Institucional de Gestión y Desempeño del   Plan Estratégico de TI 2020-2022
2-Se elaboraron de tableros de control, reportes e informes de periodicidad mensual para el seguimiento de los proyectos de la OTI.
3-Se realizó la definición de la ficha técnica, el alcance de la solución y la ejecución de pruebas de concepto para la elección del software de analítica inicial de datos.
4-Se realizó el análisis del mercado del gestor documental
5-Se avanzó en la realización del inventario y en el inicio de ordenamiento de componentes de información geográfica 
6-Se elaboraron los procedimientos y formatos para la estandarización del proceso de desarrollo de software.
7-Se gestionó con Microsoft y Planet jornadas de transferencia de conocimiento a integrantes del equipo TI. 
8-Se gestionó un acercamiento con un asesor en temas de cooperación internacional del Gobierno de Canadá.
9-La OTI intervino en las jornadas de inducción realizadas por la Entidad (VITAL, SILA, SIGPRO, Seguridad de la Información) y realizó capacitaciones a través de TEAMS a autoridades ambientales y empresas que son usuarias VITAL
10-Se trabajó en la desagregación de componentes modulares y de bases de datos de VITAL para la entrega de la Ventanilla a MADS en el marco del Decreto Ley 2106 de 2019
11-Se definieron los ANS de alto nivel para la solución DUPONT de fibra óptica de la nueva sede y los ANS para la solución de tickets de salvoconducto MADS
12-Se elaboró el tablero de control precontractual para el seguimiento de los procesos contractuales del Plan de Adquisiciones OTI 2020
13-Se realizó la parametrización, despliegue y transferencia de conocimiento al equipo TI en ambiente de pruebas. 
14-Se realizó la planeación y gestión requerida para garantizar la operación en nueva sede a través de acciones administrativas/técnicas para el traslado del cable para la conectividad al nuevo edificio, análisis escenarios de alquiler de equipos frente al presupuesto vs las necesidades de la Entidad, solución de fibra óptica DUPONT, traslado y configuración de impresoras, así como de las salas de audiencia y equipos de cómputo de la sede actual a la nueva sede.
(Ver Anexo B Avance Plan Integrado OTI Semestre I)</t>
  </si>
  <si>
    <t xml:space="preserve">Avances en las Actividades de Soporte y Gestión de Procesos de infraestructura realizadas:
33,3%-&gt; Implementación y despliegue del pool de direcciones de LACNIC, así como la configuración requerida para la puesta en marcha del protocolo IPV6 en la ANLA, como parte del cumplimiento de los plazos y lineamientos de MinTIC.
33,3% -&gt;  Definición de ANS (Acuerdos de Nivel de Servicio) de alto nivel para la solución de conectividad DUPONT de fibra óptica de la nueva sede. </t>
  </si>
  <si>
    <t xml:space="preserve">Avances en las actividades gestionadas frente a la publicación de nuevos conjuntos de datos abiertos y la actualización de los datos ya publicados en www.datos.gov.co:
1. Elaboración de informe del estado actual de los conjuntos de datos publicados en el portal datos.gov.co. 
2. Se elaboró el documento propuesta conceptual de identificación, priorización y publicación de datos abiertos en su primera versión.
3. Se realizó la identificación de los 3 conjuntos de datos abiertos geoespaciales a publicar: Puntos de Captación, Puntos de vertimiento y Nuevo esquema de regionalización. </t>
  </si>
  <si>
    <t xml:space="preserve"> </t>
  </si>
  <si>
    <t>Para este mes, el área notificó a través de medios electrónicos a 1248 usuarios de un total 1251 para un cumplimiento del 99,8%,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 83,3%</t>
  </si>
  <si>
    <t>Para el mes de mayo, el área notificó a través de medios electrónicos a 1312 usuarios de un total 1312 para un cumplimiento del 100%,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del 86,9%</t>
  </si>
  <si>
    <t>Para el mes de junio, el área notificó a través de medios electrónicos a 1300 usuarios de un total 1300 para un cumplimiento del 100%, este resultado obedece a la suspensión temporal de la atención presencial en la Entidad para la notificación personal y al cumplimiento por parte de los interesados del Decreto 491 del 2020 en lo referente a suministrar la dirección electrónica para efectos de la notificación. El acumulado del año es del 89,2%</t>
  </si>
  <si>
    <t>Este indicador se reporta de manera trimestral</t>
  </si>
  <si>
    <t>Este indicador se reporta de forma trimestral. Proxímo reporte en Julio, del periodo de abril a junio.</t>
  </si>
  <si>
    <t>En el periodo de abril a junio se realizaron 827 certificados, los cuales se suman a los 997 realizados en el periodo anterior, para un total de 1824 certificados realizados, de 2265 certificados por realizar, correspondientes a los contratos terminados en los años 2019 y 2020.</t>
  </si>
  <si>
    <t>El mes de abril se firmaron 6 contratos de Prestación de Servicios Profesionales y/o Apoyo, los cuales se firmaron dentro de los términos en su totalidad.</t>
  </si>
  <si>
    <t>En el mes de mayo se suscribieron un total de 41 contratos de Prestación de servicios Profesionales y/o apoyo a la gestión. La totalidad de estos contratos fue suscrita dentro de los términos oportunos establecidos en el procedimiento.</t>
  </si>
  <si>
    <t>En el mes de Junio se suscribieron un total de 38 contratos de Prestación de servicios Profesionales y/o apoyo a la gestión. La totalidad de estos contratos fue suscrita dentro de los términos oportunos establecidos en el procedimiento.</t>
  </si>
  <si>
    <t>Se recibieron 3 solicitudes de liquidación en debida forma en el periodo de abril a junio, de las cuales se liquidaron las 3. Las pocas solicitudes se deben a la dificultad que se ha tenido para acceder a los documentos físicos, por motivo de la emergencia actual por Covid-19.</t>
  </si>
  <si>
    <t>Al mes de marzo se ha recaudado $ 29.841.449.859 correspondiente al 21% de la meta  $ 145.132.117.462 esperada para la vigencia 2020.</t>
  </si>
  <si>
    <t>Al mes de Abril se ha recaudado por el servicio de  seguimiento  $25.983.570.155 correspondiente al 25% de la meta  $ 104.311.415.646,781 esperada para la vigencia 2020.</t>
  </si>
  <si>
    <t>Al mes de Mayo se ha recaudado $ 35.483.001.577 correspondiente al 24% de la meta  $ 145.132.117.462 esperada para la vigencia 2020.</t>
  </si>
  <si>
    <t>Al mes de Mayo se ha recaudado por el servicio de  seguimiento  $31.274.822.873 correspondiente al 30% de la meta  $ 104.311.415.646,781 esperada para la vigencia 2020.</t>
  </si>
  <si>
    <t>La meta esperada de recaudo de los servicios de evaluación y  seguimiento para la vigencia 2020 fue modificada debido al impacto en la disminución del recaudo obtenido a mayo del 2020, generado por la emergencia económica, social y sanitaria declarada por el Gobierno Nación a causa de la Pandemia por COVID 19.
Esta nueva proyección de recaudo esperado por los servicios de evaluación y seguimiento para la vigencia actual contempla los alivios otorgados a los titulares de una licencia, permiso o instrumento de manejo y control, en cuanto a plazos para pagos y una propuesta de cobro por servicio de seguimiento integral, a fin de prestar varias actividades de seguimiento en un solo proceso
Al mes de Junio se ha recaudado $ 42,197,010,729 correspondiente al 52,43% de la meta  $ 80,479,734,505 esperada para la vigencia 2020.</t>
  </si>
  <si>
    <t>La meta esperada de recaudo de los servicios de seguimiento para la vigencia 2020 fue modificada debido al impacto en la disminución del recaudo obtenido a mayo del 2020, generado por la emergencia económica, social y sanitaria declarada por el Gobierno Nación a causa de la Pandemia por COVID 19.
Esta nueva proyección de recaudo esperado por los servicios de seguimiento para la vigencia actual contempla los alivios otorgados a los titulares de una licencia, permiso o instrumento de manejo y control, en cuanto a plazos para pagos y una propuesta de cobro por servicio de seguimiento integral, a fin de prestar varias actividades de seguimiento en un solo proceso
Al mes de Junio se ha recaudado por el servicio de  seguimiento  $ 36,412,050,025 correspondiente al 52,44% de la meta  $ 69,430,081,393 esperada para la vigencia 2020.</t>
  </si>
  <si>
    <t>La Subdirección Administrativa y Financiera dio  trámite de contratación de la persona encargada de la estrategia de sostenibilidad financiera de ANLA. El avance se reflejará a partir del próximo mes</t>
  </si>
  <si>
    <t>De acuerdo con el plan de trabajo establecido para desarrollar la estrategia de sostenibilidad financiera de la Anla, a corte de 31 de Mayo de 2020 se han cumplido las actividades programadas "Pre-Requisitos"  y parte de  "Procesamiento de Información" a esta fecha y da un porcentaje acumulado de 28%</t>
  </si>
  <si>
    <t>El prespuesto vigencia 2020 para el mes de Abril se registró obligaciones acumulados del 33%; Incluyendo presupuesto comprometido de regalias,apropiacion que fue asignada a la ANLA mediante Resolucion 659-2019</t>
  </si>
  <si>
    <t>El prespuesto vigencia 2020 para el mes de mayo registró obligaciones acumulados del 42%; Incluyendo presupuesto comprometido de regalias,apropiacion que fue asignada a la ANLA mediante Resolucion 659-2019</t>
  </si>
  <si>
    <t>El prespuesto vigencia 2020 acumulado al mes de junio registró obligaciones acumulados del 49,55%; Incluyendo presupuesto comprometido de regalias,apropiacion que fue asignada a la ANLA mediante Resolucion 659-2019</t>
  </si>
  <si>
    <t>El prespuesto vigencia 2020 para el mes de Abril registró compromisos acumulados del 69%; Incluyendo apropiacion vigente de presupuesto de regalias asignada a la ANLA mediante Resolucion 659-2019</t>
  </si>
  <si>
    <t>El prespuesto vigencia 2020 para el mes de mayo registró compromisos acumulados del 70%; Incluyendo apropiacion vigente de presupuesto de regalias asignada a la ANLA mediante Resolucion 659-2019</t>
  </si>
  <si>
    <t>El prespuesto vigencia 2020 acumulado al mes de junio registró compromisos acumulados del 72,58%; Incluyendo apropiacion vigente de presupuesto de regalias asignada a la ANLA mediante Resolucion 659-2019</t>
  </si>
  <si>
    <t>Se realizó el estudio de mercado y se verificaron los analisis de las diferentes propuestas, generando cuadro comparativo.</t>
  </si>
  <si>
    <t>Se solicitó la eliminación del indicador teniendo en cuenta las condiciones economicas y de salud pública del pais que impiden realizar este proceso durante la vigencia del año 2020.</t>
  </si>
  <si>
    <t>De acuerdo con las actividades planteadas en los cronogramas definidos en el PINAR, se ejecutaron las actividades como se describe en el avance del indicador.</t>
  </si>
  <si>
    <t>Se llevó a cabo el proceso de implementación de TRD del Grupo de Gestión Humana, de acuerdo con lo establecido en el cronograma correspondiente incluido en el PINAR</t>
  </si>
  <si>
    <t>Se llevó a cabo el proceso de implementación de  la Oficina Asesora Juridica de acuerdo con lo establecido en el cronograma correspondiente incluido en el PINAR</t>
  </si>
  <si>
    <t>El proceso de digitalización está asociado al proyecto de implementación del gestor Documental, por lo que durante el mes de Mayo no hay avance.</t>
  </si>
  <si>
    <t>Indicador en proceso de actualización</t>
  </si>
  <si>
    <t>Teniendo en cuenta la situación actual de aislamiento, para este periodo no se llevo a cabo este proceso, se dará inicio una vez se retorne a la Entidad y  se ajustará el cronograma de Transferencias Documentales.</t>
  </si>
  <si>
    <t>Se realizaron reuniones con la Oficina Asesora de Planeación y con el Grupo Respuestas a Solicitudes Prioritarias donde se levantaron actas y se generarón compromisos  de actualización de Inventarios para posteriormente realizar el transferencia de las cajas.</t>
  </si>
  <si>
    <t>El  proceso de  actualización de las TRD a partir de la nueva estructura organizacional, ha avanzado realizando la compilación de la información institucional, validación de funciones, series y subseries documentales de la nueva estructura de la Entidad.</t>
  </si>
  <si>
    <t>El  proceso de  actualización de las TRD a partir de la nueva estructura organizacional, ha avanzado realizando la compilación de la información institucional, validación de funciones, series y subseries documentales de la nueva estructura de la Entidad.
Se ha realizado 9 entrevistas y se han diligenciado 32 encuestas.</t>
  </si>
  <si>
    <t>En el mes de abril, el consumo total fue de 6.937 número de hojas, para un ahorro del 97%, comparado con el promedio anual histórico que es de 313.518 número de hojas.
(la meta se supera teniendo en cuenta la contingencia por el COVID-19 y la ausencia de usuarios internos en la entidad). El acumulado promedio es de 51,5%</t>
  </si>
  <si>
    <t>En el mes de mayo, el consumo total fue de 7.974 número de páginas (No. de hojas por peso: 19 kg), para un ahorro del 97%, comparado con el promedio anual histórico de hoja de 128.751 (No. de hojas por peso: 627 kg)
La meta se supera teniendo en cuenta la contingencia por el COVID-19 y la ausencia de usuarios internos en la entidad. El promedio acumulado es de 60,6%</t>
  </si>
  <si>
    <t>En el mes de junio, el consumo total fue de 4.843 número de páginas (No. de hojas por peso: 12 kg), para un ahorro del 98%, comparado con el promedio anual histórico de hoja de 128.751 (No. de hojas por peso: 627 kg)
La meta se supera teniendo en cuenta la contingencia por el COVID-19 y la ausencia de usuarios internos en la entidad. El acumulado es de 66,9%</t>
  </si>
  <si>
    <t>En el mes de abril no se solucionó ningún caso debido a que no asistieron usuarios a las instalaciones de la ANLA, esto con relación a la pandemia generada por el COVID-19.</t>
  </si>
  <si>
    <t>En el mes de mayo no se solucionó ningún caso debido a que no asistieron usuarios a las instalaciones de la ANLA, esto con relación a la pandemia generada por el COVID-19.</t>
  </si>
  <si>
    <t>En el mes de junio no se solucionó ningún caso debido a que actualmente en las instalaciones de la ANLA no se presentan los funcionarios y contratistas de forma normal, esto con relación a la pandemia generada por el COVID-19.</t>
  </si>
  <si>
    <t>Una vez formalizado y legalizado el contrato, se inicio la ejecucion del mismo conforme con las obligaciones establecidas. 
Se dio inicio de acuerdo con el cronograma de ejecución, sin embargo las circunstancias relacionadas con la cuarentena y aislamiento obligatorio permanente establecido por el Gobierno Nacional, hechos constitutivos de fuerza mayor, se estima una prorroga del contrato, respecto del desarrollo de las actividades constructivas relacionadas con la adecuación de las areas tomadas en arrendamiento, situacion que prevee un mayor periodo de tiempo del inicialmente pactado.
Durante el mes de Abril se adelantan actividades relacionadas con diseños de areas internas, disposicion y ubicación de oficinas, mobiliario y definicion de numeros de puestos de trabajo.</t>
  </si>
  <si>
    <t>No se tenían macroactividades programadapara el periodo, y de acuerdo a las disposiciones y normas emitidas por el Gobierno Nacional y Distrital relacionadas con el Aislamiento Preventivo Obligatorio en el territorio nacional y particularmente en la ciudad de Bogotá D.C., las partes suscribieron contrato modificatorio No. 1 mediante el cual se formalizan nuevos plazos para el desarrollo de la fase 1 - adecuaciones y se fija como fecha de entrega de las areas adecuadas el día 10 de julio de 2020.
Mediante acta, la supervisión del contrato y el representante legal de Moderline aprueban nuevo cronograma de ejecución de actividades.
Se adelantan actividades de adecuacion en las instalaciones conforme con el cronograma de adecuaciones aprobado.</t>
  </si>
  <si>
    <t xml:space="preserve">De acuerdo a las disposiciones y normas emitidas por el Gobierno Nacional y Distrital relacionadas con el Aislamiento Preventivo Obligatorio en el territorio nacional y particularmente en la ciudad de Bogotá D.C., las partes suscribieron contrato modificatorio No. 1 mediante el cual se formalizan nuevos plazos para el desarrollo de la fase 1 - adecuaciones y se fija como fecha de entrega de las areas adecuadas el día 10 de julio de 2020.
Mediante acta, la supervisión del contrato y el representante legal de Moderline aprueban nuevo cronograma de ejecución de actividades.
Se adelantan actividades de adecuacion en las instalaciones conforme con el cronograma de adecuaciones aprobado.
Se desarrollan las actividades logisticas necesarias para la realización del traslado en conjunto con el contratista Moderline SAS y la firma que realizada la logistica correspondiente. El día 05/07/2020 la SAF realizo socialización ante el comité directivo, de las actividades relacionadas con el procedimiento del traslado de los bienes a las nuevas instalaciones. </t>
  </si>
  <si>
    <t>Durante el mes de abril se realizaron actividades de bienestar virtuales ofrecidas por CAFAM - Caja de Compensación de la entidad teniendo en cuenta la emergencia sanitaria por la que esta atravesando el país, el canal empleado para el desarrollo de las mismas son las redes sociales de la caja ; por lo anterior desde el grupo de Gestión Humana se envió a todos los funcionarios la solicitud de evaluación de satisfacción de estas actividades, teniendo en cuenta que a la fecha no se ha obtenido la cantidad de respuestas requeridas para tener un promedio de impacto este indicador se reportará en el informe del mes de mayo.</t>
  </si>
  <si>
    <t>Al mes de mayo en el cual se obtuvo una calificación del 95% de impacto de la actividad “Taller No. 1 Bienestar Personal, de la teoría a la práctica”  (, vale la pena aclarar que este taller se desarrolló en el marco de la “Escuela de Desarrollo Personal y Familiar” actividad del Programa de Bienestar Social – Sistema de Estímulos 2020.
Adicionalmente durante el mes de mayo se invitó ( a través de correo electrónico y ronda semanal) a los servidores de la entidad a participar de las múltiples actividades de bienestar ofrecidas por CAFAM de forma virtual a través de sus redes sociales, esta programación está conformada por:
-	Actividades deportivas: clases de rumba, aeróbicos, pilates, relajación, gimnasia, Tae Box, entre otros.
-	Actividades de formación artística: fotografía, técnica vocal y teatro musical. 
-	Actividades recreativas dirigidas: juegos familiares, talleres creativos, lectura de cuentos y clases de cocina.</t>
  </si>
  <si>
    <t>“Porcentaje de impacto de los eventos de bienestar” correspondiente al mes de junio en el cual se obtuvo una calificación del 92.3% de impacto de las actividades:
1.	Conferencia beneficios del crédito de libranza del Banco de Occidente: Calificación del 88%.
2.	Capacitación “Cúrate con la música”: Calificación del 98%.
3.	Taller No. 1 Preguntas y respuestas con Colpensiones – Prepensionados: Calificación del 91%.
Adicionalmente  se realizaron las siguientes actividades en busca del mejoramiento de la calidad de vida de los servidores de la entidad:
•	Se gestiono la programación y disfrute de una jornada libre remunerada para cada servidor con el fin de promover el tiempo para compartir en familia; logrando que el 80% de los servidores (67) disfrutaran de este beneficio de salario emocional. El 20% de los servidores (17) no quiso utilizar este beneficio.
•	Durante el mes de junio se invitó diariamente ( a través de correo electrónico) a los servidores de la entidad, invitación a participar en  sesenta y siete (67) actividades de bienestar ofrecidas por CAFAM de forma virtual a través de sus redes sociales, esta programación está conformada por:
-	Actividades deportivas: clases de rumba, aeróbicos, pilates, relajación, gimnasia, Tae Box, entre otros.
-	Actividades de formación artística: fotografía, técnica vocal y teatro musical, entre otros.
-	Actividades recreativas dirigidas: juegos familiares, talleres creativos, lectura de cuentos y clases de cocina, entre otros.
Nota: Como el desarrollo de estas actividades se realiza a través de las redes sociales (Facebook e Instagram) de CAFAM es imposible para el Grupo de Gestión Humana llevar el control de asistencia/participación de los servidores y así mismo poder evaluar el impacto de esta programación.</t>
  </si>
  <si>
    <t>Se apropia nuevo indicador ya que se pide cambio a este indicador de gestión para medir las actividades programadas ajustándose a la situación actual del programa, se procede a describir a continuación las actividades que se han desarrollado durante la vigencia para tener un punto de partida de medición desde el mes de JUNIO:
PRIMER TRIMESTRE
Al termino del primer trimestre se evidencia el cumplimiento de 9 actividades traducidas en un 20.45% de avance cumpliendo con la meta del primer trimestre en actividades, realizando el 100% de las actividades programadas para el trimestre, a continuación, se relacionan las actividades realizadas en este periodo:
FEBRERO
Jornada Laboral Continua FEBRERO
MARZO
Día del contador. MARZO
Jornada de atención y servicios: Teatro Nacional MARZO
Jornada de atención y servicios: Mary Kay MARZO
Dia de la Mujer MARZO
Jornada de atención y servicios CAFAM. MARZO
Capacitación Planeación Financiera MARZO
Jornada de atención y servicios: Agromiel. MARZO
Jornada de atención y servicios: FAVI. MARZO
SEGUNDO TRIMESTRE
Al término del primer trimestre se evidencia el cumplimiento de 11 actividades traducidas en un 25% de avance cumpliendo con la meta del primer trimestre en actividades, realizando el 100% de las actividades programadas para el trimestre, a continuación, se relacionan las actividades realizadas en este periodo:
ABRIL
Día de la Niñez ABRIL
Día de la Secretaria ABRIL
MAYO
Día de la Madre MAYO
Día Nacional de la Familia MAYO
Taller No.1 Bienestar personal, de la teoría a la práctica! MAYO
JUNIO
Día del Padre JUNIO
Día del abogado JUNIO
Conferencia Web Crédito de libranza - Banco de Occidente. JUNIO
Preguntas y respuestas: Colpensiones JUNIO
Capacitación "Cúrate con la música" JUNIO
Curso de Inglés para principiantes. JUNIO
El avance total del indicador al termino del segundo trimestre es del 45,45% frente a las 44 actividades programadas, realizando así a 30 de junio un total de 20 actividades.</t>
  </si>
  <si>
    <t>Durante el mes de ABRIL realizaron las siguientes actividades (los porcentajes correspondientes de las actividades son de la evaluación que se les practica a los asistentes frente a la capacitación recibida):
Pago por Servicios Ambientales	94,73%
SILA y Vital	96,00%
AGIL	95,76%
AGIL	97,21%
AGIL	98,06%
Conociendo la ANLA	95,66%
SIGPRO	95,69%
Programa de coaching	100,00%
Programa de coaching	96,88%
Programa de coaching	98,13%
Programa de coaching	100,00%
Programa de coaching	94,38%
Programa de coaching	96,88%
Programa de coaching	96,63%
Programa de coaching	94,46%
Programa de coaching	99,38%
Programa de coaching	97,50%
Cambio climático	94,77%
Utilizando la formula del indicador se obtiene un promedio del 96,8% de calificación (excelente- bueno) del evento cumpliendo con la meta mensual de pasar del 90% de porcentaje positivo en los eventos.</t>
  </si>
  <si>
    <t>Durante el mes de MAYO se realizaron las siguientes actividades (los porcentajes correspondientes de las actividades son de la evaluación que se les practica a los asistentes frente a la capacitación recibida):
Decreto 1076	95,7%
Negociación y manejo de Conflictos	96,0%
Derechos de petición - Oportunidad en las respuestas de PQR	96,0%
Gestión documental	97,5%
Rendición de cuentas 	96,8%
Participación ciudadana	96,8%
Planificación y organización del tiempo	96,5%
Utilizando la formula del indicador se obtiene un promedio del 96,5% de calificación (excelente- bueno) del evento cumpliendo con la meta mensual de pasar del 90% de porcentaje positivo en los eventos.</t>
  </si>
  <si>
    <t>Durante el mes de JUNIO se realizaron las siguientes actividades (los porcentajes correspondientes de las actividades son de la evaluación que se les practica a los asistentes frente a la capacitación recibida):
1.	EVALUACIÓN DE IMPACTO AMBIENTAL Y VALORACION ECONÓMICA 	96,90%
2.	JURISPRUDENCIA AMBIENTAL	97,63%
3.	ESTABLECIMIENTO Y LEVANTAMIENTO DE MEDIDAS PREVENTIVAS	95,98%
4.	RACIONALIZACION DE TRÁMITES	94,86%
5.	OBJETIVOS DE DESARROLLO SOSTENIBLE	97,13%
6.	RESPONSABILIDAD DISCIPLINARIA DE SUPERVISORES	93,76%
Utilizando la formula del indicador se obtiene un promedio del 96,0421924508518% de calificación (excelente- bueno) del evento cumpliendo con la meta mensual de pasar del 90% de porcentaje positivo en los eventos.</t>
  </si>
  <si>
    <t>Durante el mes de ABRIL  se logró un avance del 10,7692307692308%% 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Talleres lúdicos para  generar habilidades en la gestión de manejo de estrés (Reestructuración Cognitiva Inteligencia Emocional, Técnicas de Auto regulación y Autocuidado)
6.	Definición tematicas de capacitación virtual y TIPs de prevencion de riesgo cardiovascular (cigarrillo, comida, alcohol y drogas)
7.	Realizacion de pausas visuales</t>
  </si>
  <si>
    <t>Durante el mes de MAYO se logró un avance del 9,23076923076923%correspondiente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Capacitación  en prevención de riesgo psicosocial
6.	Programación y realización de actividades físicas para colaboradores - Hábitos de Vida Saludable</t>
  </si>
  <si>
    <t>Durante el mes de JUNIO se logró un avance del 7,69230769230769% correspondiente a las actividades que a continuación se describen:
1.	Intervención en promoción y prevención -personal asintomático y riesgo bajo - Pausas Activas
2.	Intervención población en riesgo medio y alto - Escuela terapéutica Psicosocial 
3.	Retroalimentación  Individual a trabajadores que puntuaron  niveles  alto y muy alto en la medición subjetiva de Factores de riesgo psicosocial.
4.	Jornadas de manejo de fatiga y carga mental (pausas cognitivas)  
5.	Realizacion de envio de comunicados masivos sobre TIPs de prevencion de riesgo cardiovascular.</t>
  </si>
  <si>
    <t>El indicador no presentan acciones durante el mes de abril, dado a que los terminos están suspendidos. Lo anterior devido a la contingencia del COVID 19</t>
  </si>
  <si>
    <t>se debe aclarar que de acuerdo con las Resoluciones No. 461 del 18 de marzo de 2020 se suspenden los términos procesales en las actuaciones disciplinarias, modificada por la Resolución No. 0574 del 31 de marzo de 2020 la cual modifica el artículo primero de la Resolución No. 461 del 18 de marzo de 2020, a fin de ordenar la suspensión de los términos de caducidad y prescripción de las actuaciones disciplinarias de la Oficina de Control Disciplinario Interno, hasta tanto se pueda asegurar el debido proceso, y seguridad de los sujetos procesales.</t>
  </si>
  <si>
    <t>Se debe aclarar que de acuerdo con las Resoluciones No. 461 del 18 de marzo de 2020 se suspenden los términos procesales en las actuaciones disciplinarias, modificada por la Resolución No. 0574 del 31 de marzo de 2020 la cual modifica el artículo primero de la Resolución No. 461 del 18 de marzo de 2020, a fin de ordenar la suspensión de los términos de caducidad y prescripción de las actuaciones disciplinarias de la Oficina de Control Disciplinario Interno, hasta tanto se pueda asegurar el debido proceso, y seguridad de los sujetos procesales.</t>
  </si>
  <si>
    <t>Este mes no se realizan capacitaciones</t>
  </si>
  <si>
    <t>Durante el mes de junio se capacitan 30  colaboradores de Anla con alto grado de satisfacción.</t>
  </si>
  <si>
    <t>REPORTE AVANCE ABRIL</t>
  </si>
  <si>
    <t>REPORTE AVANCE MAYO</t>
  </si>
  <si>
    <t>REPORTE AVANCE JUNIO</t>
  </si>
  <si>
    <t>Interno = 0
CGR = Cerradas 50 de 56</t>
  </si>
  <si>
    <t>La evaluación de acciones de PM Interno se iniciará en febrero de 2020.</t>
  </si>
  <si>
    <t>Se realizó la evaluación de 32 acciones de las cuales se cerraron 26, es decir el 81,2%.</t>
  </si>
  <si>
    <t>Evaluadas en total 181 de las cuales se cerraron 164</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</si>
  <si>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Se realizó la evaluación de 3 acciones de las cuales se cerraron 3, es decir el 100%.
El porcentaje acumulado se calcula sumando la totalidad de acciones evaluadas en la vigencia (63 acciones) sobre las cerradas (56 acciones); esto arroja un avance acumulado de 89%</t>
    </r>
  </si>
  <si>
    <t>Evaluadas en total 198 de las cuales se cerraron 177</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</si>
  <si>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Se realizó la evaluación de 17 acciones de las cuales se cerraron 13, es decir el 76,4%.
El porcentaje acumulado se calcula sumando la totalidad de acciones evaluadas en la vigencia (80 acciones) sobre las cerradas (69 acciones); esto arroja un avance acumulado de 86,2%</t>
    </r>
  </si>
  <si>
    <t>Evaluadas en total 207 de las cuales se cerraron 185</t>
  </si>
  <si>
    <r>
      <rPr>
        <b/>
        <sz val="11"/>
        <color theme="1"/>
        <rFont val="Calibri"/>
        <family val="2"/>
        <scheme val="minor"/>
      </rPr>
      <t>Febrero</t>
    </r>
    <r>
      <rPr>
        <sz val="11"/>
        <color theme="1"/>
        <rFont val="Calibri"/>
        <family val="2"/>
        <scheme val="minor"/>
      </rPr>
      <t xml:space="preserve">: Se realizó la evaluación de 32 acciones de las cuales se cerraron 26, es decir el 81,2%.
</t>
    </r>
    <r>
      <rPr>
        <b/>
        <sz val="11"/>
        <color theme="1"/>
        <rFont val="Calibri"/>
        <family val="2"/>
        <scheme val="minor"/>
      </rPr>
      <t>Marzo:</t>
    </r>
    <r>
      <rPr>
        <sz val="11"/>
        <color theme="1"/>
        <rFont val="Calibri"/>
        <family val="2"/>
        <scheme val="minor"/>
      </rPr>
      <t xml:space="preserve"> Se realizó la evaluación de 28 acciones de las cuales se cerraron 27, es decir el 96%.
El porcentaje acumulado se calcula sumando la totalidad de acciones evaluadas en la vigencia (60 acciones) sobre las cerradas (53 acciones); esto arroja un avance acumulado de 88%
</t>
    </r>
    <r>
      <rPr>
        <b/>
        <sz val="11"/>
        <color theme="1"/>
        <rFont val="Calibri"/>
        <family val="2"/>
        <scheme val="minor"/>
      </rPr>
      <t>Abril</t>
    </r>
    <r>
      <rPr>
        <sz val="11"/>
        <color theme="1"/>
        <rFont val="Calibri"/>
        <family val="2"/>
        <scheme val="minor"/>
      </rPr>
      <t xml:space="preserve">: Se realizó la evaluación de 3 acciones de las cuales se cerraron 3, es decir el 100%.
El porcentaje acumulado se calcula sumando la totalidad de acciones evaluadas en la vigencia (63 acciones) sobre las cerradas (56 acciones); esto arroja un avance acumulado de 89%
</t>
    </r>
    <r>
      <rPr>
        <b/>
        <sz val="11"/>
        <color theme="1"/>
        <rFont val="Calibri"/>
        <family val="2"/>
        <scheme val="minor"/>
      </rPr>
      <t xml:space="preserve">Mayo: </t>
    </r>
    <r>
      <rPr>
        <sz val="11"/>
        <color theme="1"/>
        <rFont val="Calibri"/>
        <family val="2"/>
        <scheme val="minor"/>
      </rPr>
      <t xml:space="preserve">Se realizó la evaluación de 17 acciones de las cuales se cerraron 13, es decir el 76,4%.
El porcentaje acumulado se calcula sumando la totalidad de acciones evaluadas en la vigencia (80 acciones) sobre las cerradas (69 acciones); esto arroja un avance acumulado de 86,2%
</t>
    </r>
    <r>
      <rPr>
        <b/>
        <sz val="11"/>
        <color theme="1"/>
        <rFont val="Calibri"/>
        <family val="2"/>
        <scheme val="minor"/>
      </rPr>
      <t>Junio</t>
    </r>
    <r>
      <rPr>
        <sz val="11"/>
        <color theme="1"/>
        <rFont val="Calibri"/>
        <family val="2"/>
        <scheme val="minor"/>
      </rPr>
      <t>: Se realizó la evaluación de 6 acciones de las cuales se cerraron 5, es decir el 83,3%.
El porcentaje acumulado se calcula sumando la totalidad de acciones evaluadas en la vigencia (86 acciones) sobre las cerradas (74 acciones); esto arroja un avance acumulado de 86,2%</t>
    </r>
  </si>
  <si>
    <t>Evaluación de efectividad reportada a la CGR el día 23 de enero de 2020. Se evaluaron 56 acciones de las cuales se cerraron 50.</t>
  </si>
  <si>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El porcentaje acumulado se calcula sumando la totalidad de acciones evaluadas en la vigencia (82 acciones) sobre las cerradas (72 acciones); esto arroja un avance acumulado de 87,8%</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</si>
  <si>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No se adelantaron evaluaciónes en el mes de abril</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</si>
  <si>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No se adelantaron evaluaciónes en el mes de mayo</t>
    </r>
  </si>
  <si>
    <r>
      <rPr>
        <b/>
        <sz val="11"/>
        <color theme="1"/>
        <rFont val="Calibri"/>
        <family val="2"/>
        <scheme val="minor"/>
      </rPr>
      <t xml:space="preserve">Enero: </t>
    </r>
    <r>
      <rPr>
        <sz val="11"/>
        <color theme="1"/>
        <rFont val="Calibri"/>
        <family val="2"/>
        <scheme val="minor"/>
      </rPr>
      <t xml:space="preserve">Se evaluaron 56 acciones de las cuales se cerraron 50, es decir el 89,2%
</t>
    </r>
    <r>
      <rPr>
        <b/>
        <sz val="11"/>
        <color theme="1"/>
        <rFont val="Calibri"/>
        <family val="2"/>
        <scheme val="minor"/>
      </rPr>
      <t>Febrero:</t>
    </r>
    <r>
      <rPr>
        <sz val="11"/>
        <color theme="1"/>
        <rFont val="Calibri"/>
        <family val="2"/>
        <scheme val="minor"/>
      </rPr>
      <t xml:space="preserve"> Se evaluaron en el mes 26 acciones de las cuales se cerraron 22, es decir el 84,6%. 
</t>
    </r>
    <r>
      <rPr>
        <b/>
        <sz val="11"/>
        <color theme="1"/>
        <rFont val="Calibri"/>
        <family val="2"/>
        <scheme val="minor"/>
      </rPr>
      <t xml:space="preserve">
Marzo</t>
    </r>
    <r>
      <rPr>
        <sz val="11"/>
        <color theme="1"/>
        <rFont val="Calibri"/>
        <family val="2"/>
        <scheme val="minor"/>
      </rPr>
      <t xml:space="preserve">: Se evaluaron en el mes 36 acciones de las cuales se cerraron 36, es decir el 100%.
El porcentaje acumulado se calcula sumando la totalidad de acciones evaluadas en la vigencia (118 acciones) sobre las cerradas (108 acciones); esto arroja un avance acumulado de 91,5%
</t>
    </r>
    <r>
      <rPr>
        <b/>
        <sz val="11"/>
        <color theme="1"/>
        <rFont val="Calibri"/>
        <family val="2"/>
        <scheme val="minor"/>
      </rPr>
      <t>Abril</t>
    </r>
    <r>
      <rPr>
        <sz val="11"/>
        <color theme="1"/>
        <rFont val="Calibri"/>
        <family val="2"/>
        <scheme val="minor"/>
      </rPr>
      <t xml:space="preserve">: No se adelantaron evaluaciónes en el mes de abril
</t>
    </r>
    <r>
      <rPr>
        <b/>
        <sz val="11"/>
        <color theme="1"/>
        <rFont val="Calibri"/>
        <family val="2"/>
        <scheme val="minor"/>
      </rPr>
      <t xml:space="preserve">Mayo: </t>
    </r>
    <r>
      <rPr>
        <sz val="11"/>
        <color theme="1"/>
        <rFont val="Calibri"/>
        <family val="2"/>
        <scheme val="minor"/>
      </rPr>
      <t xml:space="preserve">No se adelantaron evaluaciónes en el mes de mayo
</t>
    </r>
    <r>
      <rPr>
        <b/>
        <sz val="11"/>
        <color theme="1"/>
        <rFont val="Calibri"/>
        <family val="2"/>
        <scheme val="minor"/>
      </rPr>
      <t xml:space="preserve">Junio </t>
    </r>
    <r>
      <rPr>
        <sz val="11"/>
        <color theme="1"/>
        <rFont val="Calibri"/>
        <family val="2"/>
        <scheme val="minor"/>
      </rPr>
      <t>:  Se evaluaron en el mes 3 acciones de las cuales se cerraron 3, es decir el 100%.
El porcentaje acumulado se calcula sumando la totalidad de acciones evaluadas en la vigencia (121 acciones) sobre las cerradas (111 acciones); esto arroja un avance acumulado de 91,7%</t>
    </r>
  </si>
  <si>
    <t>Promedio indicadores de producto</t>
  </si>
  <si>
    <t>Promedio indicadores de Gestión</t>
  </si>
  <si>
    <t>GRUPO / REGIÓN</t>
  </si>
  <si>
    <t>Subdirección de Seguimiento de Licenciamiento Ambiental</t>
  </si>
  <si>
    <t>Subdirección de Seguimiento</t>
  </si>
  <si>
    <t>ANA MERCEDES CASAS [Subdirector(a) de Seguimiento]</t>
  </si>
  <si>
    <t>A corte 30 de abril de 2020 se han expedido556 actos administrativos que acogen el seguimiento a proyectos licenciados, entre rezagos y vigencia actual</t>
  </si>
  <si>
    <t>A corte de abril, la subdirección ha avanzado en realizar 273 visitas a los proyectos en seguimiento, el retraso en el avance de visitas se debe a la emergencia presentada por el COVID-19</t>
  </si>
  <si>
    <t>Con corte a corte 31 de mayo de 2020 se han expedido 790 actos administrativos que acogen el seguimiento a proyectos licenciados, los cuales 658 corresponden a vigencia actual y 132 a rezagos.</t>
  </si>
  <si>
    <t>Con corte 31 de mayo de 2020 la SSLA ha realizado 275 visitas de seguimiento</t>
  </si>
  <si>
    <t>A corte 30 de junio se han expedido 1130 actos administrativos que acogen el seguimiento a proyectos licenciados, los cuales 984 corresponden a vigencia actual y 146 a rezagos.</t>
  </si>
  <si>
    <t>A junio se han realizado 278 visitas, las cuales han disminuido por la situación actual por COVID-19</t>
  </si>
  <si>
    <t>A corte de abril, el equipo asignado a la región ha avanzado en realizar 723 conceptos técnicos a los proyectos en etapa de seguimiento</t>
  </si>
  <si>
    <t>Con corte 31 de mayo de 2020 la SSLA ha elaborado 994 Concepto Técnicos.</t>
  </si>
  <si>
    <t>A junio se han realizado 1279 CT que corresponden a vigencia actual</t>
  </si>
  <si>
    <t>A corte de abril, se han efectuado 34 oralidades de 556 seguimientos finalizados</t>
  </si>
  <si>
    <t>Con corte 31 de mayo de 2020 la SSLA ha realizado 72 actas de seguimiento</t>
  </si>
  <si>
    <t>A junio se han realizado el 24% de seguimientos con oralidad (se excluyen los seguimientos del grupo de agroquímicos, dado que no les aplica)</t>
  </si>
  <si>
    <t>A corte 30 de abril de 2020 se han expedido 46 actos administrativos que acogen el seguimiento a proyectos licenciados, los cuales 35 corresponden a vigencia actual y 10 a rezagos.</t>
  </si>
  <si>
    <t>A corte de abril, el equipo asignado a la región ha avanzado en realizar 47 visitas a los proyectos en seguimiento, el retraso en el avance de visitas se debe a la emergencia presentada por el COVID-19</t>
  </si>
  <si>
    <t>A corte 31 de mayo de 2020 se han expedido 71 actos administrativos que acogen el seguimiento a proyectos licenciados, los cuales 59 corresponden a vigencia actual y 12 a rezagos.</t>
  </si>
  <si>
    <t>Con corte 31 de mayo de 2020 la Región ha realizado 48 visitas de seguimiento</t>
  </si>
  <si>
    <t xml:space="preserve">A corte 30 de junio  de 2020, la Region Alto Magdalena- Cauca,  han expedido 110  actos administrativos que acogen el seguimiento a proyectos licenciados, de los cuales 13 corresponden a rezago vigencia 2019, se han realizado 97  a vigencia actual, discriminados en 34 actas de oralidad, 57 autos de seguimiento y 6 resoluciones </t>
  </si>
  <si>
    <t>A corte 30 de junio de  2020, se realizaron 50  visitas de seguimiento a los proyectos licenciados por  la Region Alto Magdalena - Cauca</t>
  </si>
  <si>
    <t>A corte de abril, el equipo asignado a la región ha avanzado en realizar 41 conceptos técnicos a los proyectos que han tenido visita en etapa de seguimiento</t>
  </si>
  <si>
    <t>Con corte 31 de mayo de 2020 la región ha elaborado 49 CT con visita.</t>
  </si>
  <si>
    <t>A corte 30 de junio de   de 2020, la Region Alto Magdalena - Cauca  ha expidido 53 CT con visita de los cuales 50 corresponden a vigencia actual</t>
  </si>
  <si>
    <t>A corte de abril, el equipo asignado a la región ha avanzado en realizar 15 conceptos técnicos de seguimiento documental</t>
  </si>
  <si>
    <t xml:space="preserve">Con corte 31 de mayo de 2020 la región ha elaborado 37 CT documental de seguimiemto    </t>
  </si>
  <si>
    <t>A corte  30 de junio  de 2020,  la Region Alto Magdalena Cauca,  ha expidido 67  CT documental vigencia actual</t>
  </si>
  <si>
    <t>LAURA EDITH SANTOYO [Coordinadora]</t>
  </si>
  <si>
    <t>A corte 30 de abril de 2020 se han expedido 40 actos administrativos que acogen el seguimiento a proyectos licenciados, los cuales 19 corresponden a vigencia actual y 20 a rezagos.</t>
  </si>
  <si>
    <t>A corte 30 de abril de 2020 la Región ha realizado 77 visitas de seguimiento</t>
  </si>
  <si>
    <t>A corte 31 de mayo de 2020 se han expedido 68 actos administrativos que acogen el seguimiento a proyectos licenciados, los cuales 43 corresponden a vigencia actual y 25 a rezagos.</t>
  </si>
  <si>
    <t>Con corte 31 de mayo de 2020 la Región ha realizado 77 visitas de seguimiento</t>
  </si>
  <si>
    <t>A corte 30 de junio se han expedido 157 actos administrativos que acogen el seguimiento a proyectos licenciados, los cuales 122 corresponden a vigencia actual y 35 a rezagos.</t>
  </si>
  <si>
    <t>A corte 30 de junio de 2020 la Región ha realizado 78 visitas de seguimiento</t>
  </si>
  <si>
    <t>A corte 30 de abril de 2020 la región ha elaborado 66  CT con visita, de los cuales 62 corresponde a vigencia actual. No se incluye en el avance 4 Ct que corresponden a rezago 2019.</t>
  </si>
  <si>
    <t>Con corte 31 de mayo de 2020 la región ha elaborado 70 CT con visita.</t>
  </si>
  <si>
    <t>A corte 30 de junio de 2020 la región ha elaborado 77 que corresponde a vigencia actual.</t>
  </si>
  <si>
    <t>LAURA EDITH SANTOYO [Coordinadora]]</t>
  </si>
  <si>
    <t xml:space="preserve">A corte 30 de abril de 2020 la región ha elaborado 36 CT documental de seguimiemto    </t>
  </si>
  <si>
    <t xml:space="preserve">Con corte 31 de mayo de 2020 la región ha elaborado 72 CT documental de seguimiemto    </t>
  </si>
  <si>
    <t xml:space="preserve">A corte 30 de junio de 2020 la región ha elaborado 113 CT documental de seguimiemto    </t>
  </si>
  <si>
    <t>A corte 30 de abril de 2020 se han expedido 66 actos administrativos que acogen el seguimiento a proyectos licenciados, los cuales 42 corresponden a vigencia actual y 20 a rezagos.</t>
  </si>
  <si>
    <t xml:space="preserve">A 30 de abril la región MMCC lleva realizadas 70 visitas de 219 programadas </t>
  </si>
  <si>
    <t>A corte 31 de mayo de 2020 se han expedido 80 actos administrativos que acogen el seguimiento a proyectos licenciados, los cuales 61 corresponden a vigencia actual y 22 a rezagos.</t>
  </si>
  <si>
    <t xml:space="preserve">Con corte a 31 de mayo la región MMCC lleva realizadas 71 visitas </t>
  </si>
  <si>
    <t>A 30 de junio la region MMCC expidió 126 Actos Administrativos conformados por 104 de vigencia actual (31 actas, 59 Autos y 14 resoluciones)  y 22 rezagos (4 actas, 17 Autos y 1 resolucion)</t>
  </si>
  <si>
    <t>A 30 de junio la region MMCC ha realizado 72 visitas de las 219 programadas</t>
  </si>
  <si>
    <t xml:space="preserve">A 30 de abril la región MMCC lleva realizadas 62 conceptos técnicos con visita de 70 visitas realizadas </t>
  </si>
  <si>
    <t xml:space="preserve">Con corte a 31 de mayo la región MMCC lleva realizados 66 conceptos técnicos con visita de 71 visitas realizadas </t>
  </si>
  <si>
    <t>A 30 de Junio la region MMCC ha realizado 69 conceptos técnicos con visita de las 72 visitas realizadas (se hicieron 3 CT de visitas de rezagos que no se incluyen)</t>
  </si>
  <si>
    <t xml:space="preserve">A 30 de abril la región MMCC lleva realizadas 15 conceptos técnicos documentales de 27 programadas </t>
  </si>
  <si>
    <t xml:space="preserve">Con corte a 31 de mayo la región MMCC lleva realizadas 34 conceptos técnicos documentales de 27 programadas </t>
  </si>
  <si>
    <t>A 30 de Junio la region MMCC ha realizado 61 conceptos tecnicos de los 27 programados, debido a la emergencia sanitaria del COVID-19</t>
  </si>
  <si>
    <t>NANCY PATRICIA CURREA GÓMEZ[Coordinador(a)]</t>
  </si>
  <si>
    <t>A corte 30 de abril de 2020 se han expedido 70 actos administrativos que acogen el seguimiento a proyectos licenciados, los cuales 7 corresponden a vigencia actual y 63 a rezagos.</t>
  </si>
  <si>
    <t>A 30 de abril la región Orinoquía lleva realizadas 79 visitas de 270 previstas para el año</t>
  </si>
  <si>
    <t>A corte 31 de mayo de 2020 se han expedido 93 actos administrativos que acogen el seguimiento a proyectos licenciados, los cuales 20 corresponden a vigencia actual y 73 a rezagos.</t>
  </si>
  <si>
    <t>Con corte a 31 de mayo la región Orinoquía lleva realizadas 79 visitas de 270 previstas para el año</t>
  </si>
  <si>
    <t>A corte 30 de junio de 2020 se han expedido 121 actos administrativos que acogen el seguimiento a proyectos licenciados, los cuales 45 corresponden a vigencia actual y 76 a rezagos.</t>
  </si>
  <si>
    <t>Con corte a 30 de junio  la región Orinoquía lleva realizadas 78 visitas de 270 previstas para el año</t>
  </si>
  <si>
    <t xml:space="preserve">A 30 de abril la región Orinoquía lleva realizados 66 conceptos técnicos con visita de 270 previstos para el año </t>
  </si>
  <si>
    <t xml:space="preserve">Con corte a 31 de mayo la región Orinoquía lleva realizados 76 conceptos técnicos con visita de 270 previstos para el año </t>
  </si>
  <si>
    <t xml:space="preserve">Con corte a 30 de junio la región Orinoquía lleva realizados 78 conceptos técnicos con visita de 270 previstos para el año </t>
  </si>
  <si>
    <t xml:space="preserve">A 30 de abril la región Orinoquía lleva realizados 20 conceptos técnicos documentales de 270 previstos para el año  </t>
  </si>
  <si>
    <t>Con corte a 31 de mayo la región Orinoquía lleva realizados 52 conceptos técnicos documentales por encima de previstos para el año inicialmente</t>
  </si>
  <si>
    <t xml:space="preserve">Con corte a 30 de junio la región Orinoquía lleva realizados 89 conceptos técnicos documentales de 23 previstos para el año  </t>
  </si>
  <si>
    <t>Agroquímicos y Proyectos Especiales</t>
  </si>
  <si>
    <t>LIZ MARINELA TELLEZ (Coordinadora)</t>
  </si>
  <si>
    <t>A 30 de abril el grupo de Agroquímicos avanzó hasta 340 actos administrativos  de 1205 programados como meta</t>
  </si>
  <si>
    <t>A 30 de abril el grupo de Agroquímicos avanzó 404 conceptos técnicos  de 1205 programados como meta</t>
  </si>
  <si>
    <t>A 31 de Mayo el grupo de Agroquímicos avanzó hasta 475 actos administrativos  de 1205 programados como meta</t>
  </si>
  <si>
    <t>Con corte a 31 de Mayo el grupo de Agroquímicos avanzó hasta 538 conceptos técnicos de 1205 programados como meta</t>
  </si>
  <si>
    <t>A 30 de Junio el grupo de Agroquímicos expidió 616 actos administrativos de 1205 programados como meta</t>
  </si>
  <si>
    <t>Con corte a 30 de junio el grupo de Agroquímicos ha realizado 675 conceptos técnicos de 1205 programados como meta</t>
  </si>
  <si>
    <t>Durante el mes de Abril: Se Adelanto 70 Oficios  de solictud  de información complementaria derivada del análisis de información en virtud del Articulo 321 de la Ley 1955 y  64 Resoluciones de las cuales 1 es de No aceptación de acogimiento y 9 autos de seguimiento al 1% y 1  de auto archiva por extemporaneidad. Sumados a los 102 A.A. de meses anteriores nos da el avance acumulado de 246 A.A.</t>
  </si>
  <si>
    <t>Durante el mes de mayo: Se Adelanto 49 Oficios  de solictud  de información complementaria derivada del análisis de información en virtud del Articulo 321 de la Ley 1955 y  20 Resoluciones  de acogimiento y 27 autos de seguimiento al 1% y 3  Autos de desistimiento</t>
  </si>
  <si>
    <t>Durante el mes de junio: Se Adelanto 9 Oficios  de solicitud  de información complementaria derivada del análisis de información en virtud del Articulo 321 de la Ley 1955 y  19 Resoluciones  de acogimiento y 8 autos de seguimiento al 1% y 6  Autos de desistimiento</t>
  </si>
  <si>
    <t>Se ha avanzado en 675,52 Ha de 3150 estblecidas como meta producto</t>
  </si>
  <si>
    <t>Se ha avanzado en 685,52 Ha de 3150 estblecidas como meta producto</t>
  </si>
  <si>
    <t>Se ha avanzado en 1131,34 Ha de 3150 estblecidas como meta producto</t>
  </si>
  <si>
    <t>Durante el mes de abril: Se Adelanto 18  Actos administrativos. 17 de seguimiento y 1  Recurso de reposición. Sumados a los 62 A.A. de meses anteriores nos da el avance acumulado de 80 A.A.</t>
  </si>
  <si>
    <t>Durante el mes de mayo se adelantaron 15 Actos administrativos, sumados a los 84 efectuados de enero a abril, el avance acumulado asciende a 99 A..A</t>
  </si>
  <si>
    <t>Durante el mes de junio: Se Adelanto 6 Actos administrativos. 3 de seguimiento y 3 Recursos de reposición</t>
  </si>
  <si>
    <t>A corte  30 de abril de 2020, el grupo no ha revisado desarrollado este indicador teniendo en cuenta que el revisor jurídico no ha ingresado a la entidad por la reestructuración y por el aislamiento preventivo por el COVID-19.</t>
  </si>
  <si>
    <t>A corte  30 de abril de 2020, el grupo ha revisado 148 CT con los sectores que incluye el componente de Riesgos y Contingencias.</t>
  </si>
  <si>
    <t>A corte 31 de mayo de 2020, el grupo no ha desarrollado este indicador teniendo en cuenta que el revisor jurídico ingresó a la entidad el 26 de mayo sin embargo, a corte de 02 de junio se encuentra en el proceso de sesíon de contrato  por otra oportunidad laboral.</t>
  </si>
  <si>
    <t>Con corte a corte  31 de mayo de 2020, el grupo ha revisado 208 CT con los sectores que incluye el componente de Riesgos y Contingencias.</t>
  </si>
  <si>
    <t>A corte 30 de junio de 2020, el grupo no haavanzado en este indicador teniendo en cuenta que  aún no cuenta con ejecutor/ revisor jurídico.</t>
  </si>
  <si>
    <t>A corte 30 de junio de 2020, el grupo ha revisado 245 CT con los sectores que incluye el componente de Riesgos y Contingencias.</t>
  </si>
  <si>
    <t>A corte  30 de abril de 2020, el grupo ha revisado 3 CT priorizados  que incluye el componente de Riesgos y Contingencias, de los cuales 1 se ha acogido con AA.</t>
  </si>
  <si>
    <t>A corte  31 de mayo de 2020, el grupo ha revisado 4 CT priorizados  que incluye el componente de Riesgos y Contingencias, de los cuales 1 se ha acogido con AA</t>
  </si>
  <si>
    <t>A corte  30 de junio  de 2020, el grupo ha desarrollado  6 CT priorizados  que incluye el componente de Riesgos y Contingencias, de los cuales 5 se han acogido con AA.</t>
  </si>
  <si>
    <t>1622 ICA revisados de 289 allegados en abril y 500 de rezago, gestionando el 57.93% de lo programado en el año. Pendientes 789.</t>
  </si>
  <si>
    <t>2064 ICA revisados de 344 allegados en mayo y 503 de rezago, gestionando el 73.71% de lo programado en el año. Pendientes 847.</t>
  </si>
  <si>
    <t xml:space="preserve">2504 ICA revisados de 365 allegados en junio y 691 de rezago, gestionando el 89.43% de lo programado en el año. </t>
  </si>
  <si>
    <t>180 SDE elaborados, para el cálculo del IDA. Se gestionó un 13.2% de lo programado en el año. Este dato es informativo, teniendo en cuenta que el IDA será medido a partir del segundo semestre de 2020.</t>
  </si>
  <si>
    <t>263 SDE elaborados, para el cálculo del IDA. Se gestionó un 19.2% de lo programado en el año. Este dato es informativo, teniendo en cuenta que el IDA será medido a partir del segundo semestre de 2020.</t>
  </si>
  <si>
    <t>319 SDE elaborados, para el cálculo del IDA. Se gestionó un 23.37% de lo programado en el año. Este dato es informativo, teniendo en cuenta que el IDA será medido a partir del segundo semestre de 2020.</t>
  </si>
  <si>
    <t>180 SDE elaborados y finalizados en SILA, 77 memorandos informando al sector la Verificación Geográfica y Documental. Se ha gestionado un 19% de lo programado en el año.</t>
  </si>
  <si>
    <t>263 SDE elaborados y finalizados en SILA, 123 memorandos informando al sector la Verificación Geográfica y Documental. Se ha gestionado un 28.3% de lo programado en el año.</t>
  </si>
  <si>
    <t>319 SDE elaborados y finalizados en SILA, 127 memorandos informando al sector la Verificación Geográfica y Documental. Se ha gestionado un 32.67% de lo programado en el año.</t>
  </si>
  <si>
    <t>A corte abril de 2020,  se han asignado un total de 107  expedientesen la etapa de seguimiento  del componente valoración económica, de los cuales el grupo revisó 76 CT y 70  fueron finalizados y numerados desde los sectores.</t>
  </si>
  <si>
    <t>A corte 31 de mayo se han asignado un total de 148 expedientes para el seguimiento del componente de valoración económica. desde las regiones de seguimiento se han finalizado con numeración 100 conceptos técnicos. desde valoración económica se han revisado y finalizado un total de 107 conceptos, de estos se han finalizado y númerado 97 C.T.</t>
  </si>
  <si>
    <t>Con corte 30 de junio se han tenido un total de 166 asignaciones. Desde el grupo de valoración económica se ha realizado la revisión del componente valoración económica de 131 conceptos técnicos, de los cuales se han finalizado y numerado un total de 121. Durante el mes de junio se finalizaron y numeraron un total de 27 conceptos técnicos con componente de valoración económica</t>
  </si>
  <si>
    <t>Promedio de avance en metas de Producto SSLA</t>
  </si>
  <si>
    <t>Promedio de avance en metas de Gestión SSLA</t>
  </si>
  <si>
    <t>Subdirección de Evaluación de Licenciamiento Ambiental</t>
  </si>
  <si>
    <t>Subdireccion de Evaluacion de Licencias Ambientales</t>
  </si>
  <si>
    <t xml:space="preserve">A corte 30 de abril de  2020 se han expedido 129 actos administrativos para resolver las solicitudes de evaluación de licencias ambientales </t>
  </si>
  <si>
    <t>A corte 30 de abril de 2020 se han realizado 20 visitas tecnicas  para el proceso de evaluación de licencias ambientales</t>
  </si>
  <si>
    <t xml:space="preserve">A corte 31 de mayo de  2020 se han expedido 148 actos administrativos para resolver las solicitudes de evaluación de licencias ambientales </t>
  </si>
  <si>
    <t>A corte 31 de mayo de 2020 se han realizado 20 visitas tecnicas  para el proceso de evaluación de licencias ambientales</t>
  </si>
  <si>
    <t xml:space="preserve">A corte 30 de junio de  2020 se han expedido 190 actos administrativos para resolver las solicitudes de evaluación de licencias ambientales </t>
  </si>
  <si>
    <t>A corte 30 de junio de 2020 se han realizado 20 visitas tecnicas  para el proceso de evaluación de licencias ambientales</t>
  </si>
  <si>
    <t>A corte 30 de abril de  2020 se han elaborado 93 conceptos técnicos para resolver las solicitudes de evaluación de licencias ambientales</t>
  </si>
  <si>
    <t>A corte 31 de mayo de 2020 se han elaborado 116 conceptos técnicos para resolver las solicitudes de evaluación de licencias ambientales</t>
  </si>
  <si>
    <t>A corte 30 de junio de 2020 se han elaborado 153 conceptos técnicos para resolver las solicitudes de evaluación de licencias ambientales</t>
  </si>
  <si>
    <t>A 30 de  abril de 2020,  la ANLA debía resolver 48 solicitudes de licenciamiento ambiental;  (24) Nuevas, (24) Modificaciones, las cuales se resolvieron oportunamente.</t>
  </si>
  <si>
    <t>A 31 de  mayo de 2020,  la ANLA debía resolver 52 solicitudes de licenciamiento ambiental; (27) Nuevas, (25) Modificaciones, las cuales se resolvieron oportunamente.</t>
  </si>
  <si>
    <t>A 30 de junio de 2020,  la ANLA debía resolver 57 solicitudes de licenciamiento ambiental; (29) Nuevas, (28) Modificaciones, las cuales se resolvieron oportunamente.</t>
  </si>
  <si>
    <t xml:space="preserve">A corte 30 de abril de  2020 el sector de hidrocarburos ha expedido 14 actos administrativos para resolver las solicitudes de evaluación de licencias ambientales </t>
  </si>
  <si>
    <t>A corte 30 de abril de  2020 se han realizado 3 visitas tecnicas  para el proceso de evaluación de licencias ambientales</t>
  </si>
  <si>
    <t xml:space="preserve">A corte 31 de mayo  de  2020 el sector de hidrocarburos ha expedido 16 actos administrativos para resolver las solicitudes de evaluación de licencias ambientales </t>
  </si>
  <si>
    <t>A corte 31 de mayo de  2020 se han realizado 3 visitas tecnicas  para el proceso de evaluación de licencias ambientales</t>
  </si>
  <si>
    <t xml:space="preserve">A corte 30 de junio  de  2020 el sector de hidrocarburos ha expedido 16 actos administrativos para resolver las solicitudes de evaluación de licencias ambientales </t>
  </si>
  <si>
    <t>A corte 30 de junio de  2020 se han realizado 3 visitas tecnicas  para el proceso de evaluación de licencias ambientales</t>
  </si>
  <si>
    <t>A corte 30 de abril de  2020 se han elaborado 11 conceptos técnicos para resolver las solicitudes de evaluación de licencias ambientales</t>
  </si>
  <si>
    <t>A corte 31 de mayo de  2020 se han elaborado 11 conceptos técnicos para resolver las solicitudes de evaluación de licencias ambientales</t>
  </si>
  <si>
    <t>A corte 30 de junio de  2020 se han elaborado 11 conceptos técnicos para resolver las solicitudes de evaluación de licencias ambientales</t>
  </si>
  <si>
    <t>A corte 30 de abril de 2020 la ANLA debía resolver 13 solicitudes de licenciamiento ambiental;  (7) Nuevas, (6) Modificaciones, las cuales se resolvieron oportunamente.</t>
  </si>
  <si>
    <t>A corte 30 de abril de  2020 el sector de hidrocarburos debia realizar 3 visitas tecnicas, las cuales se realizaron oportunamente.</t>
  </si>
  <si>
    <t>A corte 31 de mayo  de  2020 la ANLA debía resolver 15 solicitudes de licenciamiento ambientales;  (9) Nuevas, (6) Modificaciones, las cuales se resolvieron oportunamente.</t>
  </si>
  <si>
    <t>A corte 31 de mayo de  2020 el sector de hidrocarburos debia realizar 3 visitas tecnicas, las cuales se realizaron oportunamente.</t>
  </si>
  <si>
    <t>A corte 30 de junio de 2020 la ANLA debía resolver 16 solicitudes de licenciamiento ambientales;  (10) Nuevas, (6) Modificaciones, las cuales se resolvieron oportunamente.</t>
  </si>
  <si>
    <t>A corte 30 de junio de  2020 el sector de hidrocarburos debia realizar 3 visitas tecnicas, las cuales se realizaron oportunamente.</t>
  </si>
  <si>
    <t>A corte 30 de abril de  2020  el sector de hidrocarburos debia finalizar 9 conceptos tecnicos, los cuales se finalizaron fuera de terminos.</t>
  </si>
  <si>
    <t>A corte 31 de mayo de  2020  el sector de hidrocarburos debia finalizar 9 conceptos tecnicos, los cuales se finalizaron fuera de terminos.</t>
  </si>
  <si>
    <t xml:space="preserve">A corte 30 de abril de  2020 el sector de infraestructura ha expedido 8 actos administrativos para resolver las solicitudes de evaluación de licencias ambientales </t>
  </si>
  <si>
    <t>A corte 30 de abril de  2020 se han realizado 8 visitas tecnicas  para el proceso de evaluación de licencias ambientales</t>
  </si>
  <si>
    <t xml:space="preserve">A corte 31 de mayo de  2020 el sector de infraestructura ha expedido 10 actos administrativos para resolver las solicitudes de evaluación de licencias ambientales </t>
  </si>
  <si>
    <t>A corte 31 de mayo de  2020 se han realizado 8 visitas tecnicas  para el proceso de evaluación de licencias ambientales</t>
  </si>
  <si>
    <t xml:space="preserve">A corte 30 de junio de 2020 el sector de infraestructura ha expedido 12 actos administrativos para resolver las solicitudes de evaluación de licencias ambientales </t>
  </si>
  <si>
    <t>A corte 30 de junio de  2020 se han realizado 8 visitas tecnicas  para el proceso de evaluación de licencias ambientales</t>
  </si>
  <si>
    <t>A corte 30 de abril de  2020 el sector ha elaborado 7  conceptos técnicos para resolver las solicitudes de evaluación de licencias ambientales</t>
  </si>
  <si>
    <t>A corte 31 de mayo de  2020 el sector ha elaborado 10  conceptos técnicos para resolver las solicitudes de evaluación de licencias ambientales</t>
  </si>
  <si>
    <t>A corte 30 de junio de  2020 el sector ha elaborado 10 conceptos técnicos para resolver las solicitudes de evaluación de licencias ambientales</t>
  </si>
  <si>
    <t>A corte 30 de abril de 2020 la ANLA debía resolver 10 solicitudes de licenciamiento ambiental;  (2) Nuevas, (8) Modificaciones, las cuales se resolvieron oportunamente.</t>
  </si>
  <si>
    <t>A corte 30 de abril de  2020 el sector de infraestructura debia realizar 8 visitas tecnicas, las cuales se realizaron oportunamente.</t>
  </si>
  <si>
    <t>A corte 31 de mayo de 2020 la ANLA debía resolver 11 solicitudes de licenciamiento ambiental; (2) Nuevas, (9) Modificaciones, las cuales se resolvieron oportunamente.</t>
  </si>
  <si>
    <t>A corte 31 de mayo de  2020 el sector de infraestructura debia realizar 8 visitas tecnicas, las cuales se realizaron oportunamente.</t>
  </si>
  <si>
    <t>A corte 30 de junio de 2020 la ANLA debía resolver 13 solicitudes de licenciamiento ambiental; (2) Nuevas, (11) Modificaciones, las cuales se resolvieron oportunamente.</t>
  </si>
  <si>
    <t>A corte 30 de junio de  2020 el sector de infraestructura debia realizar 8 visitas tecnicas, las cuales se realizaron oportunamente.</t>
  </si>
  <si>
    <t>A corte 30 de abril de  2020 el sector de infraestructura debia finalizar 7 conceptos tecnicos, de los cuales se finalizo 1 oportunamente</t>
  </si>
  <si>
    <t>A corte 31 de mayo de  2020 el sector de infraestructura debia finalizar 10 conceptos tecnicos, de los cuales se finalizo 1 oportunamente</t>
  </si>
  <si>
    <t>Energía, Presas, Bases, Trasvases y Embalses</t>
  </si>
  <si>
    <t>BETSY RUBIANE PALMA PACHECO [Coordinador(a)]]</t>
  </si>
  <si>
    <t xml:space="preserve">A corte 30 de abril de  2020 el sector de energia ha expedido 9 actos administrativos para resolver las solicitudes de evaluación de licencias ambientales </t>
  </si>
  <si>
    <t>A corte 30 de abril de  2020 el sector ha realizado 3 visitas tecnicas para el proceso de evaluación de licencias ambientales</t>
  </si>
  <si>
    <t xml:space="preserve">A corte 31 de mayo de 2020 el sector de energia ha expedido 10 actos administrativos para resolver las solicitudes de evaluación de licencias ambientales </t>
  </si>
  <si>
    <t>A corte 31 de mayo de 2020 el sector ha realizado 3 visitas tecnicas para el proceso de evaluación de licencias ambientales</t>
  </si>
  <si>
    <t xml:space="preserve">A corte 30 de junio de 2020 el sector de energia ha expedido 11 actos administrativos para resolver las solicitudes de evaluación de licencias ambientales </t>
  </si>
  <si>
    <t>A corte 30 de junio de 2020 el sector ha realizado 3 visitas tecnicas para el proceso de evaluación de licencias ambientales</t>
  </si>
  <si>
    <t>BETSY RUBIANE PALMA PACHECO [Coordinador(a)]</t>
  </si>
  <si>
    <t>A corte 30 de abril de  2020 el sector, ha expedido 8 conceptos tecnicos para resolver las solicitudes de evaluación de licencias ambientales</t>
  </si>
  <si>
    <t>A corte 31 de mayo de 2020 el sector, ha expedido 9 conceptos tecnicos para resolver las solicitudes de evaluación de licencias ambientales</t>
  </si>
  <si>
    <t>A corte 30 de junio de 2020 el sector, ha expedido 12 conceptos tecnicos para resolver las solicitudes de evaluación de licencias ambientales</t>
  </si>
  <si>
    <t>A corte 30 de abril de 2020 la ANLA debía resolver 7 solicitudes de licenciamiento ambiental;  (1) Nuevas, (6) Modificaciones, las cuales se resolvieron oportunamente.</t>
  </si>
  <si>
    <t>A corte 30 de abril de 2020  el sector de energia tenia que realizar 2 visitas tecnicas de evaluacion, la cual se adelanto oportunamente.</t>
  </si>
  <si>
    <t>A corte 31 de mayo de 2020  debía resolver 8 solicitudes de licenciamiento ambiental; (2) Nuevas, (6) Modificaciones, las cuales se resolvieron oportunamente.</t>
  </si>
  <si>
    <t>A corte 31 de mayo de 2020  el sector de energia tenia que realizar 2 visitas tecnicas de evaluacion, la cual se adelanto oportunamente.</t>
  </si>
  <si>
    <t>A corte 30 de junio de 2020  debía resolver 9 solicitudes de licenciamiento ambiental; (3) Nuevas, (6) Modificaciones, las cuales se resolvieron oportunamente.</t>
  </si>
  <si>
    <t>A corte 30 de junio de 2020  el sector de energia tenia que realizar 2 visitas tecnicas de evaluacion, la cual se adelanto oportunamente.</t>
  </si>
  <si>
    <t>A corte 30 de abril de  2020  el sector de energia debia finalizar 7 conceptos tecnicos, y ninguno se finalizo en terminos.</t>
  </si>
  <si>
    <t>A corte 31 de mayo de  2020 el sector de energia debia finalizar 7 conceptos tecnicos, y ninguno se finalizo en terminos.</t>
  </si>
  <si>
    <t xml:space="preserve">A corte 30 de abril de 2020 el sector de mineria ha expedido 6 actos administrativos para resolver las solicitudes de evaluación de licencias ambientales </t>
  </si>
  <si>
    <t>A corte 30 de abril de 2020 el sector ha realizado 4  visitas tecnicas para el proceso de evaluación de licencias ambientales</t>
  </si>
  <si>
    <t xml:space="preserve">A corte 31 de mayo de 2020 el sector de mineria ha expedido 6 actos administrativos para resolver las solicitudes de evaluación de licencias ambientales </t>
  </si>
  <si>
    <t>A corte 31 de mayo de 2020 el sector ha realizado 4  visitas tecnicas para el proceso de evaluación de licencias ambientales</t>
  </si>
  <si>
    <t xml:space="preserve">A corte 30 de junio de 2020 el sector de mineria ha expedido 6 actos administrativos para resolver las solicitudes de evaluación de licencias ambientales </t>
  </si>
  <si>
    <t>A corte 30 de junio de 2020 el sector ha realizado 4  visitas tecnicas para el proceso de evaluación de licencias ambientales</t>
  </si>
  <si>
    <t>A corte 30 de abril de 2020 el sector ha expedido 5 conceptos tecnicos para resolver las solicitudes de evaluación de licencias ambientales</t>
  </si>
  <si>
    <t>A corte 31 de mayo de 2020 el sector ha expedido 5 conceptos tecnicos para resolver las solicitudes de evaluación de licencias ambientales</t>
  </si>
  <si>
    <t>A corte  30 de junio de 2020 el sector ha expedido 5 conceptos tecnicos para resolver las solicitudes de evaluación de licencias ambientales</t>
  </si>
  <si>
    <t>A corte 30 de abril de 2020 la ANLA debía resolver 5 solicitudes de licenciamiento ambiental;  (2) Nuevas, (3) Modificaciones, las cuales fueron resueltas oportunamente.</t>
  </si>
  <si>
    <t>A corte 30 de abril de 2020  el sector de mineria tenia  que realizar 4 visitas tecnicas de evaluacion, de las cuales se realizaron 3 oportunamente.</t>
  </si>
  <si>
    <t>A corte 31 de mayo de 2020 la ANLA debía resolver 5 solicitudes de licenciamiento ambiental; (2) Nuevas, (3) Modificaciones, las cuales fueron resueltas oportunamente.</t>
  </si>
  <si>
    <t>A corte 31 de mayo de 2020  el sector de mineria tenia  que realizar 4 visitas tecnicas de evaluacion, de las cuales se realizaron 3 oportunamente.</t>
  </si>
  <si>
    <t>A corte 30 de junio de 2020 la ANLA debía resolver 5 solicitudes de licenciamiento ambiental; (2) Nuevas, (3) Modificaciones, las cuales fueron resueltas oportunamente.</t>
  </si>
  <si>
    <t>A corte 30 de junio de 2020  el sector de mineria tenia  que realizar 4 visitas tecnicas de evaluacion, de las cuales se realizaron 3 oportunamente.</t>
  </si>
  <si>
    <t>A corte 30 de abril de 2020  el sector de mineria debia finalizar 4 conceptos tecnicos, los cuales se culminaron fuera de terminos</t>
  </si>
  <si>
    <t>A corte 31 de mayo de 2020 el sector de mineria debia finalizar 4 conceptos tecnicos, los cuales se culminaron fuera de terminos</t>
  </si>
  <si>
    <t xml:space="preserve">A corte 30 de abril de 2020 el sector de Agroquimicos ha expedido 92 actos administrativos para resolver las solicitudes de evaluación de licencias ambientales </t>
  </si>
  <si>
    <t>A corte  30 de abril de 2020 el sector realizo 2 visitas tecnicas para el proceso de evaluación de licencias ambientales</t>
  </si>
  <si>
    <t xml:space="preserve">A corte 31 de mayo de 2020 el sector de Agroquimicos ha expedido 106 actos administrativos para resolver las solicitudes de evaluación de licencias ambientales </t>
  </si>
  <si>
    <t>A corte 31 de mayo de 2020 el sector realizo 2 visitas tecnicas para el proceso de evaluación de licencias ambientales</t>
  </si>
  <si>
    <t xml:space="preserve">A corte 30 de junio de 2020 el sector de Agroquimicos ha expedido 145 actos administrativos para resolver las solicitudes de evaluación de licencias ambientales </t>
  </si>
  <si>
    <t>A corte 30 de junio de 2020 el sector realizo 2 visitas tecnicas para el proceso de evaluación de licencias ambientales</t>
  </si>
  <si>
    <t xml:space="preserve">A corte  30 de abril de 2020 el sector, ha expedido 62 CT para resolver las solicitudes de evaluación de licencias ambientales </t>
  </si>
  <si>
    <t xml:space="preserve">A corte 31 de mayo de 2020 el sector, ha expedido 81 CT para resolver las solicitudes de evaluación de licencias ambientales </t>
  </si>
  <si>
    <t xml:space="preserve">A corte 30 de junio de 2020 el sector, ha expedido 115 CT para resolver las solicitudes de evaluación de licencias ambientales </t>
  </si>
  <si>
    <t>A corte 30 de abril de 2020 la ANLA debía resolver 13 solicitudes de licenciamiento ambiental;  (12) Nuevas, (1) Modificaciones, las cuales fueron resueltas oportunamente.</t>
  </si>
  <si>
    <t>A corte 30 de abril de 2020  el sector de Agroquimicos tenia  1 visita con vencimiento de terminos, la cual se realizo en terminos</t>
  </si>
  <si>
    <t>A corte 31 de mayo de 2020 la ANLA debía resolver 13 solicitudes de licenciamiento ambiental;  (12) Nuevas, (1) Modificaciones, las cuales fueron resueltas oportunamente.</t>
  </si>
  <si>
    <t>A corte 31 de mayo de 2020 el sector de Agroquimicos tenia  1 visita con vencimiento de terminos, la cual se realizo en terminos</t>
  </si>
  <si>
    <t>A corte 30 de junio de 2020 la ANLA debía resolver 14 solicitudes de licenciamiento ambiental;  (12) Nuevas, (2) Modificaciones, las cuales fueron resueltas oportunamente.</t>
  </si>
  <si>
    <t>A corte 30 de junio de 2020 el sector de Agroquimicos tenia  1 visita con vencimiento de terminos, la cual se realizo en terminos</t>
  </si>
  <si>
    <t>A corte 30 de abril de 2020  el sector de Agroquimicos debia finalizar 9 conceptos tecnicos, de los cuales finalizo 8 oportunamente.</t>
  </si>
  <si>
    <t>A corte 31 de mayo de 2020 el sector de Agroquimicos debia finalizar 10 conceptos tecnicos, de los cuales finalizo 8 oportunamente.</t>
  </si>
  <si>
    <t>A corte  30 de abril de 2020, el grupo ha revisado 30 CT que incluye el componente de Riesgos y Contingencias, de los cuales 20 se han acogido con AA.</t>
  </si>
  <si>
    <t>A corte  31 de mayo de 2020, el grupo de Riesgos y Contingencias ha revisado 38 CT que incluye el componente de Riesgos y Contingencias, de los cuales 25 se han acogido con AA.</t>
  </si>
  <si>
    <t>A corte 30 de junio de 2020, el grupo de Riesgos y Contingencias ha revisado 43 CT que incluye el componente de Riesgos y Contingencias, de los cuales 27 se han acogido con AA.</t>
  </si>
  <si>
    <t>A corte 30 de abril de 2020 el grupo de Geomatica ha revisado 63 documentos de información geográfica de los cuales:
*41 corresponden a VPD
* 22 de información adicional</t>
  </si>
  <si>
    <t>A corte 30 de mayo de 2020 el grupo de Geomatica ha revisado 74 documentos de información geográfica de los cuales:
*50 corresponden a VPD
*24 de información adicional</t>
  </si>
  <si>
    <t>A corte 30 de junio de 2020 el grupo de Geomatica ha revisado 87 documentos de información geográfica de los cuales:
*61 corresponden a VPD
*26 de información adicional</t>
  </si>
  <si>
    <t>A corte abril de 2020,  se han asignado un total de 40  expedientes para la evaluacion del componente valoración económica  (incluidas nuevas licencias, modificaciones de licencia, modificaciones de PMA, respuesta a recursos de reposicion y evaluacion de DAA), de los cuales el grupo reviso 20 CT y 18 fueron finalizados y numerados desde los sectores.</t>
  </si>
  <si>
    <t>A corte mayo de 2020,  se han asignado un total de 44  expedientes para la evaluacion del componente valoración económica  (incluidas nuevas licencias, modificaciones de licencia, modificaciones de PMA, respuesta a recursos de reposicion y evaluacion de DAA), de los cuales el grupo reviso 23 CT y 22 fueron finalizados y numerados desde los sectores.</t>
  </si>
  <si>
    <t>A corte 30 de junio de 2020,  se han asignado un total de 52  expedientes para la evaluacion del componente valoración económica  (incluidas nuevas licencias, modificaciones de licencia, modificaciones de PMA, respuesta a recursos de reposicion y evaluacion de DAA), de los cuales el grupo reviso 28 CT y 27 fueron finalizados y numerados desde los sectores.</t>
  </si>
  <si>
    <t>Promedio de avance en metas de Producto SELA</t>
  </si>
  <si>
    <t>Promedio de avance en metas de Gestión SELA</t>
  </si>
  <si>
    <t>Hidrocarburos REGALIAS</t>
  </si>
  <si>
    <t>Porcentaje de solicitudes de licenciamiento ambiental de los sectores hidrocarburos y minería resueltas dentro de tiempos de la normatividad ambiental vigente</t>
  </si>
  <si>
    <t>(Número de actos administrativos de los sectores de hidrocarburos y minería finalizados que resuelven solicitudes de evaluación a licencias ambientales dentro de términos del decreto 1076 / Número de solicitudes de licenciamiento ambiental a atender por los sectores de hidrocarburos y minería con vencimiento de términos) * 100\\n</t>
  </si>
  <si>
    <t>Camilo Alfonso Perez Otero</t>
  </si>
  <si>
    <t>Para el sector hidrocarburos se dio respueta en tèrminos a 3 expedientes de un total de tres a resolver</t>
  </si>
  <si>
    <t>Para el sector hidrocarburos se dio respuesta en tèrminos a 6 expedientes de un total de 6 a resolver. De estos tres corresponden a solicitud de nueva LA y los otros tres a modificación de LA existente</t>
  </si>
  <si>
    <t>Para el sector hidrocarburos se dio respuesta en tèrminos a 9 expedientes de un total de 9 a resolver. De estos 5 corresponden a solicitud de nueva LA y los otros 4 a modificación de LA existente</t>
  </si>
  <si>
    <t>Para el sector hidrocarburos se dio respuesta en términos a 13 expedientes de un total de 13 a resolver. De estos, 7 corresponden a solicitud de nueva LA y los otros 6 a modificación de LA existente</t>
  </si>
  <si>
    <t>Para el sector hidrocarburos se dio respuesta en términos a 15 expedientes de un total de 15 por resolver. De estos, 9 corresponden a solicitud de nueva LA y los otros 6 a modificación de LA existente. Las evaluaciones resueltas en mayo: LAV0051-00-2019 (archiva) y LAV0065-00-2018 (otorga)</t>
  </si>
  <si>
    <t>Con corte a junio de 2020, el sector hidrocarburos acumuló  16 respuestas a solicitudes en términos de un total de 16 por resolver. De estos, 10 corresponden a solicitud de nueva LA y los otros 6 a modificación de LA existente. La evaluación con respuesta esperada  en junio: LAV0025-00-2018 (archivo y devolución de la documentación) AREA DE PERFORACIóN EXPLORATORIA MARLíN -  - LICENCIA AMBIENTAL.</t>
  </si>
  <si>
    <t>Actos administrativos expedidos para resolver el seguimiento a proyectos licenciados</t>
  </si>
  <si>
    <t>Número de actos administrativos que acogen el seguimiento realizado a los proyectos licenciados</t>
  </si>
  <si>
    <t>En enero no se programaron visitas dado que no se habían incorporado las ternas completas. Se realizó la planeación trimestral de los proyectos sujetos a seguimiento. Se asignaron 40 expedientes para el primer trimestre.</t>
  </si>
  <si>
    <t>Se realizaron 19 visistas de seguimiento cuyos Conceptos Técnicos se encuentran en ejecución.  Se cuenta con un (1) CT numerado tipo documental</t>
  </si>
  <si>
    <t>En el primer trimestre del año se hizo énfasis en las visitas de campo para u total de 27, de estas, se han numerado 11 conceptos técnicos, de los cuáles 1 avanzó hasta la expedición del Acto Administrativo de Seguimiento</t>
  </si>
  <si>
    <t>Con la priorización de las visitas en el primer trimestre del año, al mes de abril los profesionales del equipo de Regalías habían participado en 21 CT con visitas y 6 documentales. 17 Actos Administrativos numerados contaron con la participación de profesionales del equipo de regalías</t>
  </si>
  <si>
    <t>Con la priorización de las visitas en el primer trimestre del año, al mes de mayo los profesionales del equipo de Regalías habían participado en  27 CT con visitas y 22 documentales para un total de 49 CT. 21 Actos Administrativos numerados contaron con la participación de profesionales del equipo de regalías</t>
  </si>
  <si>
    <t>A corte de 30 de junio, se cuenta con la totalidad de 95 Conceptos Técnicos correspondientes a la meta. De estos, 38 contaron con visitas técnicas priorizadas en el primer trimestre del año. El resto fueron documentales. De la totalidad de Conceptos Técnicos, 37 pasaron a acto administrativo, acta o auto de seguimiento numerado.</t>
  </si>
  <si>
    <t>Porcentaje de acciones de presencia institucional en región (APIR) desarrolladas por ANLA</t>
  </si>
  <si>
    <t>(Número de APIR desarrolladas/ número APIR programadas)* 100</t>
  </si>
  <si>
    <t>Se realizó seguimiento a contingencia de escape de gas en pozo en abandono (MKMS Cruzsur) en el departamento de La Guajira. En enero no se habían vinculado los Inspectores Regionales en los departamentos de vocación productora de hidrocarburos</t>
  </si>
  <si>
    <t>Se realizò un total de 27 acciones de presencia institucional en el territorio, de un total de 19 programadas concentradas en los departamentos de Meta y Caquetá</t>
  </si>
  <si>
    <t>Se realizò un total de 49 acciones de presencia institucional en el territorio, de un total de 74 programadas concentradas en los departamentos de Meta y Caquetá. Las restricciones al desplazamiento intermunicipal dificultó el desarrollo de acciones ya programadas.</t>
  </si>
  <si>
    <t>Se realizó un total de 51 acciones de presencia institucional en el territorio, de un total de 76 programadas concentradas en los departamentos de Meta y Caquetá. Las restricciones al desplazamiento intermunicipal dificultó el desarrollo de acciones ya programadas. Para el mes de abril, dada las restriciones de moviliad, para las regiones o departamentos con vocacion productora de hidrocarburos  se realizaron 12 fichas de identificación de conflictividad socioambiental, cuatro (4) documentos de análisis de denuncias ambientales, cuatro (4) ducumentos de análisis de Planes de Acción de las CAR con jurisdicción en Magdalena Medio, Meta, Caquetá y Huila-Tolima. Dos encuentros virtuales con Cormacarena y la Gobernación del Meta.</t>
  </si>
  <si>
    <t>A 31 de mayo se realizaron 136 acciones de presencia institucional en el territorio, de un total de 157 programadas, concentradas en los departamentos de Meta y Caquetá. Las restricciones al desplazamiento intermunicipal dificultaron el desarrollo de acciones ya programadas, sin embargo la asistencia y acciones se han desarrollado por distintos medios de comunicación. En abril, mientras la estrategia se adaptaba y rediseñaba a las nuevas realidades, se desarrollaron 12 fichas de identificación de conflictividad socioambiental, cuatro (4) documentos de análisis de denuncias ambientales, cuatro (4) ducumentos de análisis de Planes de Acción de las CAR con jurisdicción en Magdalena Medio, Meta, Caquetá y Huila-Tolima. Dos encuentros virtuales con Cormacarena y la Gobernación del Meta.</t>
  </si>
  <si>
    <t>A 30 de junio se han realizado 218 acciones de presencia institucional en el territorio, de un total de 249 programadas, concentradas en los departamentos de Meta y Caquetá, segidos por la región Huila-Tolima y Magdalena medio. Ante las dificultades de movilización, la estrategia territorial se ha venido adaptando. En junio predominó el desarrollo de los Cursos Virtuales de Licenciamiento Ambiental, con un total de 35 activiadades de este tipo en los departamentos con presencia de proyectos de HC. Adicionalmente se desarrollaron reuniones institucionales y apoyo a actividades de evaluación y seguimiento como atención a contingencia en el Campo Moquetá y vereda Rubiales</t>
  </si>
  <si>
    <t>Minería regalias</t>
  </si>
  <si>
    <t>Para el sector minería se dio se dio respuesta en términos a 3 expedientes de un total de tres a resolver. Todos corresponden a solicitud de modificación a LA</t>
  </si>
  <si>
    <t>Para el sector minería se dio se dio respuesta en términos a 5 expedientes de un total de 5 a resolver. De estos, 3 corresponden a solicitud de modificación a LA y 2 nuevas solicitudes de LA</t>
  </si>
  <si>
    <t>En abril no se presentaron solicitudes a Resolver. Para este sector se han dado respuesta en términos a 5 expedientes de un total de 5 a resolver. De estos, 3 corresponden a solicitud de modificación a LA y 2 nuevas solicitudes de LA</t>
  </si>
  <si>
    <t>Para el sector minería no se tenían solicitudes de LA con fecha esperada de respuesta en el mes de mayo. Para este sector, en el acumulado del año se han dado respuesta en términos a 5 expedientes de un total de 5 a resolver. De estos, 3 corresponden a solicitud de modificación a LA y 2 nuevas solicitudes de LA. LAV0051-00-2017 (Otorga) y LAV0013-00-2018 (Archiva y devuelve documentación)</t>
  </si>
  <si>
    <t>Para el sector minería no se tenían solicitudes de LA con fecha esperada de respuesta en el mes de junio. Para este sector, en el acumulado del año se han dado respuesta en términos a 5 expedientes de un total de 5 a resolver. De estos, 3 corresponden a solicitud de modificación a LA y 2 nuevas solicitudes de LA. LAV0051-00-2017 (Otorga) y LAV0013-00-2018 (Archiva y devuelve documentación)</t>
  </si>
  <si>
    <t>En enero no se programaron visitas de seguimiento dado que no se habían incorporado las ternas completas. Se realizó la planeación de los proyectos sujetos a seguimiento. Con el personal vinculado en enero se avanzó en conceptos técnicos</t>
  </si>
  <si>
    <t>Durante el mes de febrero y primera semana de marzo se planeó la realización de visitas para la elaboración de los Conceptos técnicos. Se expidieron tres actos administrativos de seguimiento de igual número de conceptos técnicos </t>
  </si>
  <si>
    <t>Al periodo de corte se realizaron 10 visitas de seguimiento, con 3 conceptos finalizados e igual número de actos admnistrativos finalizados</t>
  </si>
  <si>
    <t>Al 30 de abril el equipo de regalías apoyó en 8 CT numerados, de los cuales 3 requiriron visita técnica y 5 fueron documentales. De estos 8 CT, 1 ha avanando hasta AA numerado. 14 Visitas realizadas durante el primer trimestre cuenta con CT en etapa de revisión o finalización, los cuales deben quedar numerados e incluso con AA en el mes de mayo</t>
  </si>
  <si>
    <t xml:space="preserve">Al 31 de mayo el equipo de regalías apoyó en 26 CT numerados en la región Caribe-Pacífico, de los cuales 16 requireiron visita técnica y 10 fueron documentales. De estos 26 CT, 3 avanzaron hasta AA numerado. </t>
  </si>
  <si>
    <t xml:space="preserve">Al 30 de junio el equipo de regalías apoyó en 26 CT de seguimiento numerados en la región Caribe-Pacífico, de los cuales 16 requireiron visita técnica y 10 fueron documentales. De estos 26 CT, 16 avanzaron hasta Acto Administrativo de seguimiento numerado. </t>
  </si>
  <si>
    <t>El 23 de enero se vinculó un Inspector regional para el departamento de La Guajira. Durante el periodo realizó los contactos con las nuevas administraciones municipales y departamental. Actualizó los formatos y presentaciones de conflictividad en territorio y pedagogia institucional</t>
  </si>
  <si>
    <t>Se realizó un total de 23 acciones de un total de 19 programadas. Estas se concentraron en el departamento de La Guajira</t>
  </si>
  <si>
    <t>En el primer trimestre se ejecutaron 28 acciones de presencia institucional de un total de 32 programadas. Estas se desarrollaron 19 en La Guajira y 9 en Antioquia.</t>
  </si>
  <si>
    <t>En el primer trimestre se ejecutaron 30 acciones de presencia institucional de un total de 34 programadas. Estas se desarrollaron 19 en La Guajira y 9 en Antioquia. Para el mes de abril, dada las restriciones de moviliad, para los departamentos de La Guajira y Antioquia se realizaron 6 fichas de identificación de conflictividad socioambiental, dos (2) documentos de análisis de denuncias ambientales, dos ducumento de análisis de Planes de Acción de las CAR con jurisdicción en Antioquia y La Guajira y dos encuentros virtuales con Corantioquia y Cornare</t>
  </si>
  <si>
    <t>A 31 de mayo, en los departamentos con vocación minera, por parte de los inspectores regionales se han desarrollado 63 acciones de presencia institucional de un total de 73 programadas. Estas se desarrollaron 38 en La Guajira y 25 en Antioquia. En abril, mientras la estrategia se adaptaba y rediseñaba a las nuevas realidades, se realizaron 6 fichas de identificación de conflictividad socioambiental, dos (2) documentos de análisis de denuncias ambientales, dos ducumento de análisis de Planes de Acción de las CAR con jurisdicción en Antioquia y La Guajira y dos encuentros virtuales con Corantioquia y Cornare</t>
  </si>
  <si>
    <t>A 30 de junio, en los departamentos con vocación minera, por parte de los inspectores regionales se han desarrollado 112 acciones de presencia institucional de un total de 129 programadas. En junio predominó el desarrollo de los Cursos Virtuales de Licenciamiento Ambiental, con un total de 15 activiadades de este tipo en los departamentos de Antioquia y La Guajira. Se desarrolló 1 visita Virtual de Evaluación para la Modificación del Plan de Manejo Ambiental, al proyecto “Explotación Aurífera en la cuenca del Río Nechí" LAM0806 y otra para la atención a contingencias en la Vereda Sierra Azul (La Guajira)</t>
  </si>
  <si>
    <t>RASP regalias</t>
  </si>
  <si>
    <t>Durante el mes de enero, el equipo contratado con recursos de regalías resolvió dos solicitudes de giro ordinario en términos, una asociada al sector minería y otra al sector hidrocarburos. Además se dio respuesta a un informe de cambio menosasociado al sector idrocarburos, para un total de tres respuestas CMGO en términos</t>
  </si>
  <si>
    <t>El equipo contratado con recursos de regalías resolvió 9 solicitudes de pronunciamientos en términos de un total de nueve (9). De estos, siete (7) corresponden a Cambio Menor y dos (2) GO. Por sectores, ocho (8) pertenecen a HC y uno a Minería.</t>
  </si>
  <si>
    <t>El equipo contratado con recursos de regalías resolvió 20 solicitudes de pronunciamientos en términos de un total de nueve 20. De estos, 17 corresponden a Cambio Menor y 3 GO. Por sectores, 17 pertenecen a HC y 3 a Minería.</t>
  </si>
  <si>
    <t>En abril se resolvieron 7 solicitudes de pronunciamiento, para un acululado de 27. De estos, 20 corresponden a Cambio Menor y 7 GO. Por sectores, 23 pertenecen a HC y 4 a Minería.</t>
  </si>
  <si>
    <t>A 31 de mayo, los profesionales del equipo de regalías, resolvieron 7 solicitudes de pronunciamiento, para un acululado de 27. De estos, 20 corresponden a Cambio Menor y 7 GO. Por sectores, 23 pertenecen a HC y 4 a Minería.</t>
  </si>
  <si>
    <t>A junio de 2020, los profesionales del equipo de regalías han dado respuesta en términos a 34  solicitudes de Giro Ordinario y Cambio Menor. Por sectores, 29 pertenecen a HC y 5 a Minería.</t>
  </si>
  <si>
    <t>Compensación y 1% regalias</t>
  </si>
  <si>
    <t>Porcentaje de Actos administrativos de seguimiento a obligaciones del 1% y compensaciones en los sectores Hidrocarburos y Minería</t>
  </si>
  <si>
    <t>(Número de Actos administrativos de respuesta al seguimiento de obligaciones de 1% y compensaciones de los sectores Hidrocarburos y minería / Total proyectos activos que contemplan la obligación de 1% y compensaciones en los sectores hidrocarburos y minería )*100</t>
  </si>
  <si>
    <t>Se numeraron 26 Actos Administrativos de acogimiento de igual número de conceptos técnicos</t>
  </si>
  <si>
    <t>Se numeraron 69 Actos Administrativos de acogimiento de 104 Conceptos Técnicos numerados. Estos representan la viabilidad de proyectos de inversión por 56,017 millones de pesos. El 100% de la meta corresponden a 747 AA, luego, el 55% asciende a 410 AA</t>
  </si>
  <si>
    <t>Se numeraron 128 Actos Administrativos de acogimiento de 162 Conceptos Técnicos numerados. Estos representan la viabilidad de proyectos de inversión por 59,704 millones de pesos viabilizados por el equipo de profesionales finacieros. El 100% de la meta corresponden a 747 AA, luego, el 55% asciende a 410 AA</t>
  </si>
  <si>
    <t>En el mes de abril se numeraron 126 Actos Administrativos adicionales para un acumulado en los primeros 4 meses del año de 255 AA  de acogimiento. Estos representan la viabilidad de proyectos de inversión por $67,476 millones de pesos viabilizados por el equipo de profesionales finacieros. El 100% de la meta corresponden a 747 AA, luego, el 55% asciende a 410 AA.</t>
  </si>
  <si>
    <t>En el mes de mayo se numeraron 85 Actos Administrativos adicionales para un acumulado en los primeros 5 meses del año de 340 AA. Estos representan la viabilidad de proyectos de inversión por $68,952 millones de pesos viabilizados por el equipo de profesionales finacieros. El 100% de la meta corresponden a 747 AA, luego, el 55% asciende a 410 AA.</t>
  </si>
  <si>
    <t>En el mes de junio se numeraron 21 Actos Administrativos adicionales para un acumulado en los primeros 5 meses del año de 361 AA. Estos representan la viabilidad de proyectos de inversión por $72,786 millones de pesos viabilizados por el equipo de profesionales finacieros. El 100% de la meta corresponden a 747 AA, luego, el 55% asciende a 410 AA.</t>
  </si>
  <si>
    <t>** El avance presentado por cada indicador de las dependencias, se refleja en las hojas  del presente consolidado.</t>
  </si>
  <si>
    <t>*** La entidad se reestructuró el 11 de marzo del 2020. En este sentido, para este segundo trimestre aparecen las nuevas dependencias en este consolidado</t>
  </si>
  <si>
    <t>POR REGALÍAS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</si>
</sst>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 #,##0;[Red]\-&quot;$&quot;\ #,##0"/>
    <numFmt numFmtId="42" formatCode="_-&quot;$&quot;\ * #,##0_-;\-&quot;$&quot;\ * #,##0_-;_-&quot;$&quot;\ * &quot;-&quot;_-;_-@_-"/>
    <numFmt numFmtId="41" formatCode="_-* #,##0_-;\-* #,##0_-;_-* &quot;-&quot;_-;_-@_-"/>
    <numFmt numFmtId="44" formatCode="_-&quot;$&quot;\ * #,##0.00_-;\-&quot;$&quot;\ * #,##0.00_-;_-&quot;$&quot;\ * &quot;-&quot;??_-;_-@_-"/>
    <numFmt numFmtId="164" formatCode="_-&quot;$&quot;* #,##0_-;\-&quot;$&quot;* #,##0_-;_-&quot;$&quot;* &quot;-&quot;_-;_-@_-"/>
    <numFmt numFmtId="165" formatCode="_(* #,##0_);_(* \(#,##0\);_(* &quot;-&quot;_);_(@_)"/>
    <numFmt numFmtId="166" formatCode="_(&quot;$&quot;\ * #,##0.00_);_(&quot;$&quot;\ * \(#,##0.00\);_(&quot;$&quot;\ * &quot;-&quot;??_);_(@_)"/>
    <numFmt numFmtId="167" formatCode="_(&quot;$&quot;\ * #,##0_);_(&quot;$&quot;\ * \(#,##0\);_(&quot;$&quot;\ * &quot;-&quot;??_);_(@_)"/>
    <numFmt numFmtId="168" formatCode="0.0%"/>
    <numFmt numFmtId="169" formatCode="0.000%"/>
    <numFmt numFmtId="170" formatCode="_-[$$-240A]* #,##0.00_-;\-[$$-240A]* #,##0.00_-;_-[$$-240A]* &quot;-&quot;??_-;_-@_-"/>
    <numFmt numFmtId="171" formatCode="_-&quot;$&quot;\ * #,##0_-;\-&quot;$&quot;\ * #,##0_-;_-&quot;$&quot;\ * &quot;-&quot;??_-;_-@_-"/>
    <numFmt numFmtId="172" formatCode="0.0"/>
    <numFmt numFmtId="173" formatCode="_-[$$-240A]\ * #,##0.00_-;\-[$$-240A]\ * #,##0.00_-;_-[$$-240A]\ * &quot;-&quot;??_-;_-@_-"/>
  </numFmts>
  <fonts count="3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9"/>
      <color theme="1"/>
      <name val="Calibri"/>
      <family val="2"/>
      <scheme val="minor"/>
    </font>
    <font>
      <b/>
      <sz val="24"/>
      <color theme="1"/>
      <name val="Arial Narrow"/>
      <family val="2"/>
    </font>
    <font>
      <sz val="12"/>
      <color theme="1"/>
      <name val="Arial Narrow"/>
      <family val="2"/>
    </font>
    <font>
      <sz val="9"/>
      <name val="Calibri"/>
      <family val="2"/>
      <scheme val="minor"/>
    </font>
    <font>
      <b/>
      <sz val="14"/>
      <color theme="1"/>
      <name val="Calibri"/>
      <family val="2"/>
      <scheme val="minor"/>
    </font>
    <font>
      <b/>
      <sz val="12"/>
      <color theme="1"/>
      <name val="Arial Narrow"/>
      <family val="2"/>
    </font>
    <font>
      <b/>
      <sz val="14"/>
      <name val="Calibri"/>
      <family val="2"/>
      <scheme val="minor"/>
    </font>
    <font>
      <b/>
      <sz val="12"/>
      <name val="Arial Narrow"/>
      <family val="2"/>
    </font>
    <font>
      <sz val="9"/>
      <color theme="0"/>
      <name val="Calibri"/>
      <family val="2"/>
      <scheme val="minor"/>
    </font>
    <font>
      <b/>
      <sz val="9"/>
      <color theme="1"/>
      <name val="Calibri"/>
      <family val="2"/>
      <scheme val="minor"/>
    </font>
    <font>
      <sz val="9"/>
      <color theme="9" tint="-0.499984740745262"/>
      <name val="Calibri"/>
      <family val="2"/>
      <scheme val="minor"/>
    </font>
    <font>
      <sz val="10"/>
      <color theme="1"/>
      <name val="Calibri"/>
      <family val="2"/>
      <scheme val="minor"/>
    </font>
    <font>
      <sz val="10"/>
      <name val="Calibri"/>
      <family val="2"/>
      <scheme val="minor"/>
    </font>
    <font>
      <sz val="10"/>
      <color rgb="FFFF0000"/>
      <name val="Calibri"/>
      <family val="2"/>
      <scheme val="minor"/>
    </font>
    <font>
      <sz val="11"/>
      <name val="Calibri"/>
      <family val="2"/>
      <scheme val="minor"/>
    </font>
    <font>
      <sz val="10"/>
      <color theme="0"/>
      <name val="Calibri"/>
      <family val="2"/>
      <scheme val="minor"/>
    </font>
    <font>
      <b/>
      <sz val="11"/>
      <color rgb="FF000000"/>
      <name val="Calibri"/>
      <family val="2"/>
      <scheme val="minor"/>
    </font>
    <font>
      <sz val="11"/>
      <color rgb="FF000000"/>
      <name val="Calibri"/>
      <family val="2"/>
      <scheme val="minor"/>
    </font>
    <font>
      <b/>
      <sz val="12"/>
      <color theme="0"/>
      <name val="Calibri"/>
      <family val="2"/>
      <scheme val="minor"/>
    </font>
    <font>
      <b/>
      <sz val="12"/>
      <color rgb="FFFFFFFF"/>
      <name val="Calibri"/>
      <family val="2"/>
      <scheme val="minor"/>
    </font>
    <font>
      <b/>
      <sz val="11"/>
      <color rgb="FFFFFFFF"/>
      <name val="Calibri"/>
      <family val="2"/>
      <scheme val="minor"/>
    </font>
    <font>
      <b/>
      <sz val="11"/>
      <color rgb="FF002060"/>
      <name val="Calibri"/>
      <family val="2"/>
      <scheme val="minor"/>
    </font>
    <font>
      <b/>
      <sz val="10"/>
      <color theme="1"/>
      <name val="Calibri"/>
      <family val="2"/>
      <scheme val="minor"/>
    </font>
    <font>
      <sz val="9"/>
      <color rgb="FF000000"/>
      <name val="Calibri"/>
      <family val="2"/>
      <scheme val="minor"/>
    </font>
    <font>
      <b/>
      <sz val="11"/>
      <color rgb="FFFF0000"/>
      <name val="Calibri"/>
      <family val="2"/>
      <scheme val="minor"/>
    </font>
    <font>
      <b/>
      <sz val="9"/>
      <color rgb="FFFF0000"/>
      <name val="Calibri"/>
      <family val="2"/>
      <scheme val="minor"/>
    </font>
    <font>
      <b/>
      <sz val="9"/>
      <name val="Calibri"/>
      <family val="2"/>
      <scheme val="minor"/>
    </font>
    <font>
      <b/>
      <sz val="9"/>
      <color rgb="FF000000"/>
      <name val="Calibri"/>
      <family val="2"/>
      <scheme val="minor"/>
    </font>
    <font>
      <sz val="9"/>
      <color rgb="FFFF0000"/>
      <name val="Calibri"/>
      <family val="2"/>
      <scheme val="minor"/>
    </font>
  </fonts>
  <fills count="23">
    <fill>
      <patternFill patternType="none"/>
    </fill>
    <fill>
      <patternFill patternType="gray125"/>
    </fill>
    <fill>
      <patternFill patternType="solid">
        <fgColor theme="0"/>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9"/>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9" tint="-0.499984740745262"/>
        <bgColor rgb="FF000000"/>
      </patternFill>
    </fill>
    <fill>
      <patternFill patternType="solid">
        <fgColor theme="0" tint="-0.499984740745262"/>
        <bgColor indexed="64"/>
      </patternFill>
    </fill>
    <fill>
      <patternFill patternType="solid">
        <fgColor rgb="FFA9D08E"/>
        <bgColor rgb="FF000000"/>
      </patternFill>
    </fill>
    <fill>
      <patternFill patternType="solid">
        <fgColor rgb="FFFFFFFF"/>
        <bgColor rgb="FF000000"/>
      </patternFill>
    </fill>
    <fill>
      <patternFill patternType="solid">
        <fgColor rgb="FFE2EFDA"/>
        <bgColor indexed="64"/>
      </patternFill>
    </fill>
    <fill>
      <patternFill patternType="solid">
        <fgColor rgb="FFA9D08E"/>
        <bgColor indexed="64"/>
      </patternFill>
    </fill>
    <fill>
      <patternFill patternType="solid">
        <fgColor theme="0" tint="-0.14999847407452621"/>
        <bgColor indexed="64"/>
      </patternFill>
    </fill>
    <fill>
      <patternFill patternType="solid">
        <fgColor rgb="FF375623"/>
        <bgColor rgb="FF000000"/>
      </patternFill>
    </fill>
    <fill>
      <patternFill patternType="solid">
        <fgColor theme="4" tint="-0.249977111117893"/>
        <bgColor indexed="64"/>
      </patternFill>
    </fill>
    <fill>
      <patternFill patternType="solid">
        <fgColor theme="5" tint="-0.249977111117893"/>
        <bgColor indexed="64"/>
      </patternFill>
    </fill>
    <fill>
      <patternFill patternType="solid">
        <fgColor theme="6" tint="0.79998168889431442"/>
        <bgColor indexed="64"/>
      </patternFill>
    </fill>
    <fill>
      <patternFill patternType="solid">
        <fgColor rgb="FF757171"/>
        <bgColor rgb="FF000000"/>
      </patternFill>
    </fill>
    <fill>
      <patternFill patternType="solid">
        <fgColor rgb="FFE2EFDA"/>
        <bgColor rgb="FF000000"/>
      </patternFill>
    </fill>
  </fills>
  <borders count="128">
    <border>
      <left/>
      <right/>
      <top/>
      <bottom/>
      <diagonal/>
    </border>
    <border>
      <left style="thin">
        <color indexed="64"/>
      </left>
      <right style="thin">
        <color indexed="64"/>
      </right>
      <top style="thin">
        <color indexed="64"/>
      </top>
      <bottom style="thin">
        <color indexed="64"/>
      </bottom>
      <diagonal/>
    </border>
    <border>
      <left style="thin">
        <color theme="2"/>
      </left>
      <right/>
      <top/>
      <bottom style="thin">
        <color theme="2"/>
      </bottom>
      <diagonal/>
    </border>
    <border>
      <left/>
      <right/>
      <top/>
      <bottom style="thin">
        <color theme="2"/>
      </bottom>
      <diagonal/>
    </border>
    <border>
      <left/>
      <right style="thin">
        <color theme="2"/>
      </right>
      <top/>
      <bottom style="thin">
        <color theme="2"/>
      </bottom>
      <diagonal/>
    </border>
    <border>
      <left style="thin">
        <color theme="2"/>
      </left>
      <right/>
      <top/>
      <bottom/>
      <diagonal/>
    </border>
    <border>
      <left/>
      <right style="thin">
        <color theme="2"/>
      </right>
      <top/>
      <bottom/>
      <diagonal/>
    </border>
    <border>
      <left style="thin">
        <color theme="2"/>
      </left>
      <right style="thin">
        <color theme="2"/>
      </right>
      <top/>
      <bottom/>
      <diagonal/>
    </border>
    <border>
      <left style="thin">
        <color theme="2"/>
      </left>
      <right/>
      <top style="thin">
        <color theme="2"/>
      </top>
      <bottom style="thin">
        <color theme="2"/>
      </bottom>
      <diagonal/>
    </border>
    <border>
      <left/>
      <right/>
      <top style="thin">
        <color theme="2"/>
      </top>
      <bottom style="thin">
        <color theme="2"/>
      </bottom>
      <diagonal/>
    </border>
    <border>
      <left/>
      <right style="thin">
        <color theme="2"/>
      </right>
      <top style="thin">
        <color theme="2"/>
      </top>
      <bottom style="thin">
        <color theme="2"/>
      </bottom>
      <diagonal/>
    </border>
    <border>
      <left style="thin">
        <color theme="2"/>
      </left>
      <right style="thin">
        <color theme="2"/>
      </right>
      <top style="thin">
        <color theme="2"/>
      </top>
      <bottom/>
      <diagonal/>
    </border>
    <border>
      <left style="thin">
        <color theme="2"/>
      </left>
      <right style="thin">
        <color theme="2"/>
      </right>
      <top/>
      <bottom style="thin">
        <color theme="2"/>
      </bottom>
      <diagonal/>
    </border>
    <border>
      <left/>
      <right style="thin">
        <color indexed="64"/>
      </right>
      <top style="thin">
        <color theme="2"/>
      </top>
      <bottom style="thin">
        <color theme="2"/>
      </bottom>
      <diagonal/>
    </border>
    <border>
      <left style="thin">
        <color indexed="64"/>
      </left>
      <right/>
      <top style="thin">
        <color theme="2"/>
      </top>
      <bottom style="thin">
        <color theme="2"/>
      </bottom>
      <diagonal/>
    </border>
    <border>
      <left style="thin">
        <color theme="2"/>
      </left>
      <right style="thin">
        <color theme="2"/>
      </right>
      <top style="thin">
        <color theme="2"/>
      </top>
      <bottom style="thin">
        <color theme="2"/>
      </bottom>
      <diagonal/>
    </border>
    <border>
      <left/>
      <right/>
      <top style="thin">
        <color theme="2"/>
      </top>
      <bottom/>
      <diagonal/>
    </border>
    <border>
      <left style="thin">
        <color theme="9" tint="0.79998168889431442"/>
      </left>
      <right style="thin">
        <color theme="9" tint="0.39997558519241921"/>
      </right>
      <top style="thin">
        <color theme="9" tint="0.39997558519241921"/>
      </top>
      <bottom/>
      <diagonal/>
    </border>
    <border>
      <left style="thin">
        <color theme="9" tint="0.39997558519241921"/>
      </left>
      <right style="thin">
        <color theme="9" tint="0.39997558519241921"/>
      </right>
      <top style="thin">
        <color theme="9" tint="0.39997558519241921"/>
      </top>
      <bottom/>
      <diagonal/>
    </border>
    <border>
      <left style="thin">
        <color theme="9" tint="0.79998168889431442"/>
      </left>
      <right style="thin">
        <color theme="9" tint="0.79998168889431442"/>
      </right>
      <top style="thin">
        <color theme="9" tint="0.79998168889431442"/>
      </top>
      <bottom style="thin">
        <color theme="9" tint="0.79998168889431442"/>
      </bottom>
      <diagonal/>
    </border>
    <border>
      <left style="thin">
        <color theme="9" tint="0.79998168889431442"/>
      </left>
      <right/>
      <top style="thin">
        <color theme="9" tint="0.79998168889431442"/>
      </top>
      <bottom style="thin">
        <color theme="9" tint="0.79998168889431442"/>
      </bottom>
      <diagonal/>
    </border>
    <border>
      <left/>
      <right/>
      <top style="thin">
        <color theme="9" tint="0.79998168889431442"/>
      </top>
      <bottom style="thin">
        <color theme="9" tint="0.79998168889431442"/>
      </bottom>
      <diagonal/>
    </border>
    <border>
      <left style="thin">
        <color theme="9" tint="0.79995117038483843"/>
      </left>
      <right style="thin">
        <color theme="9" tint="0.79995117038483843"/>
      </right>
      <top style="thin">
        <color theme="9" tint="0.79995117038483843"/>
      </top>
      <bottom/>
      <diagonal/>
    </border>
    <border>
      <left style="thin">
        <color theme="9" tint="0.79995117038483843"/>
      </left>
      <right/>
      <top style="thin">
        <color theme="9" tint="0.79995117038483843"/>
      </top>
      <bottom/>
      <diagonal/>
    </border>
    <border>
      <left style="thin">
        <color theme="9" tint="0.79998168889431442"/>
      </left>
      <right style="thin">
        <color theme="9" tint="0.39997558519241921"/>
      </right>
      <top/>
      <bottom style="thin">
        <color theme="9" tint="0.79998168889431442"/>
      </bottom>
      <diagonal/>
    </border>
    <border>
      <left style="thin">
        <color theme="9" tint="0.39997558519241921"/>
      </left>
      <right style="thin">
        <color theme="9" tint="0.39997558519241921"/>
      </right>
      <top/>
      <bottom style="thin">
        <color theme="9" tint="0.79998168889431442"/>
      </bottom>
      <diagonal/>
    </border>
    <border>
      <left style="thin">
        <color theme="9" tint="0.39997558519241921"/>
      </left>
      <right style="thin">
        <color theme="9" tint="0.39997558519241921"/>
      </right>
      <top/>
      <bottom style="thin">
        <color theme="9" tint="0.39997558519241921"/>
      </bottom>
      <diagonal/>
    </border>
    <border>
      <left style="thin">
        <color theme="9" tint="0.39997558519241921"/>
      </left>
      <right/>
      <top/>
      <bottom/>
      <diagonal/>
    </border>
    <border>
      <left style="thin">
        <color theme="9" tint="0.79995117038483843"/>
      </left>
      <right style="thin">
        <color theme="9" tint="0.79995117038483843"/>
      </right>
      <top/>
      <bottom style="thin">
        <color theme="9" tint="0.79995117038483843"/>
      </bottom>
      <diagonal/>
    </border>
    <border>
      <left style="thin">
        <color theme="9" tint="0.79995117038483843"/>
      </left>
      <right/>
      <top/>
      <bottom style="thin">
        <color theme="9" tint="0.79995117038483843"/>
      </bottom>
      <diagonal/>
    </border>
    <border>
      <left style="thin">
        <color theme="9" tint="0.39997558519241921"/>
      </left>
      <right style="thin">
        <color theme="9" tint="0.39997558519241921"/>
      </right>
      <top/>
      <bottom/>
      <diagonal/>
    </border>
    <border>
      <left/>
      <right style="thin">
        <color theme="9" tint="0.39997558519241921"/>
      </right>
      <top style="thin">
        <color theme="9" tint="0.39997558519241921"/>
      </top>
      <bottom style="thin">
        <color theme="9" tint="0.39997558519241921"/>
      </bottom>
      <diagonal/>
    </border>
    <border>
      <left style="thin">
        <color theme="9" tint="0.39997558519241921"/>
      </left>
      <right style="thin">
        <color theme="9" tint="0.39997558519241921"/>
      </right>
      <top style="thin">
        <color theme="9" tint="0.39997558519241921"/>
      </top>
      <bottom style="thin">
        <color theme="9" tint="0.39997558519241921"/>
      </bottom>
      <diagonal/>
    </border>
    <border>
      <left style="thin">
        <color theme="9" tint="0.39997558519241921"/>
      </left>
      <right/>
      <top style="thin">
        <color theme="9" tint="0.39997558519241921"/>
      </top>
      <bottom style="thin">
        <color theme="9" tint="0.39997558519241921"/>
      </bottom>
      <diagonal/>
    </border>
    <border>
      <left/>
      <right style="thin">
        <color theme="9" tint="0.79998168889431442"/>
      </right>
      <top style="thin">
        <color theme="9" tint="0.79998168889431442"/>
      </top>
      <bottom style="thin">
        <color theme="9" tint="0.79998168889431442"/>
      </bottom>
      <diagonal/>
    </border>
    <border>
      <left style="thin">
        <color theme="9" tint="0.79998168889431442"/>
      </left>
      <right style="thin">
        <color theme="9" tint="0.79998168889431442"/>
      </right>
      <top/>
      <bottom style="thin">
        <color theme="9" tint="0.79998168889431442"/>
      </bottom>
      <diagonal/>
    </border>
    <border>
      <left style="thin">
        <color theme="9" tint="0.79992065187536243"/>
      </left>
      <right/>
      <top style="thin">
        <color theme="9" tint="0.79998168889431442"/>
      </top>
      <bottom/>
      <diagonal/>
    </border>
    <border>
      <left style="thin">
        <color theme="9"/>
      </left>
      <right/>
      <top style="thin">
        <color theme="9" tint="0.79998168889431442"/>
      </top>
      <bottom/>
      <diagonal/>
    </border>
    <border>
      <left style="thin">
        <color theme="9" tint="0.79992065187536243"/>
      </left>
      <right/>
      <top/>
      <bottom/>
      <diagonal/>
    </border>
    <border>
      <left style="thin">
        <color theme="9"/>
      </left>
      <right/>
      <top/>
      <bottom/>
      <diagonal/>
    </border>
    <border>
      <left/>
      <right/>
      <top/>
      <bottom style="thin">
        <color theme="9" tint="0.39997558519241921"/>
      </bottom>
      <diagonal/>
    </border>
    <border>
      <left style="thin">
        <color theme="9" tint="0.79992065187536243"/>
      </left>
      <right/>
      <top/>
      <bottom style="thin">
        <color theme="9" tint="0.39997558519241921"/>
      </bottom>
      <diagonal/>
    </border>
    <border>
      <left style="thin">
        <color theme="9"/>
      </left>
      <right/>
      <top/>
      <bottom style="thin">
        <color theme="9" tint="0.39997558519241921"/>
      </bottom>
      <diagonal/>
    </border>
    <border>
      <left style="thin">
        <color theme="2"/>
      </left>
      <right/>
      <top style="thin">
        <color theme="2"/>
      </top>
      <bottom/>
      <diagonal/>
    </border>
    <border>
      <left style="thin">
        <color theme="9" tint="0.79998168889431442"/>
      </left>
      <right/>
      <top style="thin">
        <color theme="9" tint="0.39997558519241921"/>
      </top>
      <bottom/>
      <diagonal/>
    </border>
    <border>
      <left style="thin">
        <color theme="9"/>
      </left>
      <right style="thin">
        <color theme="9"/>
      </right>
      <top style="thin">
        <color theme="9"/>
      </top>
      <bottom style="thin">
        <color theme="9"/>
      </bottom>
      <diagonal/>
    </border>
    <border>
      <left style="thin">
        <color theme="9" tint="0.79998168889431442"/>
      </left>
      <right/>
      <top/>
      <bottom style="thin">
        <color theme="9" tint="0.79998168889431442"/>
      </bottom>
      <diagonal/>
    </border>
    <border>
      <left style="thin">
        <color theme="9" tint="0.79998168889431442"/>
      </left>
      <right style="thin">
        <color theme="9" tint="0.79998168889431442"/>
      </right>
      <top style="thin">
        <color theme="9" tint="0.79998168889431442"/>
      </top>
      <bottom/>
      <diagonal/>
    </border>
    <border>
      <left style="thin">
        <color theme="9" tint="0.79998168889431442"/>
      </left>
      <right/>
      <top style="thin">
        <color theme="9" tint="0.79998168889431442"/>
      </top>
      <bottom/>
      <diagonal/>
    </border>
    <border>
      <left style="thin">
        <color theme="9" tint="0.79998168889431442"/>
      </left>
      <right style="thin">
        <color theme="9" tint="0.39997558519241921"/>
      </right>
      <top/>
      <bottom/>
      <diagonal/>
    </border>
    <border>
      <left style="thin">
        <color theme="9" tint="0.79998168889431442"/>
      </left>
      <right/>
      <top/>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style="thin">
        <color theme="9" tint="0.39997558519241921"/>
      </left>
      <right/>
      <top/>
      <bottom style="thin">
        <color theme="2"/>
      </bottom>
      <diagonal/>
    </border>
    <border>
      <left/>
      <right style="thin">
        <color theme="2"/>
      </right>
      <top style="thin">
        <color theme="2"/>
      </top>
      <bottom/>
      <diagonal/>
    </border>
    <border>
      <left style="thin">
        <color rgb="FF70AD47"/>
      </left>
      <right style="thin">
        <color rgb="FF70AD47"/>
      </right>
      <top style="thin">
        <color rgb="FF70AD47"/>
      </top>
      <bottom style="thin">
        <color rgb="FF70AD47"/>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theme="2"/>
      </bottom>
      <diagonal/>
    </border>
    <border>
      <left/>
      <right/>
      <top style="medium">
        <color indexed="64"/>
      </top>
      <bottom style="thin">
        <color theme="2"/>
      </bottom>
      <diagonal/>
    </border>
    <border>
      <left/>
      <right style="medium">
        <color indexed="64"/>
      </right>
      <top style="medium">
        <color indexed="64"/>
      </top>
      <bottom style="thin">
        <color theme="2"/>
      </bottom>
      <diagonal/>
    </border>
    <border>
      <left style="medium">
        <color indexed="64"/>
      </left>
      <right/>
      <top style="thin">
        <color theme="2"/>
      </top>
      <bottom style="thin">
        <color theme="2"/>
      </bottom>
      <diagonal/>
    </border>
    <border>
      <left/>
      <right style="medium">
        <color indexed="64"/>
      </right>
      <top style="thin">
        <color theme="2"/>
      </top>
      <bottom style="thin">
        <color theme="2"/>
      </bottom>
      <diagonal/>
    </border>
    <border>
      <left style="medium">
        <color indexed="64"/>
      </left>
      <right style="thin">
        <color theme="2"/>
      </right>
      <top style="thin">
        <color theme="2"/>
      </top>
      <bottom style="thin">
        <color theme="2"/>
      </bottom>
      <diagonal/>
    </border>
    <border>
      <left style="thin">
        <color theme="2"/>
      </left>
      <right style="medium">
        <color indexed="64"/>
      </right>
      <top style="thin">
        <color theme="2"/>
      </top>
      <bottom style="thin">
        <color theme="2"/>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theme="9"/>
      </left>
      <right style="thin">
        <color theme="9"/>
      </right>
      <top style="thin">
        <color theme="9"/>
      </top>
      <bottom/>
      <diagonal/>
    </border>
    <border>
      <left style="thin">
        <color theme="9"/>
      </left>
      <right style="thin">
        <color theme="9"/>
      </right>
      <top/>
      <bottom/>
      <diagonal/>
    </border>
    <border>
      <left style="thin">
        <color theme="9"/>
      </left>
      <right style="thin">
        <color theme="9"/>
      </right>
      <top/>
      <bottom style="thin">
        <color theme="9"/>
      </bottom>
      <diagonal/>
    </border>
    <border>
      <left style="thin">
        <color theme="9" tint="0.79998168889431442"/>
      </left>
      <right style="thin">
        <color theme="9" tint="0.79998168889431442"/>
      </right>
      <top/>
      <bottom/>
      <diagonal/>
    </border>
    <border>
      <left style="thin">
        <color theme="9"/>
      </left>
      <right style="thin">
        <color theme="9"/>
      </right>
      <top/>
      <bottom style="thin">
        <color indexed="64"/>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style="thin">
        <color indexed="64"/>
      </top>
      <bottom style="thin">
        <color indexed="64"/>
      </bottom>
      <diagonal/>
    </border>
    <border>
      <left style="dotted">
        <color auto="1"/>
      </left>
      <right style="thin">
        <color auto="1"/>
      </right>
      <top style="thin">
        <color indexed="64"/>
      </top>
      <bottom style="thin">
        <color indexed="64"/>
      </bottom>
      <diagonal/>
    </border>
    <border>
      <left style="thin">
        <color auto="1"/>
      </left>
      <right/>
      <top/>
      <bottom style="dotted">
        <color auto="1"/>
      </bottom>
      <diagonal/>
    </border>
    <border>
      <left style="thin">
        <color auto="1"/>
      </left>
      <right style="dotted">
        <color auto="1"/>
      </right>
      <top/>
      <bottom style="dotted">
        <color auto="1"/>
      </bottom>
      <diagonal/>
    </border>
    <border>
      <left style="dotted">
        <color auto="1"/>
      </left>
      <right style="thin">
        <color auto="1"/>
      </right>
      <top/>
      <bottom style="dotted">
        <color auto="1"/>
      </bottom>
      <diagonal/>
    </border>
    <border>
      <left style="thin">
        <color auto="1"/>
      </left>
      <right/>
      <top style="dotted">
        <color auto="1"/>
      </top>
      <bottom style="dotted">
        <color auto="1"/>
      </bottom>
      <diagonal/>
    </border>
    <border>
      <left style="thin">
        <color auto="1"/>
      </left>
      <right style="dotted">
        <color auto="1"/>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thin">
        <color auto="1"/>
      </right>
      <top style="dotted">
        <color auto="1"/>
      </top>
      <bottom/>
      <diagonal/>
    </border>
    <border>
      <left style="dotted">
        <color auto="1"/>
      </left>
      <right style="thin">
        <color auto="1"/>
      </right>
      <top style="dotted">
        <color auto="1"/>
      </top>
      <bottom/>
      <diagonal/>
    </border>
    <border>
      <left style="thin">
        <color auto="1"/>
      </left>
      <right style="thin">
        <color auto="1"/>
      </right>
      <top/>
      <bottom style="dotted">
        <color auto="1"/>
      </bottom>
      <diagonal/>
    </border>
    <border>
      <left/>
      <right style="thin">
        <color indexed="64"/>
      </right>
      <top style="dotted">
        <color auto="1"/>
      </top>
      <bottom/>
      <diagonal/>
    </border>
    <border>
      <left style="thin">
        <color auto="1"/>
      </left>
      <right/>
      <top style="dotted">
        <color auto="1"/>
      </top>
      <bottom/>
      <diagonal/>
    </border>
    <border>
      <left/>
      <right style="thin">
        <color indexed="64"/>
      </right>
      <top/>
      <bottom style="dotted">
        <color auto="1"/>
      </bottom>
      <diagonal/>
    </border>
    <border>
      <left style="thin">
        <color auto="1"/>
      </left>
      <right style="dotted">
        <color auto="1"/>
      </right>
      <top style="dotted">
        <color auto="1"/>
      </top>
      <bottom/>
      <diagonal/>
    </border>
    <border>
      <left style="thin">
        <color auto="1"/>
      </left>
      <right style="dotted">
        <color auto="1"/>
      </right>
      <top/>
      <bottom/>
      <diagonal/>
    </border>
    <border>
      <left style="dotted">
        <color auto="1"/>
      </left>
      <right style="thin">
        <color auto="1"/>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tted">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thin">
        <color theme="2"/>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70AD47"/>
      </bottom>
      <diagonal/>
    </border>
    <border>
      <left style="thin">
        <color rgb="FF70AD47"/>
      </left>
      <right/>
      <top style="thin">
        <color rgb="FF70AD47"/>
      </top>
      <bottom style="thin">
        <color rgb="FF70AD47"/>
      </bottom>
      <diagonal/>
    </border>
    <border>
      <left/>
      <right/>
      <top style="thin">
        <color rgb="FF70AD47"/>
      </top>
      <bottom style="thin">
        <color rgb="FF70AD47"/>
      </bottom>
      <diagonal/>
    </border>
    <border>
      <left/>
      <right style="thin">
        <color rgb="FF70AD47"/>
      </right>
      <top style="thin">
        <color rgb="FF70AD47"/>
      </top>
      <bottom style="thin">
        <color rgb="FF70AD47"/>
      </bottom>
      <diagonal/>
    </border>
    <border>
      <left style="thin">
        <color rgb="FFE7E6E6"/>
      </left>
      <right style="thin">
        <color rgb="FFE7E6E6"/>
      </right>
      <top style="thin">
        <color rgb="FFE7E6E6"/>
      </top>
      <bottom/>
      <diagonal/>
    </border>
    <border>
      <left/>
      <right style="thin">
        <color theme="9" tint="0.79998168889431442"/>
      </right>
      <top style="thin">
        <color theme="9" tint="0.79998168889431442"/>
      </top>
      <bottom/>
      <diagonal/>
    </border>
    <border>
      <left/>
      <right style="thin">
        <color theme="9" tint="0.79998168889431442"/>
      </right>
      <top/>
      <bottom/>
      <diagonal/>
    </border>
    <border>
      <left/>
      <right style="thin">
        <color theme="9" tint="0.79998168889431442"/>
      </right>
      <top/>
      <bottom style="thin">
        <color theme="9" tint="0.79998168889431442"/>
      </bottom>
      <diagonal/>
    </border>
    <border>
      <left style="thin">
        <color theme="9" tint="0.39997558519241921"/>
      </left>
      <right style="thin">
        <color theme="9"/>
      </right>
      <top style="thin">
        <color theme="9" tint="0.39997558519241921"/>
      </top>
      <bottom/>
      <diagonal/>
    </border>
    <border>
      <left style="thin">
        <color theme="9"/>
      </left>
      <right style="thin">
        <color theme="9" tint="0.79998168889431442"/>
      </right>
      <top style="thin">
        <color theme="9" tint="0.79998168889431442"/>
      </top>
      <bottom/>
      <diagonal/>
    </border>
    <border>
      <left style="thin">
        <color theme="9" tint="0.39997558519241921"/>
      </left>
      <right style="thin">
        <color theme="9"/>
      </right>
      <top/>
      <bottom style="thin">
        <color theme="9" tint="0.79998168889431442"/>
      </bottom>
      <diagonal/>
    </border>
    <border>
      <left style="thin">
        <color theme="9"/>
      </left>
      <right style="thin">
        <color theme="9" tint="0.79998168889431442"/>
      </right>
      <top/>
      <bottom/>
      <diagonal/>
    </border>
    <border>
      <left style="thin">
        <color theme="9"/>
      </left>
      <right style="thin">
        <color theme="9" tint="0.79998168889431442"/>
      </right>
      <top/>
      <bottom style="thin">
        <color theme="9" tint="0.79998168889431442"/>
      </bottom>
      <diagonal/>
    </border>
    <border>
      <left style="thin">
        <color theme="9" tint="0.39997558519241921"/>
      </left>
      <right style="thin">
        <color theme="9" tint="0.39997558519241921"/>
      </right>
      <top/>
      <bottom style="thin">
        <color theme="2"/>
      </bottom>
      <diagonal/>
    </border>
    <border>
      <left/>
      <right/>
      <top style="thin">
        <color theme="9" tint="0.79998168889431442"/>
      </top>
      <bottom/>
      <diagonal/>
    </border>
    <border>
      <left/>
      <right/>
      <top/>
      <bottom style="thin">
        <color theme="9"/>
      </bottom>
      <diagonal/>
    </border>
  </borders>
  <cellStyleXfs count="9">
    <xf numFmtId="0" fontId="0" fillId="0" borderId="0"/>
    <xf numFmtId="41" fontId="1" fillId="0" borderId="0" applyFont="0" applyFill="0" applyBorder="0" applyAlignment="0" applyProtection="0"/>
    <xf numFmtId="166"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cellStyleXfs>
  <cellXfs count="1022">
    <xf numFmtId="0" fontId="0" fillId="0" borderId="0" xfId="0"/>
    <xf numFmtId="0" fontId="4" fillId="2" borderId="0" xfId="0" applyFont="1" applyFill="1" applyAlignment="1">
      <alignment horizontal="center" vertical="center"/>
    </xf>
    <xf numFmtId="0" fontId="6" fillId="2" borderId="0" xfId="0" applyFont="1" applyFill="1" applyAlignment="1">
      <alignment horizontal="center" vertical="center"/>
    </xf>
    <xf numFmtId="14" fontId="6" fillId="2" borderId="0" xfId="0" applyNumberFormat="1" applyFont="1" applyFill="1" applyAlignment="1">
      <alignment horizontal="center" vertical="center"/>
    </xf>
    <xf numFmtId="0" fontId="6" fillId="2" borderId="1" xfId="0" applyFont="1" applyFill="1" applyBorder="1" applyAlignment="1">
      <alignment horizontal="center" vertical="center"/>
    </xf>
    <xf numFmtId="14" fontId="6" fillId="2" borderId="1" xfId="0" applyNumberFormat="1" applyFont="1" applyFill="1" applyBorder="1" applyAlignment="1">
      <alignment horizontal="center" vertical="center"/>
    </xf>
    <xf numFmtId="0" fontId="2" fillId="2" borderId="0" xfId="0" applyFont="1" applyFill="1" applyAlignment="1">
      <alignment horizontal="center" vertical="center"/>
    </xf>
    <xf numFmtId="0" fontId="2" fillId="5" borderId="0" xfId="0" applyFont="1" applyFill="1" applyAlignment="1">
      <alignment horizontal="center" vertical="center"/>
    </xf>
    <xf numFmtId="0" fontId="2" fillId="4" borderId="9" xfId="0" applyFont="1" applyFill="1" applyBorder="1" applyAlignment="1">
      <alignment horizontal="center" vertical="center"/>
    </xf>
    <xf numFmtId="0" fontId="2" fillId="4" borderId="0" xfId="0" applyFont="1" applyFill="1" applyAlignment="1">
      <alignment horizontal="center" vertical="center"/>
    </xf>
    <xf numFmtId="0" fontId="2" fillId="5" borderId="15"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11" xfId="0" applyFont="1" applyFill="1" applyBorder="1" applyAlignment="1">
      <alignment horizontal="center" vertical="center" wrapText="1"/>
    </xf>
    <xf numFmtId="166" fontId="2" fillId="5" borderId="11" xfId="2" applyFont="1" applyFill="1" applyBorder="1" applyAlignment="1">
      <alignment horizontal="center" vertical="center"/>
    </xf>
    <xf numFmtId="0" fontId="4" fillId="7" borderId="19" xfId="0" applyFont="1" applyFill="1" applyBorder="1" applyAlignment="1">
      <alignment vertical="center" wrapText="1"/>
    </xf>
    <xf numFmtId="0" fontId="4" fillId="7" borderId="19" xfId="0" applyFont="1" applyFill="1" applyBorder="1" applyAlignment="1">
      <alignment horizontal="center" vertical="center" wrapText="1"/>
    </xf>
    <xf numFmtId="0" fontId="4" fillId="7" borderId="21" xfId="0" applyFont="1" applyFill="1" applyBorder="1" applyAlignment="1">
      <alignment horizontal="center" vertical="center" wrapText="1"/>
    </xf>
    <xf numFmtId="9" fontId="4" fillId="7" borderId="19" xfId="4" applyFont="1" applyFill="1" applyBorder="1" applyAlignment="1">
      <alignment horizontal="center" vertical="center" wrapText="1"/>
    </xf>
    <xf numFmtId="0" fontId="7" fillId="7" borderId="19" xfId="0" applyFont="1" applyFill="1" applyBorder="1" applyAlignment="1">
      <alignment horizontal="center" vertical="center" wrapText="1"/>
    </xf>
    <xf numFmtId="9" fontId="7" fillId="7" borderId="19" xfId="4" applyFont="1" applyFill="1" applyBorder="1" applyAlignment="1">
      <alignment horizontal="center" vertical="center" wrapText="1"/>
    </xf>
    <xf numFmtId="0" fontId="4" fillId="2" borderId="0" xfId="0" applyFont="1" applyFill="1" applyAlignment="1">
      <alignment horizontal="left" vertical="center"/>
    </xf>
    <xf numFmtId="0" fontId="4" fillId="7" borderId="0" xfId="0" applyFont="1" applyFill="1" applyAlignment="1">
      <alignment horizontal="left" vertical="center"/>
    </xf>
    <xf numFmtId="0" fontId="4" fillId="6" borderId="26" xfId="0" applyFont="1" applyFill="1" applyBorder="1" applyAlignment="1">
      <alignment vertical="center" wrapText="1"/>
    </xf>
    <xf numFmtId="0" fontId="4" fillId="6" borderId="26" xfId="0" applyFont="1" applyFill="1" applyBorder="1" applyAlignment="1">
      <alignment horizontal="center" vertical="center" wrapText="1"/>
    </xf>
    <xf numFmtId="0" fontId="4" fillId="6" borderId="0" xfId="0" applyFont="1" applyFill="1" applyAlignment="1">
      <alignment horizontal="center" vertical="center" wrapText="1"/>
    </xf>
    <xf numFmtId="0" fontId="4" fillId="6" borderId="30" xfId="0" applyFont="1" applyFill="1" applyBorder="1" applyAlignment="1">
      <alignment horizontal="center" vertical="center"/>
    </xf>
    <xf numFmtId="9" fontId="4" fillId="6" borderId="30" xfId="4" applyFont="1" applyFill="1" applyBorder="1" applyAlignment="1">
      <alignment horizontal="center" vertical="center"/>
    </xf>
    <xf numFmtId="0" fontId="4" fillId="6" borderId="30" xfId="0" applyFont="1" applyFill="1" applyBorder="1" applyAlignment="1">
      <alignment horizontal="center" vertical="center" wrapText="1"/>
    </xf>
    <xf numFmtId="0" fontId="7" fillId="6" borderId="30" xfId="0" applyFont="1" applyFill="1" applyBorder="1" applyAlignment="1">
      <alignment horizontal="center" vertical="center"/>
    </xf>
    <xf numFmtId="9" fontId="7" fillId="6" borderId="30" xfId="4" applyFont="1" applyFill="1" applyBorder="1" applyAlignment="1">
      <alignment horizontal="center" vertical="center"/>
    </xf>
    <xf numFmtId="0" fontId="7" fillId="6" borderId="30" xfId="0" applyFont="1" applyFill="1" applyBorder="1" applyAlignment="1">
      <alignment horizontal="center" vertical="center" wrapText="1"/>
    </xf>
    <xf numFmtId="0" fontId="4" fillId="6" borderId="0" xfId="0" applyFont="1" applyFill="1" applyAlignment="1">
      <alignment horizontal="left" vertical="center"/>
    </xf>
    <xf numFmtId="9" fontId="4" fillId="7" borderId="19" xfId="0" applyNumberFormat="1" applyFont="1" applyFill="1" applyBorder="1" applyAlignment="1">
      <alignment horizontal="center" vertical="center" wrapText="1"/>
    </xf>
    <xf numFmtId="0" fontId="4" fillId="8" borderId="31" xfId="0" applyFont="1" applyFill="1" applyBorder="1" applyAlignment="1">
      <alignment vertical="center" wrapText="1"/>
    </xf>
    <xf numFmtId="0" fontId="4" fillId="8" borderId="32" xfId="0" applyFont="1" applyFill="1" applyBorder="1" applyAlignment="1">
      <alignment vertical="center" wrapText="1"/>
    </xf>
    <xf numFmtId="0" fontId="4" fillId="8" borderId="32" xfId="0" applyFont="1" applyFill="1" applyBorder="1" applyAlignment="1">
      <alignment horizontal="center" vertical="center" wrapText="1"/>
    </xf>
    <xf numFmtId="0" fontId="4" fillId="8" borderId="33" xfId="0" applyFont="1" applyFill="1" applyBorder="1" applyAlignment="1">
      <alignment vertical="center" wrapText="1"/>
    </xf>
    <xf numFmtId="0" fontId="4" fillId="7" borderId="34" xfId="0" applyFont="1" applyFill="1" applyBorder="1" applyAlignment="1">
      <alignment horizontal="center" vertical="center" wrapText="1"/>
    </xf>
    <xf numFmtId="9" fontId="4" fillId="7" borderId="35" xfId="4" applyFont="1" applyFill="1" applyBorder="1" applyAlignment="1">
      <alignment horizontal="center" vertical="center" wrapText="1"/>
    </xf>
    <xf numFmtId="0" fontId="4" fillId="7" borderId="35" xfId="0" applyFont="1" applyFill="1" applyBorder="1" applyAlignment="1">
      <alignment horizontal="center" vertical="center" wrapText="1"/>
    </xf>
    <xf numFmtId="9" fontId="7" fillId="7" borderId="35" xfId="4" applyFont="1" applyFill="1" applyBorder="1" applyAlignment="1">
      <alignment horizontal="center" vertical="center" wrapText="1"/>
    </xf>
    <xf numFmtId="0" fontId="7" fillId="7" borderId="35" xfId="0" applyFont="1" applyFill="1" applyBorder="1" applyAlignment="1">
      <alignment horizontal="center" vertical="center" wrapText="1"/>
    </xf>
    <xf numFmtId="0" fontId="4" fillId="6" borderId="18" xfId="0" applyFont="1" applyFill="1" applyBorder="1" applyAlignment="1">
      <alignment vertical="center" wrapText="1"/>
    </xf>
    <xf numFmtId="0" fontId="4" fillId="6" borderId="18" xfId="0" applyFont="1" applyFill="1" applyBorder="1" applyAlignment="1">
      <alignment horizontal="center" vertical="center" wrapText="1"/>
    </xf>
    <xf numFmtId="9" fontId="4" fillId="6" borderId="26" xfId="4" applyFont="1" applyFill="1" applyBorder="1" applyAlignment="1">
      <alignment horizontal="center" vertical="center" wrapText="1"/>
    </xf>
    <xf numFmtId="0" fontId="4" fillId="6" borderId="40" xfId="0" applyFont="1" applyFill="1" applyBorder="1" applyAlignment="1">
      <alignment horizontal="center" vertical="center" wrapText="1"/>
    </xf>
    <xf numFmtId="0" fontId="4" fillId="6" borderId="26" xfId="0" applyFont="1" applyFill="1" applyBorder="1" applyAlignment="1">
      <alignment horizontal="center" vertical="center"/>
    </xf>
    <xf numFmtId="9" fontId="4" fillId="6" borderId="26" xfId="0" applyNumberFormat="1" applyFont="1" applyFill="1" applyBorder="1" applyAlignment="1">
      <alignment horizontal="center" vertical="center"/>
    </xf>
    <xf numFmtId="9" fontId="4" fillId="6" borderId="26" xfId="4" applyFont="1" applyFill="1" applyBorder="1" applyAlignment="1">
      <alignment horizontal="center" vertical="center"/>
    </xf>
    <xf numFmtId="9" fontId="7" fillId="6" borderId="26" xfId="4" applyFont="1" applyFill="1" applyBorder="1" applyAlignment="1">
      <alignment horizontal="center" vertical="center"/>
    </xf>
    <xf numFmtId="9" fontId="7" fillId="6" borderId="26" xfId="0" applyNumberFormat="1" applyFont="1" applyFill="1" applyBorder="1" applyAlignment="1">
      <alignment horizontal="center" vertical="center"/>
    </xf>
    <xf numFmtId="0" fontId="7" fillId="6" borderId="26" xfId="0" applyFont="1" applyFill="1" applyBorder="1" applyAlignment="1">
      <alignment horizontal="center" vertical="center" wrapText="1"/>
    </xf>
    <xf numFmtId="0" fontId="4" fillId="2" borderId="0" xfId="0" applyFont="1" applyFill="1" applyAlignment="1">
      <alignment vertical="center" wrapText="1"/>
    </xf>
    <xf numFmtId="0" fontId="4" fillId="2" borderId="0" xfId="0" applyFont="1" applyFill="1" applyAlignment="1">
      <alignment horizontal="center" vertical="center" wrapText="1"/>
    </xf>
    <xf numFmtId="167" fontId="4" fillId="2" borderId="0" xfId="2" applyNumberFormat="1" applyFont="1" applyFill="1" applyAlignment="1">
      <alignment vertical="center" wrapText="1"/>
    </xf>
    <xf numFmtId="10" fontId="9" fillId="9" borderId="30" xfId="0" applyNumberFormat="1" applyFont="1" applyFill="1" applyBorder="1" applyAlignment="1">
      <alignment horizontal="center" vertical="center" wrapText="1"/>
    </xf>
    <xf numFmtId="0" fontId="4" fillId="2" borderId="30" xfId="0" applyFont="1" applyFill="1" applyBorder="1" applyAlignment="1">
      <alignment horizontal="left" vertical="center" wrapText="1"/>
    </xf>
    <xf numFmtId="10" fontId="9" fillId="9" borderId="26" xfId="0" applyNumberFormat="1" applyFont="1" applyFill="1" applyBorder="1" applyAlignment="1">
      <alignment horizontal="center" vertical="center" wrapText="1"/>
    </xf>
    <xf numFmtId="0" fontId="4" fillId="2" borderId="6" xfId="0" applyFont="1" applyFill="1" applyBorder="1" applyAlignment="1">
      <alignment horizontal="center" vertical="center" wrapText="1"/>
    </xf>
    <xf numFmtId="10" fontId="11" fillId="9" borderId="30" xfId="0" applyNumberFormat="1" applyFont="1" applyFill="1" applyBorder="1" applyAlignment="1">
      <alignment horizontal="center" vertical="center" wrapText="1"/>
    </xf>
    <xf numFmtId="0" fontId="7" fillId="2" borderId="30" xfId="0" applyFont="1" applyFill="1" applyBorder="1" applyAlignment="1">
      <alignment horizontal="left" vertical="center" wrapText="1"/>
    </xf>
    <xf numFmtId="10" fontId="11" fillId="9" borderId="26" xfId="0" applyNumberFormat="1" applyFont="1" applyFill="1" applyBorder="1" applyAlignment="1">
      <alignment horizontal="center" vertical="center" wrapText="1"/>
    </xf>
    <xf numFmtId="0" fontId="7" fillId="2" borderId="6" xfId="0" applyFont="1" applyFill="1" applyBorder="1" applyAlignment="1">
      <alignment horizontal="center" vertical="center" wrapText="1"/>
    </xf>
    <xf numFmtId="0" fontId="4" fillId="6" borderId="45" xfId="0" applyFont="1" applyFill="1" applyBorder="1" applyAlignment="1">
      <alignment vertical="center" wrapText="1"/>
    </xf>
    <xf numFmtId="0" fontId="4" fillId="6" borderId="45" xfId="0" applyFont="1" applyFill="1" applyBorder="1" applyAlignment="1">
      <alignment horizontal="center" vertical="center" wrapText="1"/>
    </xf>
    <xf numFmtId="9" fontId="4" fillId="6" borderId="45" xfId="4" applyFont="1" applyFill="1" applyBorder="1" applyAlignment="1">
      <alignment horizontal="center" vertical="center" wrapText="1"/>
    </xf>
    <xf numFmtId="0" fontId="7" fillId="6" borderId="45" xfId="0" applyFont="1" applyFill="1" applyBorder="1" applyAlignment="1">
      <alignment horizontal="center" vertical="center" wrapText="1"/>
    </xf>
    <xf numFmtId="9" fontId="7" fillId="6" borderId="45" xfId="4" applyFont="1" applyFill="1" applyBorder="1" applyAlignment="1">
      <alignment horizontal="center" vertical="center" wrapText="1"/>
    </xf>
    <xf numFmtId="0" fontId="4" fillId="2" borderId="0" xfId="0" applyFont="1" applyFill="1" applyAlignment="1">
      <alignment horizontal="left" vertical="center" wrapText="1"/>
    </xf>
    <xf numFmtId="0" fontId="4" fillId="6" borderId="0" xfId="0" applyFont="1" applyFill="1" applyAlignment="1">
      <alignment horizontal="left" vertical="center" wrapText="1"/>
    </xf>
    <xf numFmtId="0" fontId="4" fillId="7" borderId="45" xfId="0" applyFont="1" applyFill="1" applyBorder="1" applyAlignment="1">
      <alignment vertical="center" wrapText="1"/>
    </xf>
    <xf numFmtId="0" fontId="4" fillId="7" borderId="45" xfId="0" applyFont="1" applyFill="1" applyBorder="1" applyAlignment="1">
      <alignment horizontal="center" vertical="center" wrapText="1"/>
    </xf>
    <xf numFmtId="0" fontId="4" fillId="7" borderId="16" xfId="0" applyFont="1" applyFill="1" applyBorder="1" applyAlignment="1">
      <alignment horizontal="center" vertical="center" wrapText="1"/>
    </xf>
    <xf numFmtId="9" fontId="4" fillId="7" borderId="45" xfId="4" applyFont="1" applyFill="1" applyBorder="1" applyAlignment="1">
      <alignment horizontal="center" vertical="center" wrapText="1"/>
    </xf>
    <xf numFmtId="0" fontId="7" fillId="7" borderId="45" xfId="0" applyFont="1" applyFill="1" applyBorder="1" applyAlignment="1">
      <alignment horizontal="center" vertical="center" wrapText="1"/>
    </xf>
    <xf numFmtId="9" fontId="7" fillId="7" borderId="45" xfId="4" applyFont="1" applyFill="1" applyBorder="1" applyAlignment="1">
      <alignment horizontal="center" vertical="center" wrapText="1"/>
    </xf>
    <xf numFmtId="0" fontId="4" fillId="7" borderId="0" xfId="0" applyFont="1" applyFill="1" applyAlignment="1">
      <alignment horizontal="left" vertical="center" wrapText="1"/>
    </xf>
    <xf numFmtId="0" fontId="4" fillId="7" borderId="45" xfId="0" applyFont="1" applyFill="1" applyBorder="1" applyAlignment="1">
      <alignment horizontal="center" vertical="center" wrapText="1"/>
    </xf>
    <xf numFmtId="9" fontId="4" fillId="7" borderId="45" xfId="4" applyFont="1" applyFill="1" applyBorder="1" applyAlignment="1">
      <alignment horizontal="center" vertical="center" wrapText="1"/>
    </xf>
    <xf numFmtId="9" fontId="4" fillId="6" borderId="45" xfId="0" applyNumberFormat="1" applyFont="1" applyFill="1" applyBorder="1" applyAlignment="1">
      <alignment horizontal="center" vertical="center" wrapText="1"/>
    </xf>
    <xf numFmtId="9" fontId="7" fillId="6" borderId="45" xfId="0" applyNumberFormat="1" applyFont="1" applyFill="1" applyBorder="1" applyAlignment="1">
      <alignment horizontal="center" vertical="center" wrapText="1"/>
    </xf>
    <xf numFmtId="9" fontId="4" fillId="7" borderId="45" xfId="0" applyNumberFormat="1" applyFont="1" applyFill="1" applyBorder="1" applyAlignment="1">
      <alignment horizontal="center" vertical="center" wrapText="1"/>
    </xf>
    <xf numFmtId="9" fontId="7" fillId="7" borderId="45" xfId="0" applyNumberFormat="1" applyFont="1" applyFill="1" applyBorder="1" applyAlignment="1">
      <alignment horizontal="center" vertical="center" wrapText="1"/>
    </xf>
    <xf numFmtId="0" fontId="4" fillId="6" borderId="45" xfId="0" applyFont="1" applyFill="1" applyBorder="1" applyAlignment="1">
      <alignment horizontal="center" vertical="center"/>
    </xf>
    <xf numFmtId="0" fontId="4" fillId="6" borderId="45" xfId="0" applyFont="1" applyFill="1" applyBorder="1" applyAlignment="1">
      <alignment vertical="center"/>
    </xf>
    <xf numFmtId="9" fontId="4" fillId="6" borderId="45" xfId="4" applyFont="1" applyFill="1" applyBorder="1" applyAlignment="1">
      <alignment horizontal="center" vertical="center"/>
    </xf>
    <xf numFmtId="0" fontId="7" fillId="6" borderId="45" xfId="0" applyFont="1" applyFill="1" applyBorder="1" applyAlignment="1">
      <alignment horizontal="center" vertical="center"/>
    </xf>
    <xf numFmtId="9" fontId="7" fillId="6" borderId="45" xfId="4" applyFont="1" applyFill="1" applyBorder="1" applyAlignment="1">
      <alignment horizontal="center" vertical="center"/>
    </xf>
    <xf numFmtId="0" fontId="4" fillId="0" borderId="0" xfId="0" applyFont="1" applyAlignment="1">
      <alignment horizontal="left" vertical="center"/>
    </xf>
    <xf numFmtId="166" fontId="4" fillId="2" borderId="0" xfId="2" applyFont="1" applyFill="1" applyAlignment="1">
      <alignment vertical="center" wrapText="1"/>
    </xf>
    <xf numFmtId="0" fontId="4" fillId="6" borderId="27" xfId="0" applyFont="1" applyFill="1" applyBorder="1" applyAlignment="1">
      <alignment horizontal="center" vertical="center" wrapText="1"/>
    </xf>
    <xf numFmtId="167" fontId="4" fillId="6" borderId="45" xfId="2" applyNumberFormat="1" applyFont="1" applyFill="1" applyBorder="1" applyAlignment="1">
      <alignment horizontal="center" vertical="center" wrapText="1"/>
    </xf>
    <xf numFmtId="0" fontId="7" fillId="6" borderId="45" xfId="0" applyFont="1" applyFill="1" applyBorder="1" applyAlignment="1">
      <alignment vertical="center" wrapText="1"/>
    </xf>
    <xf numFmtId="0" fontId="4" fillId="7" borderId="11" xfId="0" applyFont="1" applyFill="1" applyBorder="1" applyAlignment="1">
      <alignment horizontal="center" vertical="center" wrapText="1"/>
    </xf>
    <xf numFmtId="0" fontId="4" fillId="7" borderId="43" xfId="0" applyFont="1" applyFill="1" applyBorder="1" applyAlignment="1">
      <alignment horizontal="center" vertical="center" wrapText="1"/>
    </xf>
    <xf numFmtId="10" fontId="4" fillId="7" borderId="45" xfId="4" applyNumberFormat="1" applyFont="1" applyFill="1" applyBorder="1" applyAlignment="1">
      <alignment horizontal="center" vertical="center" wrapText="1"/>
    </xf>
    <xf numFmtId="0" fontId="7" fillId="7" borderId="45" xfId="0" applyFont="1" applyFill="1" applyBorder="1" applyAlignment="1">
      <alignment vertical="center" wrapText="1"/>
    </xf>
    <xf numFmtId="0" fontId="4" fillId="2" borderId="26" xfId="0" applyFont="1" applyFill="1" applyBorder="1" applyAlignment="1">
      <alignment horizontal="left" vertical="center" wrapText="1"/>
    </xf>
    <xf numFmtId="0" fontId="7" fillId="2" borderId="26" xfId="0" applyFont="1" applyFill="1" applyBorder="1" applyAlignment="1">
      <alignment horizontal="left" vertical="center" wrapText="1"/>
    </xf>
    <xf numFmtId="0" fontId="4" fillId="7" borderId="11" xfId="0" applyFont="1" applyFill="1" applyBorder="1" applyAlignment="1">
      <alignment vertical="center" wrapText="1"/>
    </xf>
    <xf numFmtId="9" fontId="4" fillId="7" borderId="11" xfId="4" applyFont="1" applyFill="1" applyBorder="1" applyAlignment="1">
      <alignment horizontal="center" vertical="center" wrapText="1"/>
    </xf>
    <xf numFmtId="0" fontId="7" fillId="7" borderId="11" xfId="0" applyFont="1" applyFill="1" applyBorder="1" applyAlignment="1">
      <alignment horizontal="center" vertical="center" wrapText="1"/>
    </xf>
    <xf numFmtId="9" fontId="7" fillId="7" borderId="11" xfId="4" applyFont="1" applyFill="1" applyBorder="1" applyAlignment="1">
      <alignment horizontal="center" vertical="center" wrapText="1"/>
    </xf>
    <xf numFmtId="0" fontId="7" fillId="7" borderId="11" xfId="0" applyFont="1" applyFill="1" applyBorder="1" applyAlignment="1">
      <alignment vertical="center" wrapText="1"/>
    </xf>
    <xf numFmtId="9" fontId="4" fillId="6" borderId="27" xfId="0" applyNumberFormat="1" applyFont="1" applyFill="1" applyBorder="1" applyAlignment="1">
      <alignment horizontal="center" vertical="center" wrapText="1"/>
    </xf>
    <xf numFmtId="167" fontId="4" fillId="6" borderId="27" xfId="2" applyNumberFormat="1" applyFont="1" applyFill="1" applyBorder="1" applyAlignment="1">
      <alignment horizontal="center" vertical="center" wrapText="1"/>
    </xf>
    <xf numFmtId="9" fontId="4" fillId="6" borderId="27" xfId="4" applyFont="1" applyFill="1" applyBorder="1" applyAlignment="1">
      <alignment horizontal="center" vertical="center"/>
    </xf>
    <xf numFmtId="9" fontId="4" fillId="6" borderId="27" xfId="0" applyNumberFormat="1" applyFont="1" applyFill="1" applyBorder="1" applyAlignment="1">
      <alignment horizontal="center" vertical="center"/>
    </xf>
    <xf numFmtId="0" fontId="4" fillId="6" borderId="30" xfId="0" applyFont="1" applyFill="1" applyBorder="1" applyAlignment="1">
      <alignment vertical="center" wrapText="1"/>
    </xf>
    <xf numFmtId="9" fontId="7" fillId="6" borderId="27" xfId="4" applyFont="1" applyFill="1" applyBorder="1" applyAlignment="1">
      <alignment horizontal="center" vertical="center"/>
    </xf>
    <xf numFmtId="9" fontId="7" fillId="6" borderId="27" xfId="0" applyNumberFormat="1" applyFont="1" applyFill="1" applyBorder="1" applyAlignment="1">
      <alignment horizontal="center" vertical="center"/>
    </xf>
    <xf numFmtId="0" fontId="7" fillId="6" borderId="30" xfId="0" applyFont="1" applyFill="1" applyBorder="1" applyAlignment="1">
      <alignment vertical="center" wrapText="1"/>
    </xf>
    <xf numFmtId="0" fontId="12" fillId="3" borderId="45" xfId="0" applyFont="1" applyFill="1" applyBorder="1" applyAlignment="1">
      <alignment horizontal="center" vertical="center" wrapText="1"/>
    </xf>
    <xf numFmtId="9" fontId="12" fillId="3" borderId="45" xfId="0" applyNumberFormat="1" applyFont="1" applyFill="1" applyBorder="1" applyAlignment="1">
      <alignment horizontal="center" vertical="center" wrapText="1"/>
    </xf>
    <xf numFmtId="9" fontId="12" fillId="10" borderId="56" xfId="0" applyNumberFormat="1" applyFont="1" applyFill="1" applyBorder="1" applyAlignment="1">
      <alignment horizontal="center" vertical="center" wrapText="1"/>
    </xf>
    <xf numFmtId="9" fontId="12" fillId="3" borderId="45" xfId="4" applyFont="1" applyFill="1" applyBorder="1" applyAlignment="1">
      <alignment horizontal="center" vertical="center" wrapText="1"/>
    </xf>
    <xf numFmtId="0" fontId="12" fillId="10" borderId="56" xfId="0" applyFont="1" applyFill="1" applyBorder="1" applyAlignment="1">
      <alignment horizontal="center" vertical="center" wrapText="1"/>
    </xf>
    <xf numFmtId="9" fontId="4" fillId="6" borderId="45" xfId="0" applyNumberFormat="1" applyFont="1" applyFill="1" applyBorder="1" applyAlignment="1">
      <alignment horizontal="center" vertical="center"/>
    </xf>
    <xf numFmtId="9" fontId="7" fillId="6" borderId="45" xfId="0" applyNumberFormat="1" applyFont="1" applyFill="1" applyBorder="1" applyAlignment="1">
      <alignment horizontal="center" vertical="center"/>
    </xf>
    <xf numFmtId="9" fontId="12" fillId="10" borderId="56" xfId="0" applyNumberFormat="1" applyFont="1" applyFill="1" applyBorder="1" applyAlignment="1">
      <alignment horizontal="center" vertical="center"/>
    </xf>
    <xf numFmtId="9" fontId="12" fillId="3" borderId="45" xfId="0" applyNumberFormat="1" applyFont="1" applyFill="1" applyBorder="1" applyAlignment="1">
      <alignment horizontal="center" vertical="center"/>
    </xf>
    <xf numFmtId="9" fontId="12" fillId="3" borderId="45" xfId="4" applyFont="1" applyFill="1" applyBorder="1" applyAlignment="1">
      <alignment horizontal="center" vertical="center"/>
    </xf>
    <xf numFmtId="168" fontId="4" fillId="7" borderId="45" xfId="4" applyNumberFormat="1" applyFont="1" applyFill="1" applyBorder="1" applyAlignment="1">
      <alignment horizontal="center" vertical="center" wrapText="1"/>
    </xf>
    <xf numFmtId="168" fontId="7" fillId="7" borderId="45" xfId="4" applyNumberFormat="1" applyFont="1" applyFill="1" applyBorder="1" applyAlignment="1">
      <alignment horizontal="center" vertical="center" wrapText="1"/>
    </xf>
    <xf numFmtId="10" fontId="12" fillId="10" borderId="56" xfId="0" applyNumberFormat="1" applyFont="1" applyFill="1" applyBorder="1" applyAlignment="1">
      <alignment horizontal="center" vertical="center" wrapText="1"/>
    </xf>
    <xf numFmtId="168" fontId="7" fillId="6" borderId="45" xfId="4" applyNumberFormat="1" applyFont="1" applyFill="1" applyBorder="1" applyAlignment="1">
      <alignment horizontal="center" vertical="center"/>
    </xf>
    <xf numFmtId="0" fontId="4" fillId="2" borderId="45" xfId="0" applyFont="1" applyFill="1" applyBorder="1" applyAlignment="1">
      <alignment horizontal="left" vertical="center"/>
    </xf>
    <xf numFmtId="0" fontId="7" fillId="2" borderId="0" xfId="0" applyFont="1" applyFill="1" applyAlignment="1">
      <alignment horizontal="center" vertical="center" wrapText="1"/>
    </xf>
    <xf numFmtId="0" fontId="12" fillId="2" borderId="0" xfId="0" applyFont="1" applyFill="1" applyAlignment="1">
      <alignment horizontal="left" vertical="center"/>
    </xf>
    <xf numFmtId="0" fontId="12" fillId="2" borderId="0" xfId="0" applyFont="1" applyFill="1" applyAlignment="1">
      <alignment horizontal="center" vertical="center"/>
    </xf>
    <xf numFmtId="166" fontId="12" fillId="2" borderId="0" xfId="2" applyFont="1" applyFill="1" applyAlignment="1">
      <alignment horizontal="left" vertical="center"/>
    </xf>
    <xf numFmtId="0" fontId="7" fillId="2" borderId="0" xfId="0" applyFont="1" applyFill="1" applyAlignment="1">
      <alignment horizontal="left" vertical="center"/>
    </xf>
    <xf numFmtId="0" fontId="7" fillId="2" borderId="0" xfId="0" applyFont="1" applyFill="1" applyAlignment="1">
      <alignment horizontal="center" vertical="center"/>
    </xf>
    <xf numFmtId="166" fontId="4" fillId="2" borderId="0" xfId="2" applyFont="1" applyFill="1" applyAlignment="1">
      <alignment horizontal="left" vertical="center"/>
    </xf>
    <xf numFmtId="0" fontId="4"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center" vertical="center"/>
    </xf>
    <xf numFmtId="166" fontId="4" fillId="0" borderId="0" xfId="2" applyFont="1" applyAlignment="1">
      <alignment horizontal="left" vertical="center"/>
    </xf>
    <xf numFmtId="0" fontId="6" fillId="2" borderId="1" xfId="0" applyFont="1" applyFill="1" applyBorder="1" applyAlignment="1">
      <alignment horizontal="center" vertical="center" wrapText="1"/>
    </xf>
    <xf numFmtId="14" fontId="6" fillId="2" borderId="1" xfId="0" applyNumberFormat="1" applyFont="1" applyFill="1" applyBorder="1" applyAlignment="1">
      <alignment horizontal="center" vertical="center" wrapText="1"/>
    </xf>
    <xf numFmtId="44" fontId="2" fillId="5" borderId="15" xfId="5" applyFont="1" applyFill="1" applyBorder="1" applyAlignment="1">
      <alignment horizontal="center" vertical="center"/>
    </xf>
    <xf numFmtId="0" fontId="4" fillId="7" borderId="15" xfId="0" applyFont="1" applyFill="1" applyBorder="1" applyAlignment="1">
      <alignment horizontal="left" vertical="center" wrapText="1"/>
    </xf>
    <xf numFmtId="0" fontId="4" fillId="7" borderId="15" xfId="0" applyFont="1" applyFill="1" applyBorder="1" applyAlignment="1">
      <alignment horizontal="left" vertical="center"/>
    </xf>
    <xf numFmtId="0" fontId="4" fillId="7" borderId="15" xfId="0" applyFont="1" applyFill="1" applyBorder="1" applyAlignment="1">
      <alignment horizontal="center" vertical="center"/>
    </xf>
    <xf numFmtId="1" fontId="4" fillId="7" borderId="15" xfId="4" applyNumberFormat="1" applyFont="1" applyFill="1" applyBorder="1" applyAlignment="1">
      <alignment horizontal="center" vertical="center"/>
    </xf>
    <xf numFmtId="9" fontId="4" fillId="7" borderId="15" xfId="4" applyFont="1" applyFill="1" applyBorder="1" applyAlignment="1">
      <alignment horizontal="center" vertical="center"/>
    </xf>
    <xf numFmtId="0" fontId="4" fillId="6" borderId="15" xfId="0" applyFont="1" applyFill="1" applyBorder="1" applyAlignment="1">
      <alignment horizontal="left" vertical="center"/>
    </xf>
    <xf numFmtId="0" fontId="4" fillId="6" borderId="15" xfId="0" applyFont="1" applyFill="1" applyBorder="1" applyAlignment="1">
      <alignment horizontal="left" vertical="center" wrapText="1"/>
    </xf>
    <xf numFmtId="0" fontId="4" fillId="6" borderId="15" xfId="0" applyFont="1" applyFill="1" applyBorder="1" applyAlignment="1">
      <alignment horizontal="center" vertical="center"/>
    </xf>
    <xf numFmtId="9" fontId="4" fillId="6" borderId="15" xfId="4" applyFont="1" applyFill="1" applyBorder="1" applyAlignment="1">
      <alignment horizontal="center" vertical="center"/>
    </xf>
    <xf numFmtId="0" fontId="4" fillId="6" borderId="11" xfId="0" applyFont="1" applyFill="1" applyBorder="1" applyAlignment="1">
      <alignment horizontal="center" vertical="center" wrapText="1"/>
    </xf>
    <xf numFmtId="9" fontId="4" fillId="6" borderId="15" xfId="0" applyNumberFormat="1" applyFont="1" applyFill="1" applyBorder="1" applyAlignment="1">
      <alignment horizontal="center" vertical="center"/>
    </xf>
    <xf numFmtId="0" fontId="4" fillId="6" borderId="11" xfId="0" applyFont="1" applyFill="1" applyBorder="1" applyAlignment="1">
      <alignment horizontal="center" vertical="center"/>
    </xf>
    <xf numFmtId="9" fontId="4" fillId="6" borderId="11" xfId="4" applyFont="1" applyFill="1" applyBorder="1" applyAlignment="1">
      <alignment horizontal="center" vertical="center"/>
    </xf>
    <xf numFmtId="0" fontId="4" fillId="6" borderId="15" xfId="0" applyFont="1" applyFill="1" applyBorder="1" applyAlignment="1">
      <alignment horizontal="center" vertical="center" wrapText="1"/>
    </xf>
    <xf numFmtId="0" fontId="4" fillId="7" borderId="15" xfId="0" applyFont="1" applyFill="1" applyBorder="1" applyAlignment="1">
      <alignment horizontal="center" vertical="center" wrapText="1"/>
    </xf>
    <xf numFmtId="0" fontId="4" fillId="7" borderId="11" xfId="0" applyFont="1" applyFill="1" applyBorder="1" applyAlignment="1">
      <alignment horizontal="center" vertical="center"/>
    </xf>
    <xf numFmtId="0" fontId="14" fillId="7" borderId="0" xfId="0" applyFont="1" applyFill="1" applyAlignment="1">
      <alignment horizontal="center" vertical="center"/>
    </xf>
    <xf numFmtId="0" fontId="4" fillId="7" borderId="0" xfId="0" applyFont="1" applyFill="1" applyAlignment="1">
      <alignment horizontal="center" vertical="center"/>
    </xf>
    <xf numFmtId="9" fontId="4" fillId="7" borderId="0" xfId="4" applyFont="1" applyFill="1" applyAlignment="1">
      <alignment horizontal="center" vertical="center"/>
    </xf>
    <xf numFmtId="0" fontId="4" fillId="7" borderId="0" xfId="0" applyFont="1" applyFill="1" applyAlignment="1">
      <alignment horizontal="center" vertical="center" wrapText="1"/>
    </xf>
    <xf numFmtId="1" fontId="4" fillId="6" borderId="15" xfId="0" applyNumberFormat="1" applyFont="1" applyFill="1" applyBorder="1" applyAlignment="1">
      <alignment horizontal="center" vertical="center"/>
    </xf>
    <xf numFmtId="0" fontId="4" fillId="6" borderId="0" xfId="0" applyFont="1" applyFill="1" applyAlignment="1">
      <alignment horizontal="center" vertical="center"/>
    </xf>
    <xf numFmtId="10" fontId="4" fillId="6" borderId="0" xfId="0" applyNumberFormat="1" applyFont="1" applyFill="1" applyAlignment="1">
      <alignment horizontal="center" vertical="center"/>
    </xf>
    <xf numFmtId="1" fontId="4" fillId="7" borderId="15" xfId="0" applyNumberFormat="1" applyFont="1" applyFill="1" applyBorder="1" applyAlignment="1">
      <alignment horizontal="center" vertical="center"/>
    </xf>
    <xf numFmtId="0" fontId="4" fillId="6" borderId="57" xfId="0" applyFont="1" applyFill="1" applyBorder="1" applyAlignment="1">
      <alignment horizontal="center" vertical="center" wrapText="1"/>
    </xf>
    <xf numFmtId="10" fontId="4" fillId="7" borderId="0" xfId="0" applyNumberFormat="1" applyFont="1" applyFill="1" applyAlignment="1">
      <alignment horizontal="center" vertical="center"/>
    </xf>
    <xf numFmtId="0" fontId="4" fillId="7" borderId="57" xfId="0" applyFont="1" applyFill="1" applyBorder="1" applyAlignment="1">
      <alignment horizontal="center" vertical="center"/>
    </xf>
    <xf numFmtId="0" fontId="4" fillId="6" borderId="11" xfId="0" applyFont="1" applyFill="1" applyBorder="1" applyAlignment="1">
      <alignment vertical="center" wrapText="1"/>
    </xf>
    <xf numFmtId="9" fontId="4" fillId="6" borderId="0" xfId="4" applyFont="1" applyFill="1" applyAlignment="1">
      <alignment horizontal="center" vertical="center"/>
    </xf>
    <xf numFmtId="0" fontId="4" fillId="7" borderId="7" xfId="0" applyFont="1" applyFill="1" applyBorder="1" applyAlignment="1">
      <alignment horizontal="left" vertical="center" wrapText="1"/>
    </xf>
    <xf numFmtId="0" fontId="4" fillId="7" borderId="7" xfId="0" applyFont="1" applyFill="1" applyBorder="1" applyAlignment="1">
      <alignment horizontal="center" vertical="center" wrapText="1"/>
    </xf>
    <xf numFmtId="0" fontId="4" fillId="7" borderId="7" xfId="0" applyFont="1" applyFill="1" applyBorder="1" applyAlignment="1">
      <alignment horizontal="center" vertical="center"/>
    </xf>
    <xf numFmtId="9" fontId="4" fillId="7" borderId="7" xfId="4" applyFont="1" applyFill="1" applyBorder="1" applyAlignment="1">
      <alignment horizontal="center" vertical="center"/>
    </xf>
    <xf numFmtId="9" fontId="4" fillId="7" borderId="15" xfId="0" applyNumberFormat="1" applyFont="1" applyFill="1" applyBorder="1" applyAlignment="1">
      <alignment horizontal="center" vertical="center"/>
    </xf>
    <xf numFmtId="9" fontId="4" fillId="7" borderId="0" xfId="0" applyNumberFormat="1" applyFont="1" applyFill="1" applyAlignment="1">
      <alignment horizontal="center" vertical="center"/>
    </xf>
    <xf numFmtId="9" fontId="4" fillId="6" borderId="0" xfId="0" applyNumberFormat="1" applyFont="1" applyFill="1" applyAlignment="1">
      <alignment horizontal="center" vertical="center"/>
    </xf>
    <xf numFmtId="0" fontId="4" fillId="6" borderId="57" xfId="0" applyFont="1" applyFill="1" applyBorder="1" applyAlignment="1">
      <alignment horizontal="center" vertical="center"/>
    </xf>
    <xf numFmtId="0" fontId="4" fillId="7" borderId="12" xfId="0" applyFont="1" applyFill="1" applyBorder="1" applyAlignment="1">
      <alignment horizontal="center" vertical="center"/>
    </xf>
    <xf numFmtId="9" fontId="4" fillId="7" borderId="12" xfId="4" applyFont="1" applyFill="1" applyBorder="1" applyAlignment="1">
      <alignment horizontal="center" vertical="center"/>
    </xf>
    <xf numFmtId="9" fontId="4" fillId="6" borderId="0" xfId="4" applyFont="1" applyFill="1" applyAlignment="1">
      <alignment horizontal="left" vertical="center"/>
    </xf>
    <xf numFmtId="0" fontId="4" fillId="6" borderId="57" xfId="0" applyFont="1" applyFill="1" applyBorder="1" applyAlignment="1">
      <alignment horizontal="left" vertical="center" wrapText="1"/>
    </xf>
    <xf numFmtId="168" fontId="4" fillId="7" borderId="0" xfId="0" applyNumberFormat="1" applyFont="1" applyFill="1" applyAlignment="1">
      <alignment horizontal="center" vertical="center"/>
    </xf>
    <xf numFmtId="0" fontId="4" fillId="7" borderId="57" xfId="0" applyFont="1" applyFill="1" applyBorder="1" applyAlignment="1">
      <alignment horizontal="left" vertical="center" wrapText="1"/>
    </xf>
    <xf numFmtId="165" fontId="4" fillId="6" borderId="0" xfId="7" applyFont="1" applyFill="1" applyAlignment="1">
      <alignment horizontal="center" vertical="center"/>
    </xf>
    <xf numFmtId="9" fontId="4" fillId="6" borderId="0" xfId="7" applyNumberFormat="1" applyFont="1" applyFill="1" applyAlignment="1">
      <alignment horizontal="center" vertical="center"/>
    </xf>
    <xf numFmtId="9" fontId="4" fillId="6" borderId="58" xfId="7" applyNumberFormat="1" applyFont="1" applyFill="1" applyBorder="1" applyAlignment="1">
      <alignment horizontal="center" vertical="center"/>
    </xf>
    <xf numFmtId="0" fontId="4" fillId="6" borderId="11" xfId="0" applyFont="1" applyFill="1" applyBorder="1" applyAlignment="1">
      <alignment vertical="center"/>
    </xf>
    <xf numFmtId="9" fontId="4" fillId="6" borderId="0" xfId="7" applyNumberFormat="1" applyFont="1" applyFill="1" applyAlignment="1">
      <alignment horizontal="center" vertical="center" wrapText="1"/>
    </xf>
    <xf numFmtId="9" fontId="4" fillId="7" borderId="0" xfId="4" applyFont="1" applyFill="1" applyAlignment="1">
      <alignment vertical="center"/>
    </xf>
    <xf numFmtId="1" fontId="4" fillId="6" borderId="11" xfId="4" applyNumberFormat="1" applyFont="1" applyFill="1" applyBorder="1" applyAlignment="1">
      <alignment horizontal="center" vertical="center"/>
    </xf>
    <xf numFmtId="1" fontId="4" fillId="6" borderId="0" xfId="0" applyNumberFormat="1" applyFont="1" applyFill="1" applyAlignment="1">
      <alignment horizontal="left" vertical="center"/>
    </xf>
    <xf numFmtId="1" fontId="4" fillId="0" borderId="0" xfId="0" applyNumberFormat="1" applyFont="1" applyAlignment="1">
      <alignment horizontal="left" vertical="center"/>
    </xf>
    <xf numFmtId="0" fontId="4" fillId="0" borderId="0" xfId="0" applyFont="1" applyAlignment="1">
      <alignment horizontal="left" vertical="center" wrapText="1"/>
    </xf>
    <xf numFmtId="0" fontId="2" fillId="0" borderId="0" xfId="0" applyFont="1" applyAlignment="1">
      <alignment horizontal="center" vertical="center" wrapText="1"/>
    </xf>
    <xf numFmtId="0" fontId="2" fillId="5" borderId="0" xfId="0" applyFont="1" applyFill="1" applyAlignment="1">
      <alignment horizontal="center" vertical="center" wrapText="1"/>
    </xf>
    <xf numFmtId="0" fontId="2" fillId="4" borderId="9" xfId="0" applyFont="1" applyFill="1" applyBorder="1" applyAlignment="1">
      <alignment horizontal="center" vertical="center" wrapText="1"/>
    </xf>
    <xf numFmtId="0" fontId="2" fillId="4" borderId="0" xfId="0" applyFont="1" applyFill="1" applyAlignment="1">
      <alignment horizontal="center" vertical="center" wrapText="1"/>
    </xf>
    <xf numFmtId="44" fontId="2" fillId="5" borderId="11" xfId="5" applyFont="1" applyFill="1" applyBorder="1" applyAlignment="1">
      <alignment horizontal="center" vertical="center" wrapText="1"/>
    </xf>
    <xf numFmtId="0" fontId="2" fillId="5" borderId="4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15" fillId="7" borderId="1" xfId="0" applyFont="1" applyFill="1" applyBorder="1" applyAlignment="1">
      <alignment vertical="center" wrapText="1"/>
    </xf>
    <xf numFmtId="0" fontId="16" fillId="7" borderId="1" xfId="0" applyFont="1" applyFill="1" applyBorder="1" applyAlignment="1">
      <alignment vertical="center" wrapText="1"/>
    </xf>
    <xf numFmtId="9" fontId="16" fillId="7" borderId="1" xfId="0" applyNumberFormat="1" applyFont="1" applyFill="1" applyBorder="1" applyAlignment="1">
      <alignment vertical="center" wrapText="1"/>
    </xf>
    <xf numFmtId="0" fontId="16" fillId="7" borderId="60" xfId="0" applyFont="1" applyFill="1" applyBorder="1" applyAlignment="1">
      <alignment vertical="center" wrapText="1"/>
    </xf>
    <xf numFmtId="0" fontId="0" fillId="0" borderId="1" xfId="0" applyBorder="1"/>
    <xf numFmtId="0" fontId="15" fillId="6" borderId="1" xfId="0" applyFont="1" applyFill="1" applyBorder="1" applyAlignment="1">
      <alignment vertical="center" wrapText="1"/>
    </xf>
    <xf numFmtId="41" fontId="17" fillId="6" borderId="1" xfId="1" applyFont="1" applyFill="1" applyBorder="1" applyAlignment="1">
      <alignment horizontal="center" vertical="center" wrapText="1"/>
    </xf>
    <xf numFmtId="3" fontId="15" fillId="6" borderId="1" xfId="0" applyNumberFormat="1" applyFont="1" applyFill="1" applyBorder="1" applyAlignment="1">
      <alignment vertical="center" wrapText="1"/>
    </xf>
    <xf numFmtId="10" fontId="15" fillId="6" borderId="1" xfId="0" applyNumberFormat="1" applyFont="1" applyFill="1" applyBorder="1" applyAlignment="1">
      <alignment vertical="center" wrapText="1"/>
    </xf>
    <xf numFmtId="3" fontId="16" fillId="7" borderId="1" xfId="0" applyNumberFormat="1" applyFont="1" applyFill="1" applyBorder="1" applyAlignment="1">
      <alignment vertical="center" wrapText="1"/>
    </xf>
    <xf numFmtId="0" fontId="16" fillId="6" borderId="1" xfId="0" applyFont="1" applyFill="1" applyBorder="1" applyAlignment="1">
      <alignment vertical="center" wrapText="1"/>
    </xf>
    <xf numFmtId="10" fontId="15" fillId="6" borderId="60" xfId="0" applyNumberFormat="1" applyFont="1" applyFill="1" applyBorder="1" applyAlignment="1">
      <alignment vertical="center" wrapText="1"/>
    </xf>
    <xf numFmtId="10" fontId="0" fillId="0" borderId="0" xfId="0" applyNumberFormat="1"/>
    <xf numFmtId="10" fontId="15" fillId="7" borderId="1" xfId="0" applyNumberFormat="1" applyFont="1" applyFill="1" applyBorder="1" applyAlignment="1">
      <alignment vertical="center" wrapText="1"/>
    </xf>
    <xf numFmtId="0" fontId="15" fillId="6" borderId="60" xfId="0" applyFont="1" applyFill="1" applyBorder="1" applyAlignment="1">
      <alignment vertical="center" wrapText="1"/>
    </xf>
    <xf numFmtId="41" fontId="15" fillId="6" borderId="1" xfId="1" applyFont="1" applyFill="1" applyBorder="1" applyAlignment="1">
      <alignment horizontal="center" vertical="center" wrapText="1"/>
    </xf>
    <xf numFmtId="9" fontId="16" fillId="6" borderId="1" xfId="0" applyNumberFormat="1" applyFont="1" applyFill="1" applyBorder="1" applyAlignment="1">
      <alignment vertical="center" wrapText="1"/>
    </xf>
    <xf numFmtId="0" fontId="16" fillId="6" borderId="60" xfId="0" applyFont="1" applyFill="1" applyBorder="1" applyAlignment="1">
      <alignment vertical="center" wrapText="1"/>
    </xf>
    <xf numFmtId="41" fontId="15" fillId="6" borderId="1" xfId="1" applyFont="1" applyFill="1" applyBorder="1" applyAlignment="1">
      <alignment vertical="center" wrapText="1"/>
    </xf>
    <xf numFmtId="164" fontId="15" fillId="6" borderId="1" xfId="6" applyFont="1" applyFill="1" applyBorder="1" applyAlignment="1">
      <alignment vertical="center" wrapText="1"/>
    </xf>
    <xf numFmtId="2" fontId="16" fillId="6" borderId="1" xfId="0" applyNumberFormat="1" applyFont="1" applyFill="1" applyBorder="1" applyAlignment="1">
      <alignment vertical="center" wrapText="1"/>
    </xf>
    <xf numFmtId="0" fontId="15" fillId="7" borderId="1" xfId="0" applyFont="1" applyFill="1" applyBorder="1" applyAlignment="1">
      <alignment wrapText="1"/>
    </xf>
    <xf numFmtId="10" fontId="18" fillId="7" borderId="1" xfId="0" applyNumberFormat="1" applyFont="1" applyFill="1" applyBorder="1" applyAlignment="1">
      <alignment horizontal="center" vertical="center"/>
    </xf>
    <xf numFmtId="0" fontId="16" fillId="7" borderId="1" xfId="0" applyFont="1" applyFill="1" applyBorder="1" applyAlignment="1">
      <alignment wrapText="1"/>
    </xf>
    <xf numFmtId="0" fontId="16" fillId="7" borderId="60" xfId="0" applyFont="1" applyFill="1" applyBorder="1" applyAlignment="1">
      <alignment wrapText="1"/>
    </xf>
    <xf numFmtId="10" fontId="16" fillId="7" borderId="1" xfId="0" applyNumberFormat="1" applyFont="1" applyFill="1" applyBorder="1" applyAlignment="1">
      <alignment horizontal="center" vertical="center"/>
    </xf>
    <xf numFmtId="41" fontId="15" fillId="7" borderId="1" xfId="1" applyFont="1" applyFill="1" applyBorder="1" applyAlignment="1">
      <alignment vertical="center" wrapText="1"/>
    </xf>
    <xf numFmtId="164" fontId="15" fillId="7" borderId="1" xfId="6" applyFont="1" applyFill="1" applyBorder="1" applyAlignment="1">
      <alignment vertical="center" wrapText="1"/>
    </xf>
    <xf numFmtId="41" fontId="16" fillId="6" borderId="1" xfId="1" applyFont="1" applyFill="1" applyBorder="1" applyAlignment="1">
      <alignment horizontal="center" vertical="center" wrapText="1"/>
    </xf>
    <xf numFmtId="9" fontId="17" fillId="6" borderId="1" xfId="0" applyNumberFormat="1" applyFont="1" applyFill="1" applyBorder="1" applyAlignment="1">
      <alignment vertical="center" wrapText="1"/>
    </xf>
    <xf numFmtId="3" fontId="0" fillId="0" borderId="0" xfId="0" applyNumberFormat="1"/>
    <xf numFmtId="168" fontId="0" fillId="0" borderId="0" xfId="0" applyNumberFormat="1"/>
    <xf numFmtId="169" fontId="0" fillId="0" borderId="0" xfId="0" applyNumberFormat="1"/>
    <xf numFmtId="0" fontId="2" fillId="5" borderId="8" xfId="0" applyFont="1" applyFill="1" applyBorder="1" applyAlignment="1">
      <alignment horizontal="center" vertical="center"/>
    </xf>
    <xf numFmtId="0" fontId="2" fillId="5" borderId="15" xfId="0" applyFont="1" applyFill="1" applyBorder="1" applyAlignment="1">
      <alignment horizontal="center" vertical="center" wrapText="1"/>
    </xf>
    <xf numFmtId="44" fontId="2" fillId="5" borderId="15" xfId="5"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68" xfId="0" applyFont="1" applyFill="1" applyBorder="1" applyAlignment="1">
      <alignment horizontal="center" vertical="center" wrapText="1"/>
    </xf>
    <xf numFmtId="0" fontId="2" fillId="5" borderId="69" xfId="0" applyFont="1" applyFill="1" applyBorder="1" applyAlignment="1">
      <alignment horizontal="center" vertical="center" wrapText="1"/>
    </xf>
    <xf numFmtId="0" fontId="0" fillId="0" borderId="0" xfId="0" applyAlignment="1">
      <alignment horizontal="center" vertical="center" wrapText="1"/>
    </xf>
    <xf numFmtId="0" fontId="15" fillId="11" borderId="0" xfId="0" applyFont="1" applyFill="1" applyAlignment="1">
      <alignment horizontal="center" vertical="center" wrapText="1"/>
    </xf>
    <xf numFmtId="164" fontId="15" fillId="7" borderId="0" xfId="6" applyFont="1" applyFill="1" applyAlignment="1">
      <alignment horizontal="center" vertical="center" wrapText="1"/>
    </xf>
    <xf numFmtId="164" fontId="15" fillId="6" borderId="0" xfId="6" applyFont="1" applyFill="1" applyAlignment="1">
      <alignment horizontal="center" vertical="center" wrapText="1"/>
    </xf>
    <xf numFmtId="170" fontId="3" fillId="0" borderId="0" xfId="0" applyNumberFormat="1" applyFont="1"/>
    <xf numFmtId="170" fontId="0" fillId="0" borderId="0" xfId="0" applyNumberFormat="1"/>
    <xf numFmtId="164" fontId="2" fillId="5" borderId="15" xfId="6" applyFont="1" applyFill="1" applyBorder="1" applyAlignment="1">
      <alignment horizontal="center" vertical="center" wrapText="1"/>
    </xf>
    <xf numFmtId="0" fontId="0" fillId="0" borderId="0" xfId="0" applyAlignment="1">
      <alignment wrapText="1"/>
    </xf>
    <xf numFmtId="164" fontId="0" fillId="0" borderId="0" xfId="6" applyFont="1" applyAlignment="1">
      <alignment wrapText="1"/>
    </xf>
    <xf numFmtId="9" fontId="15" fillId="6" borderId="0" xfId="4" applyFont="1" applyFill="1" applyAlignment="1">
      <alignment horizontal="center" vertical="center" wrapText="1"/>
    </xf>
    <xf numFmtId="0" fontId="15" fillId="0" borderId="0" xfId="0" applyFont="1" applyAlignment="1">
      <alignment horizontal="center" vertical="center" wrapText="1"/>
    </xf>
    <xf numFmtId="10" fontId="15" fillId="6" borderId="0" xfId="0" applyNumberFormat="1" applyFont="1" applyFill="1" applyAlignment="1">
      <alignment horizontal="center" vertical="center" wrapText="1"/>
    </xf>
    <xf numFmtId="42" fontId="15" fillId="7" borderId="0" xfId="3" applyFont="1" applyFill="1" applyAlignment="1">
      <alignment horizontal="center" vertical="center" wrapText="1"/>
    </xf>
    <xf numFmtId="9" fontId="15" fillId="6" borderId="0" xfId="0" applyNumberFormat="1" applyFont="1" applyFill="1" applyAlignment="1">
      <alignment horizontal="center" vertical="center" wrapText="1"/>
    </xf>
    <xf numFmtId="0" fontId="15" fillId="6" borderId="0" xfId="0" applyFont="1" applyFill="1" applyAlignment="1">
      <alignment horizontal="left" vertical="center" wrapText="1"/>
    </xf>
    <xf numFmtId="9" fontId="15" fillId="11" borderId="0" xfId="4" applyFont="1" applyFill="1" applyAlignment="1">
      <alignment horizontal="center" vertical="center" wrapText="1"/>
    </xf>
    <xf numFmtId="10" fontId="15" fillId="6" borderId="0" xfId="4" applyNumberFormat="1" applyFont="1" applyFill="1" applyAlignment="1">
      <alignment horizontal="center" vertical="center" wrapText="1"/>
    </xf>
    <xf numFmtId="0" fontId="4" fillId="6" borderId="45" xfId="0" applyFont="1" applyFill="1" applyBorder="1" applyAlignment="1">
      <alignment horizontal="center" vertical="center" wrapText="1"/>
    </xf>
    <xf numFmtId="0" fontId="4" fillId="6" borderId="45" xfId="0" applyFont="1" applyFill="1" applyBorder="1" applyAlignment="1">
      <alignment horizontal="center" vertical="center"/>
    </xf>
    <xf numFmtId="0" fontId="4" fillId="7" borderId="45" xfId="0" applyFont="1" applyFill="1" applyBorder="1" applyAlignment="1">
      <alignment horizontal="center" vertical="center" wrapText="1"/>
    </xf>
    <xf numFmtId="9" fontId="4" fillId="7" borderId="45" xfId="4" applyFont="1" applyFill="1" applyBorder="1" applyAlignment="1">
      <alignment horizontal="center" vertical="center" wrapText="1"/>
    </xf>
    <xf numFmtId="9" fontId="4" fillId="6" borderId="45" xfId="4" applyFont="1" applyFill="1" applyBorder="1" applyAlignment="1">
      <alignment horizontal="center" vertical="center" wrapText="1"/>
    </xf>
    <xf numFmtId="9" fontId="4" fillId="6" borderId="45" xfId="4" applyFont="1" applyFill="1" applyBorder="1" applyAlignment="1">
      <alignment horizontal="center" vertical="center"/>
    </xf>
    <xf numFmtId="0" fontId="2" fillId="2" borderId="0" xfId="0" applyFont="1" applyFill="1" applyAlignment="1">
      <alignment horizontal="center" vertical="center" wrapText="1"/>
    </xf>
    <xf numFmtId="167" fontId="4" fillId="6" borderId="27" xfId="5" applyNumberFormat="1" applyFont="1" applyFill="1" applyBorder="1" applyAlignment="1">
      <alignment vertical="center" wrapText="1"/>
    </xf>
    <xf numFmtId="0" fontId="15" fillId="2" borderId="0" xfId="0" applyFont="1" applyFill="1" applyAlignment="1">
      <alignment horizontal="center" vertical="center" wrapText="1"/>
    </xf>
    <xf numFmtId="167" fontId="4" fillId="7" borderId="20" xfId="5" applyNumberFormat="1" applyFont="1" applyFill="1" applyBorder="1" applyAlignment="1">
      <alignment vertical="center" wrapText="1"/>
    </xf>
    <xf numFmtId="0" fontId="0" fillId="2" borderId="0" xfId="0" applyFill="1" applyAlignment="1">
      <alignment vertical="center" wrapText="1"/>
    </xf>
    <xf numFmtId="164" fontId="0" fillId="2" borderId="0" xfId="6" applyFont="1" applyFill="1" applyAlignment="1">
      <alignment vertical="center" wrapText="1"/>
    </xf>
    <xf numFmtId="9" fontId="9" fillId="9" borderId="30" xfId="0" applyNumberFormat="1" applyFont="1" applyFill="1" applyBorder="1" applyAlignment="1">
      <alignment horizontal="center" vertical="center" wrapText="1"/>
    </xf>
    <xf numFmtId="0" fontId="0" fillId="0" borderId="0" xfId="0" applyAlignment="1">
      <alignment vertical="center" wrapText="1"/>
    </xf>
    <xf numFmtId="0" fontId="0" fillId="2" borderId="0" xfId="0" applyFill="1" applyAlignment="1">
      <alignment wrapText="1"/>
    </xf>
    <xf numFmtId="164" fontId="0" fillId="2" borderId="0" xfId="6" applyFont="1" applyFill="1" applyAlignment="1">
      <alignment wrapText="1"/>
    </xf>
    <xf numFmtId="171" fontId="4" fillId="6" borderId="45" xfId="5" applyNumberFormat="1" applyFont="1" applyFill="1" applyBorder="1" applyAlignment="1">
      <alignment horizontal="center" vertical="center" wrapText="1"/>
    </xf>
    <xf numFmtId="171" fontId="4" fillId="7" borderId="45" xfId="5" applyNumberFormat="1" applyFont="1" applyFill="1" applyBorder="1" applyAlignment="1">
      <alignment horizontal="center" vertical="center" wrapText="1"/>
    </xf>
    <xf numFmtId="1" fontId="4" fillId="7" borderId="45" xfId="4" applyNumberFormat="1" applyFont="1" applyFill="1" applyBorder="1" applyAlignment="1">
      <alignment horizontal="center" vertical="center" wrapText="1"/>
    </xf>
    <xf numFmtId="9" fontId="19" fillId="4" borderId="0" xfId="0" applyNumberFormat="1" applyFont="1" applyFill="1" applyAlignment="1">
      <alignment horizontal="center" vertical="center" wrapText="1"/>
    </xf>
    <xf numFmtId="0" fontId="19" fillId="4" borderId="0" xfId="0" applyFont="1" applyFill="1" applyAlignment="1">
      <alignment horizontal="center" vertical="center" wrapText="1"/>
    </xf>
    <xf numFmtId="0" fontId="15" fillId="2" borderId="0" xfId="0" applyFont="1" applyFill="1" applyAlignment="1">
      <alignment vertical="center" wrapText="1"/>
    </xf>
    <xf numFmtId="0" fontId="17" fillId="2" borderId="0" xfId="0" applyFont="1" applyFill="1" applyAlignment="1">
      <alignment horizontal="center" vertical="center" wrapText="1"/>
    </xf>
    <xf numFmtId="9" fontId="15" fillId="2" borderId="0" xfId="0" applyNumberFormat="1" applyFont="1" applyFill="1" applyAlignment="1">
      <alignment horizontal="center" vertical="center" wrapText="1"/>
    </xf>
    <xf numFmtId="164" fontId="15" fillId="2" borderId="0" xfId="6" applyFont="1" applyFill="1" applyAlignment="1">
      <alignment horizontal="center" vertical="center" wrapText="1"/>
    </xf>
    <xf numFmtId="9" fontId="4" fillId="7" borderId="75" xfId="4" applyFont="1" applyFill="1" applyBorder="1" applyAlignment="1">
      <alignment horizontal="center" vertical="center" wrapText="1"/>
    </xf>
    <xf numFmtId="168" fontId="3" fillId="2" borderId="0" xfId="0" applyNumberFormat="1" applyFont="1" applyFill="1" applyAlignment="1">
      <alignment horizontal="center" vertical="center" wrapText="1"/>
    </xf>
    <xf numFmtId="9" fontId="15" fillId="2" borderId="0" xfId="4" applyFont="1" applyFill="1" applyAlignment="1">
      <alignment horizontal="center" vertical="center" wrapText="1"/>
    </xf>
    <xf numFmtId="0" fontId="15" fillId="2" borderId="0" xfId="0" applyFont="1" applyFill="1" applyBorder="1" applyAlignment="1">
      <alignment horizontal="center" vertical="center" wrapText="1"/>
    </xf>
    <xf numFmtId="0" fontId="15" fillId="2" borderId="0" xfId="0" applyFont="1" applyFill="1" applyBorder="1" applyAlignment="1">
      <alignment horizontal="justify" vertical="center" wrapText="1"/>
    </xf>
    <xf numFmtId="0" fontId="15" fillId="2" borderId="70" xfId="0" applyFont="1" applyFill="1" applyBorder="1" applyAlignment="1">
      <alignment horizontal="justify" vertical="center" wrapText="1"/>
    </xf>
    <xf numFmtId="0" fontId="0" fillId="2" borderId="0" xfId="0" applyFill="1" applyAlignment="1">
      <alignment horizontal="center" vertical="center" wrapText="1"/>
    </xf>
    <xf numFmtId="0" fontId="4" fillId="7" borderId="75" xfId="0" applyFont="1" applyFill="1" applyBorder="1" applyAlignment="1">
      <alignment horizontal="center" vertical="center" wrapText="1"/>
    </xf>
    <xf numFmtId="0" fontId="4" fillId="2" borderId="0" xfId="0" applyFont="1" applyFill="1" applyBorder="1" applyAlignment="1">
      <alignment vertical="center" wrapText="1"/>
    </xf>
    <xf numFmtId="0" fontId="4" fillId="2" borderId="0" xfId="0" applyFont="1" applyFill="1" applyBorder="1" applyAlignment="1">
      <alignment horizontal="center" vertical="center" wrapText="1"/>
    </xf>
    <xf numFmtId="0" fontId="0" fillId="2" borderId="0" xfId="0" applyFill="1"/>
    <xf numFmtId="167" fontId="4" fillId="7" borderId="75" xfId="2" applyNumberFormat="1" applyFont="1" applyFill="1" applyBorder="1" applyAlignment="1">
      <alignment horizontal="center" vertical="center" wrapText="1"/>
    </xf>
    <xf numFmtId="0" fontId="4" fillId="6" borderId="0" xfId="0" applyFont="1" applyFill="1" applyAlignment="1">
      <alignment horizontal="center" vertical="center" wrapText="1"/>
    </xf>
    <xf numFmtId="0" fontId="4" fillId="7" borderId="0" xfId="0" applyFont="1" applyFill="1" applyAlignment="1">
      <alignment horizontal="center" vertical="center" wrapText="1"/>
    </xf>
    <xf numFmtId="0" fontId="4" fillId="6" borderId="0" xfId="0" applyFont="1" applyFill="1" applyAlignment="1">
      <alignment horizontal="center" vertical="center"/>
    </xf>
    <xf numFmtId="9" fontId="4" fillId="7" borderId="11" xfId="4" applyFont="1" applyFill="1" applyBorder="1" applyAlignment="1">
      <alignment horizontal="center" vertical="center"/>
    </xf>
    <xf numFmtId="0" fontId="4" fillId="6" borderId="11" xfId="0" applyFont="1" applyFill="1" applyBorder="1" applyAlignment="1">
      <alignment horizontal="center" vertical="center" wrapText="1"/>
    </xf>
    <xf numFmtId="0" fontId="4" fillId="6" borderId="11" xfId="0" applyFont="1" applyFill="1" applyBorder="1" applyAlignment="1">
      <alignment horizontal="center" vertical="center"/>
    </xf>
    <xf numFmtId="0" fontId="4" fillId="7" borderId="0" xfId="0" applyFont="1" applyFill="1" applyAlignment="1">
      <alignment horizontal="center" vertical="center"/>
    </xf>
    <xf numFmtId="9" fontId="4" fillId="7" borderId="0" xfId="4" applyFont="1" applyFill="1" applyAlignment="1">
      <alignment horizontal="center" vertical="center"/>
    </xf>
    <xf numFmtId="9" fontId="4" fillId="6" borderId="0" xfId="4" applyFont="1" applyFill="1" applyAlignment="1">
      <alignment horizontal="center" vertical="center"/>
    </xf>
    <xf numFmtId="0" fontId="4" fillId="6" borderId="57" xfId="0" applyFont="1" applyFill="1" applyBorder="1" applyAlignment="1">
      <alignment horizontal="center" vertical="center" wrapText="1"/>
    </xf>
    <xf numFmtId="10" fontId="4" fillId="6" borderId="0" xfId="0" applyNumberFormat="1" applyFont="1" applyFill="1" applyAlignment="1">
      <alignment horizontal="center" vertical="center"/>
    </xf>
    <xf numFmtId="172" fontId="4" fillId="6" borderId="45" xfId="4" applyNumberFormat="1" applyFont="1" applyFill="1" applyBorder="1" applyAlignment="1">
      <alignment horizontal="center" vertical="center" wrapText="1"/>
    </xf>
    <xf numFmtId="1" fontId="4" fillId="6" borderId="45" xfId="4" applyNumberFormat="1" applyFont="1" applyFill="1" applyBorder="1" applyAlignment="1">
      <alignment horizontal="center" vertical="center" wrapText="1"/>
    </xf>
    <xf numFmtId="9" fontId="16" fillId="7" borderId="1" xfId="0" applyNumberFormat="1" applyFont="1" applyFill="1" applyBorder="1" applyAlignment="1">
      <alignment horizontal="center" vertical="center" wrapText="1"/>
    </xf>
    <xf numFmtId="10" fontId="15" fillId="7" borderId="1" xfId="0" applyNumberFormat="1" applyFont="1" applyFill="1" applyBorder="1" applyAlignment="1">
      <alignment horizontal="center" vertical="center" wrapText="1"/>
    </xf>
    <xf numFmtId="9" fontId="16" fillId="6" borderId="1" xfId="0" applyNumberFormat="1" applyFont="1" applyFill="1" applyBorder="1" applyAlignment="1">
      <alignment horizontal="center" vertical="center" wrapText="1"/>
    </xf>
    <xf numFmtId="1" fontId="4" fillId="6" borderId="45" xfId="4" applyNumberFormat="1" applyFont="1" applyFill="1" applyBorder="1" applyAlignment="1">
      <alignment horizontal="center" vertical="center"/>
    </xf>
    <xf numFmtId="9" fontId="4" fillId="6" borderId="45" xfId="4" applyNumberFormat="1" applyFont="1" applyFill="1" applyBorder="1" applyAlignment="1">
      <alignment horizontal="center" vertical="center"/>
    </xf>
    <xf numFmtId="9" fontId="4" fillId="7" borderId="45" xfId="4" applyNumberFormat="1" applyFont="1" applyFill="1" applyBorder="1" applyAlignment="1">
      <alignment horizontal="center" vertical="center" wrapText="1"/>
    </xf>
    <xf numFmtId="9" fontId="4" fillId="6" borderId="45" xfId="4" applyNumberFormat="1" applyFont="1" applyFill="1" applyBorder="1" applyAlignment="1">
      <alignment horizontal="center" vertical="center" wrapText="1"/>
    </xf>
    <xf numFmtId="0" fontId="3" fillId="2" borderId="0" xfId="0" applyFont="1" applyFill="1"/>
    <xf numFmtId="0" fontId="2" fillId="3" borderId="82" xfId="0" applyFont="1" applyFill="1" applyBorder="1" applyAlignment="1">
      <alignment horizontal="center" wrapText="1"/>
    </xf>
    <xf numFmtId="0" fontId="2" fillId="3" borderId="83" xfId="0" applyFont="1" applyFill="1" applyBorder="1" applyAlignment="1">
      <alignment horizontal="center" wrapText="1"/>
    </xf>
    <xf numFmtId="0" fontId="0" fillId="2" borderId="0" xfId="0" applyFill="1" applyAlignment="1">
      <alignment horizontal="center"/>
    </xf>
    <xf numFmtId="0" fontId="3" fillId="7" borderId="84" xfId="0" applyFont="1" applyFill="1" applyBorder="1" applyAlignment="1">
      <alignment horizontal="center" vertical="center"/>
    </xf>
    <xf numFmtId="0" fontId="0" fillId="7" borderId="84" xfId="0" applyFill="1" applyBorder="1"/>
    <xf numFmtId="168" fontId="3" fillId="7" borderId="85" xfId="4" applyNumberFormat="1" applyFont="1" applyFill="1" applyBorder="1"/>
    <xf numFmtId="168" fontId="3" fillId="7" borderId="86" xfId="4" applyNumberFormat="1" applyFont="1" applyFill="1" applyBorder="1"/>
    <xf numFmtId="168" fontId="20" fillId="12" borderId="85" xfId="0" applyNumberFormat="1" applyFont="1" applyFill="1" applyBorder="1"/>
    <xf numFmtId="168" fontId="20" fillId="12" borderId="86" xfId="0" applyNumberFormat="1" applyFont="1" applyFill="1" applyBorder="1"/>
    <xf numFmtId="0" fontId="0" fillId="2" borderId="0" xfId="0" applyFill="1" applyAlignment="1">
      <alignment horizontal="right"/>
    </xf>
    <xf numFmtId="0" fontId="3" fillId="7" borderId="61" xfId="0" applyFont="1" applyFill="1" applyBorder="1" applyAlignment="1">
      <alignment horizontal="center" vertical="center"/>
    </xf>
    <xf numFmtId="168" fontId="3" fillId="7" borderId="86" xfId="4" applyNumberFormat="1" applyFont="1" applyFill="1" applyBorder="1" applyAlignment="1">
      <alignment horizontal="right"/>
    </xf>
    <xf numFmtId="168" fontId="20" fillId="12" borderId="86" xfId="0" applyNumberFormat="1" applyFont="1" applyFill="1" applyBorder="1" applyAlignment="1">
      <alignment horizontal="right"/>
    </xf>
    <xf numFmtId="0" fontId="3" fillId="7" borderId="87" xfId="0" applyFont="1" applyFill="1" applyBorder="1" applyAlignment="1">
      <alignment horizontal="center" vertical="center"/>
    </xf>
    <xf numFmtId="0" fontId="0" fillId="7" borderId="87" xfId="0" applyFill="1" applyBorder="1"/>
    <xf numFmtId="168" fontId="3" fillId="7" borderId="88" xfId="4" applyNumberFormat="1" applyFont="1" applyFill="1" applyBorder="1"/>
    <xf numFmtId="168" fontId="3" fillId="7" borderId="89" xfId="4" applyNumberFormat="1" applyFont="1" applyFill="1" applyBorder="1"/>
    <xf numFmtId="168" fontId="20" fillId="12" borderId="88" xfId="0" applyNumberFormat="1" applyFont="1" applyFill="1" applyBorder="1"/>
    <xf numFmtId="168" fontId="20" fillId="12" borderId="89" xfId="0" applyNumberFormat="1" applyFont="1" applyFill="1" applyBorder="1"/>
    <xf numFmtId="0" fontId="0" fillId="2" borderId="87" xfId="0" applyFill="1" applyBorder="1"/>
    <xf numFmtId="168" fontId="0" fillId="2" borderId="88" xfId="4" applyNumberFormat="1" applyFont="1" applyFill="1" applyBorder="1"/>
    <xf numFmtId="168" fontId="0" fillId="2" borderId="91" xfId="4" applyNumberFormat="1" applyFont="1" applyFill="1" applyBorder="1" applyAlignment="1">
      <alignment horizontal="right"/>
    </xf>
    <xf numFmtId="168" fontId="0" fillId="2" borderId="88" xfId="4" applyNumberFormat="1" applyFont="1" applyFill="1" applyBorder="1" applyAlignment="1">
      <alignment horizontal="right"/>
    </xf>
    <xf numFmtId="168" fontId="0" fillId="2" borderId="89" xfId="4" applyNumberFormat="1" applyFont="1" applyFill="1" applyBorder="1" applyAlignment="1">
      <alignment horizontal="right"/>
    </xf>
    <xf numFmtId="168" fontId="21" fillId="13" borderId="88" xfId="0" applyNumberFormat="1" applyFont="1" applyFill="1" applyBorder="1" applyAlignment="1">
      <alignment horizontal="right"/>
    </xf>
    <xf numFmtId="168" fontId="21" fillId="13" borderId="91" xfId="0" applyNumberFormat="1" applyFont="1" applyFill="1" applyBorder="1" applyAlignment="1">
      <alignment horizontal="right"/>
    </xf>
    <xf numFmtId="168" fontId="0" fillId="2" borderId="89" xfId="4" applyNumberFormat="1" applyFont="1" applyFill="1" applyBorder="1"/>
    <xf numFmtId="168" fontId="21" fillId="13" borderId="89" xfId="0" applyNumberFormat="1" applyFont="1" applyFill="1" applyBorder="1" applyAlignment="1">
      <alignment horizontal="right"/>
    </xf>
    <xf numFmtId="0" fontId="3" fillId="7" borderId="60" xfId="0" applyFont="1" applyFill="1" applyBorder="1"/>
    <xf numFmtId="168" fontId="3" fillId="7" borderId="82" xfId="4" applyNumberFormat="1" applyFont="1" applyFill="1" applyBorder="1"/>
    <xf numFmtId="168" fontId="20" fillId="12" borderId="82" xfId="0" applyNumberFormat="1" applyFont="1" applyFill="1" applyBorder="1"/>
    <xf numFmtId="0" fontId="0" fillId="2" borderId="94" xfId="0" applyFill="1" applyBorder="1"/>
    <xf numFmtId="168" fontId="0" fillId="2" borderId="85" xfId="4" applyNumberFormat="1" applyFont="1" applyFill="1" applyBorder="1"/>
    <xf numFmtId="168" fontId="0" fillId="2" borderId="96" xfId="4" applyNumberFormat="1" applyFont="1" applyFill="1" applyBorder="1"/>
    <xf numFmtId="168" fontId="0" fillId="2" borderId="91" xfId="4" applyNumberFormat="1" applyFont="1" applyFill="1" applyBorder="1"/>
    <xf numFmtId="168" fontId="0" fillId="2" borderId="97" xfId="4" applyNumberFormat="1" applyFont="1" applyFill="1" applyBorder="1"/>
    <xf numFmtId="0" fontId="0" fillId="2" borderId="58" xfId="0" applyFill="1" applyBorder="1"/>
    <xf numFmtId="168" fontId="0" fillId="2" borderId="98" xfId="4" applyNumberFormat="1" applyFont="1" applyFill="1" applyBorder="1"/>
    <xf numFmtId="0" fontId="22" fillId="3" borderId="60" xfId="0" applyFont="1" applyFill="1" applyBorder="1"/>
    <xf numFmtId="168" fontId="22" fillId="3" borderId="82" xfId="0" applyNumberFormat="1" applyFont="1" applyFill="1" applyBorder="1"/>
    <xf numFmtId="41" fontId="0" fillId="2" borderId="0" xfId="1" applyFont="1" applyFill="1"/>
    <xf numFmtId="10" fontId="0" fillId="2" borderId="0" xfId="0" applyNumberFormat="1" applyFill="1"/>
    <xf numFmtId="6" fontId="0" fillId="2" borderId="0" xfId="0" applyNumberFormat="1" applyFill="1"/>
    <xf numFmtId="0" fontId="2" fillId="4" borderId="9" xfId="0" applyFont="1" applyFill="1" applyBorder="1" applyAlignment="1">
      <alignment horizontal="center" vertical="center" wrapText="1"/>
    </xf>
    <xf numFmtId="0" fontId="15" fillId="7" borderId="0" xfId="0" applyFont="1" applyFill="1" applyAlignment="1">
      <alignment horizontal="center" vertical="center" wrapText="1"/>
    </xf>
    <xf numFmtId="0" fontId="15" fillId="6" borderId="0" xfId="0" applyFont="1" applyFill="1" applyAlignment="1">
      <alignment horizontal="center" vertical="center" wrapText="1"/>
    </xf>
    <xf numFmtId="0" fontId="4" fillId="6" borderId="45" xfId="0" applyFont="1" applyFill="1" applyBorder="1" applyAlignment="1">
      <alignment horizontal="center" vertical="center" wrapText="1"/>
    </xf>
    <xf numFmtId="0" fontId="4" fillId="7" borderId="45" xfId="0" applyFont="1" applyFill="1" applyBorder="1" applyAlignment="1">
      <alignment horizontal="center" vertical="center" wrapText="1"/>
    </xf>
    <xf numFmtId="0" fontId="4" fillId="7" borderId="11" xfId="0" applyFont="1" applyFill="1" applyBorder="1" applyAlignment="1">
      <alignment horizontal="center" vertical="center" wrapText="1"/>
    </xf>
    <xf numFmtId="9" fontId="7" fillId="6" borderId="45" xfId="4" applyFont="1" applyFill="1" applyBorder="1" applyAlignment="1">
      <alignment horizontal="center" vertical="center"/>
    </xf>
    <xf numFmtId="0" fontId="7" fillId="6" borderId="45" xfId="0" applyFont="1" applyFill="1" applyBorder="1" applyAlignment="1">
      <alignment horizontal="center" vertical="center" wrapText="1"/>
    </xf>
    <xf numFmtId="9" fontId="4" fillId="6" borderId="45" xfId="0" applyNumberFormat="1" applyFont="1" applyFill="1" applyBorder="1" applyAlignment="1">
      <alignment horizontal="center" vertical="center" wrapText="1"/>
    </xf>
    <xf numFmtId="0" fontId="4" fillId="7" borderId="43" xfId="0" applyFont="1" applyFill="1" applyBorder="1" applyAlignment="1">
      <alignment horizontal="center" vertical="center" wrapText="1"/>
    </xf>
    <xf numFmtId="0" fontId="7" fillId="7" borderId="45" xfId="0" applyFont="1" applyFill="1" applyBorder="1" applyAlignment="1">
      <alignment horizontal="center" vertical="center" wrapText="1"/>
    </xf>
    <xf numFmtId="9" fontId="7" fillId="7" borderId="45" xfId="4" applyFont="1" applyFill="1" applyBorder="1" applyAlignment="1">
      <alignment horizontal="center" vertical="center" wrapText="1"/>
    </xf>
    <xf numFmtId="10" fontId="20" fillId="12" borderId="85" xfId="0" applyNumberFormat="1" applyFont="1" applyFill="1" applyBorder="1" applyAlignment="1">
      <alignment horizontal="right"/>
    </xf>
    <xf numFmtId="9" fontId="20" fillId="12" borderId="86" xfId="0" applyNumberFormat="1" applyFont="1" applyFill="1" applyBorder="1" applyAlignment="1">
      <alignment horizontal="right"/>
    </xf>
    <xf numFmtId="10" fontId="20" fillId="12" borderId="86" xfId="0" applyNumberFormat="1" applyFont="1" applyFill="1" applyBorder="1" applyAlignment="1">
      <alignment horizontal="right"/>
    </xf>
    <xf numFmtId="0" fontId="20" fillId="12" borderId="86" xfId="0" applyFont="1" applyFill="1" applyBorder="1" applyAlignment="1">
      <alignment horizontal="right"/>
    </xf>
    <xf numFmtId="10" fontId="20" fillId="12" borderId="88" xfId="0" applyNumberFormat="1" applyFont="1" applyFill="1" applyBorder="1" applyAlignment="1">
      <alignment horizontal="right"/>
    </xf>
    <xf numFmtId="10" fontId="20" fillId="12" borderId="89" xfId="0" applyNumberFormat="1" applyFont="1" applyFill="1" applyBorder="1" applyAlignment="1">
      <alignment horizontal="right"/>
    </xf>
    <xf numFmtId="10" fontId="21" fillId="13" borderId="88" xfId="0" applyNumberFormat="1" applyFont="1" applyFill="1" applyBorder="1" applyAlignment="1">
      <alignment horizontal="right"/>
    </xf>
    <xf numFmtId="0" fontId="21" fillId="13" borderId="91" xfId="0" applyFont="1" applyFill="1" applyBorder="1" applyAlignment="1">
      <alignment horizontal="right"/>
    </xf>
    <xf numFmtId="10" fontId="21" fillId="13" borderId="89" xfId="0" applyNumberFormat="1" applyFont="1" applyFill="1" applyBorder="1" applyAlignment="1">
      <alignment horizontal="right"/>
    </xf>
    <xf numFmtId="10" fontId="21" fillId="13" borderId="91" xfId="0" applyNumberFormat="1" applyFont="1" applyFill="1" applyBorder="1" applyAlignment="1">
      <alignment horizontal="right"/>
    </xf>
    <xf numFmtId="10" fontId="20" fillId="12" borderId="82" xfId="0" applyNumberFormat="1" applyFont="1" applyFill="1" applyBorder="1" applyAlignment="1">
      <alignment horizontal="right"/>
    </xf>
    <xf numFmtId="0" fontId="21" fillId="13" borderId="89" xfId="0" applyFont="1" applyFill="1" applyBorder="1" applyAlignment="1">
      <alignment horizontal="right"/>
    </xf>
    <xf numFmtId="10" fontId="21" fillId="13" borderId="85" xfId="0" applyNumberFormat="1" applyFont="1" applyFill="1" applyBorder="1" applyAlignment="1">
      <alignment horizontal="right"/>
    </xf>
    <xf numFmtId="10" fontId="21" fillId="13" borderId="96" xfId="0" applyNumberFormat="1" applyFont="1" applyFill="1" applyBorder="1" applyAlignment="1">
      <alignment horizontal="right"/>
    </xf>
    <xf numFmtId="0" fontId="4" fillId="14" borderId="57" xfId="0" applyFont="1" applyFill="1" applyBorder="1" applyAlignment="1">
      <alignment horizontal="center" vertical="center" wrapText="1"/>
    </xf>
    <xf numFmtId="9" fontId="4" fillId="15" borderId="0" xfId="0" applyNumberFormat="1" applyFont="1" applyFill="1" applyAlignment="1">
      <alignment horizontal="center" vertical="center"/>
    </xf>
    <xf numFmtId="9" fontId="4" fillId="15" borderId="0" xfId="4" applyFont="1" applyFill="1" applyAlignment="1">
      <alignment horizontal="center" vertical="center"/>
    </xf>
    <xf numFmtId="0" fontId="4" fillId="15" borderId="57" xfId="0" applyFont="1" applyFill="1" applyBorder="1" applyAlignment="1">
      <alignment horizontal="center" vertical="center" wrapText="1"/>
    </xf>
    <xf numFmtId="9" fontId="4" fillId="6" borderId="0" xfId="1" applyNumberFormat="1" applyFont="1" applyFill="1" applyAlignment="1">
      <alignment horizontal="center" vertical="center"/>
    </xf>
    <xf numFmtId="9" fontId="4" fillId="6" borderId="0" xfId="1" applyNumberFormat="1" applyFont="1" applyFill="1" applyAlignment="1">
      <alignment horizontal="center" vertical="center" wrapText="1"/>
    </xf>
    <xf numFmtId="0" fontId="4" fillId="7" borderId="15" xfId="4" applyNumberFormat="1" applyFont="1" applyFill="1" applyBorder="1" applyAlignment="1">
      <alignment horizontal="center" vertical="center"/>
    </xf>
    <xf numFmtId="168" fontId="4" fillId="7" borderId="15" xfId="4" applyNumberFormat="1" applyFont="1" applyFill="1" applyBorder="1" applyAlignment="1">
      <alignment horizontal="center" vertical="center"/>
    </xf>
    <xf numFmtId="10" fontId="4" fillId="6" borderId="11" xfId="0" applyNumberFormat="1" applyFont="1" applyFill="1" applyBorder="1" applyAlignment="1">
      <alignment horizontal="center" vertical="center"/>
    </xf>
    <xf numFmtId="9" fontId="4" fillId="6" borderId="11" xfId="0" applyNumberFormat="1" applyFont="1" applyFill="1" applyBorder="1" applyAlignment="1">
      <alignment horizontal="center" vertical="center"/>
    </xf>
    <xf numFmtId="168" fontId="4" fillId="6" borderId="11" xfId="4" applyNumberFormat="1" applyFont="1" applyFill="1" applyBorder="1" applyAlignment="1">
      <alignment horizontal="center" vertical="center"/>
    </xf>
    <xf numFmtId="0" fontId="4" fillId="6" borderId="11" xfId="0" applyFont="1" applyFill="1" applyBorder="1" applyAlignment="1">
      <alignment horizontal="left" vertical="center" wrapText="1"/>
    </xf>
    <xf numFmtId="168" fontId="4" fillId="6" borderId="11" xfId="0" applyNumberFormat="1" applyFont="1" applyFill="1" applyBorder="1" applyAlignment="1">
      <alignment horizontal="center" vertical="center"/>
    </xf>
    <xf numFmtId="9" fontId="4" fillId="6" borderId="15" xfId="0" applyNumberFormat="1" applyFont="1" applyFill="1" applyBorder="1" applyAlignment="1">
      <alignment horizontal="left" vertical="center" wrapText="1"/>
    </xf>
    <xf numFmtId="1" fontId="4" fillId="6" borderId="15" xfId="4" applyNumberFormat="1" applyFont="1" applyFill="1" applyBorder="1" applyAlignment="1">
      <alignment horizontal="center" vertical="center"/>
    </xf>
    <xf numFmtId="1" fontId="4" fillId="6" borderId="15" xfId="4" applyNumberFormat="1" applyFont="1" applyFill="1" applyBorder="1" applyAlignment="1">
      <alignment horizontal="center" vertical="center" wrapText="1"/>
    </xf>
    <xf numFmtId="1" fontId="4" fillId="16" borderId="15" xfId="4" applyNumberFormat="1" applyFont="1" applyFill="1" applyBorder="1" applyAlignment="1">
      <alignment horizontal="center" vertical="center"/>
    </xf>
    <xf numFmtId="168" fontId="4" fillId="7" borderId="15" xfId="4" applyNumberFormat="1" applyFont="1" applyFill="1" applyBorder="1" applyAlignment="1">
      <alignment horizontal="center" vertical="center" wrapText="1"/>
    </xf>
    <xf numFmtId="9" fontId="4" fillId="7" borderId="11" xfId="0" applyNumberFormat="1" applyFont="1" applyFill="1" applyBorder="1" applyAlignment="1">
      <alignment horizontal="center" vertical="center" wrapText="1"/>
    </xf>
    <xf numFmtId="168" fontId="4" fillId="7" borderId="11" xfId="4" applyNumberFormat="1" applyFont="1" applyFill="1" applyBorder="1" applyAlignment="1">
      <alignment horizontal="center" vertical="center" wrapText="1"/>
    </xf>
    <xf numFmtId="0" fontId="4" fillId="16" borderId="15" xfId="0" applyFont="1" applyFill="1" applyBorder="1" applyAlignment="1">
      <alignment horizontal="left" vertical="center" wrapText="1"/>
    </xf>
    <xf numFmtId="1" fontId="4" fillId="6" borderId="15" xfId="4" applyNumberFormat="1" applyFont="1" applyFill="1" applyBorder="1" applyAlignment="1">
      <alignment horizontal="left" vertical="center" wrapText="1"/>
    </xf>
    <xf numFmtId="0" fontId="20" fillId="12" borderId="84" xfId="0" applyFont="1" applyFill="1" applyBorder="1" applyAlignment="1">
      <alignment horizontal="center" vertical="center"/>
    </xf>
    <xf numFmtId="0" fontId="21" fillId="12" borderId="84" xfId="0" applyFont="1" applyFill="1" applyBorder="1"/>
    <xf numFmtId="0" fontId="20" fillId="12" borderId="61" xfId="0" applyFont="1" applyFill="1" applyBorder="1" applyAlignment="1">
      <alignment horizontal="center" vertical="center"/>
    </xf>
    <xf numFmtId="0" fontId="20" fillId="12" borderId="87" xfId="0" applyFont="1" applyFill="1" applyBorder="1" applyAlignment="1">
      <alignment horizontal="center" vertical="center"/>
    </xf>
    <xf numFmtId="0" fontId="21" fillId="12" borderId="87" xfId="0" applyFont="1" applyFill="1" applyBorder="1"/>
    <xf numFmtId="0" fontId="21" fillId="13" borderId="87" xfId="0" applyFont="1" applyFill="1" applyBorder="1"/>
    <xf numFmtId="0" fontId="20" fillId="12" borderId="60" xfId="0" applyFont="1" applyFill="1" applyBorder="1"/>
    <xf numFmtId="0" fontId="21" fillId="13" borderId="94" xfId="0" applyFont="1" applyFill="1" applyBorder="1"/>
    <xf numFmtId="0" fontId="21" fillId="13" borderId="0" xfId="0" applyFont="1" applyFill="1"/>
    <xf numFmtId="0" fontId="21" fillId="13" borderId="58" xfId="0" applyFont="1" applyFill="1" applyBorder="1"/>
    <xf numFmtId="10" fontId="21" fillId="13" borderId="97" xfId="0" applyNumberFormat="1" applyFont="1" applyFill="1" applyBorder="1" applyAlignment="1">
      <alignment horizontal="right"/>
    </xf>
    <xf numFmtId="10" fontId="21" fillId="13" borderId="98" xfId="0" applyNumberFormat="1" applyFont="1" applyFill="1" applyBorder="1" applyAlignment="1">
      <alignment horizontal="right"/>
    </xf>
    <xf numFmtId="0" fontId="23" fillId="17" borderId="60" xfId="0" applyFont="1" applyFill="1" applyBorder="1"/>
    <xf numFmtId="10" fontId="23" fillId="17" borderId="82" xfId="0" applyNumberFormat="1" applyFont="1" applyFill="1" applyBorder="1" applyAlignment="1">
      <alignment horizontal="right"/>
    </xf>
    <xf numFmtId="0" fontId="24" fillId="17" borderId="82" xfId="0" applyFont="1" applyFill="1" applyBorder="1" applyAlignment="1">
      <alignment horizontal="center" vertical="center" wrapText="1"/>
    </xf>
    <xf numFmtId="0" fontId="24" fillId="17" borderId="83" xfId="0" applyFont="1" applyFill="1" applyBorder="1" applyAlignment="1">
      <alignment horizontal="center" vertical="center" wrapText="1"/>
    </xf>
    <xf numFmtId="10" fontId="16" fillId="6" borderId="1" xfId="0" applyNumberFormat="1" applyFont="1" applyFill="1" applyBorder="1" applyAlignment="1">
      <alignment vertical="center" wrapText="1"/>
    </xf>
    <xf numFmtId="3" fontId="15" fillId="7" borderId="1" xfId="0" applyNumberFormat="1" applyFont="1" applyFill="1" applyBorder="1" applyAlignment="1">
      <alignment vertical="center" wrapText="1"/>
    </xf>
    <xf numFmtId="10" fontId="16" fillId="7" borderId="1" xfId="0" applyNumberFormat="1" applyFont="1" applyFill="1" applyBorder="1" applyAlignment="1">
      <alignment horizontal="center" vertical="center" wrapText="1"/>
    </xf>
    <xf numFmtId="0" fontId="20" fillId="12" borderId="88" xfId="0" applyFont="1" applyFill="1" applyBorder="1" applyAlignment="1">
      <alignment horizontal="right" wrapText="1"/>
    </xf>
    <xf numFmtId="0" fontId="20" fillId="12" borderId="89" xfId="0" applyFont="1" applyFill="1" applyBorder="1" applyAlignment="1">
      <alignment horizontal="right" wrapText="1"/>
    </xf>
    <xf numFmtId="0" fontId="15" fillId="7" borderId="0" xfId="0" applyFont="1" applyFill="1" applyBorder="1" applyAlignment="1">
      <alignment horizontal="center" vertical="center" wrapText="1"/>
    </xf>
    <xf numFmtId="9" fontId="15" fillId="7" borderId="0" xfId="4" applyFont="1" applyFill="1" applyBorder="1" applyAlignment="1">
      <alignment horizontal="center" vertical="center" wrapText="1"/>
    </xf>
    <xf numFmtId="0" fontId="15" fillId="7" borderId="70" xfId="0" applyFont="1" applyFill="1" applyBorder="1" applyAlignment="1">
      <alignment horizontal="justify" vertical="center" wrapText="1"/>
    </xf>
    <xf numFmtId="0" fontId="15" fillId="7" borderId="71" xfId="0" applyFont="1" applyFill="1" applyBorder="1" applyAlignment="1">
      <alignment horizontal="center" vertical="center" wrapText="1"/>
    </xf>
    <xf numFmtId="9" fontId="15" fillId="7" borderId="71" xfId="4" applyFont="1" applyFill="1" applyBorder="1" applyAlignment="1">
      <alignment horizontal="center" vertical="center" wrapText="1"/>
    </xf>
    <xf numFmtId="0" fontId="15" fillId="7" borderId="72" xfId="0" applyFont="1" applyFill="1" applyBorder="1" applyAlignment="1">
      <alignment horizontal="justify" vertical="center" wrapText="1"/>
    </xf>
    <xf numFmtId="0" fontId="15" fillId="11" borderId="99" xfId="0" applyFont="1" applyFill="1" applyBorder="1" applyAlignment="1">
      <alignment horizontal="center" vertical="center" wrapText="1"/>
    </xf>
    <xf numFmtId="0" fontId="15" fillId="11" borderId="73" xfId="0" applyFont="1" applyFill="1" applyBorder="1" applyAlignment="1">
      <alignment horizontal="center" vertical="center" wrapText="1"/>
    </xf>
    <xf numFmtId="9" fontId="15" fillId="11" borderId="73" xfId="4" applyFont="1" applyFill="1" applyBorder="1" applyAlignment="1">
      <alignment horizontal="center" vertical="center" wrapText="1"/>
    </xf>
    <xf numFmtId="0" fontId="15" fillId="11" borderId="73" xfId="0" applyFont="1" applyFill="1" applyBorder="1" applyAlignment="1">
      <alignment horizontal="justify" vertical="center" wrapText="1"/>
    </xf>
    <xf numFmtId="0" fontId="0" fillId="11" borderId="74" xfId="0" applyFill="1" applyBorder="1" applyAlignment="1">
      <alignment horizontal="center" vertical="center" wrapText="1"/>
    </xf>
    <xf numFmtId="0" fontId="15" fillId="11" borderId="101" xfId="0" applyFont="1" applyFill="1" applyBorder="1" applyAlignment="1">
      <alignment horizontal="center" vertical="center" wrapText="1"/>
    </xf>
    <xf numFmtId="0" fontId="15" fillId="11" borderId="71" xfId="0" applyFont="1" applyFill="1" applyBorder="1" applyAlignment="1">
      <alignment horizontal="center" vertical="center" wrapText="1"/>
    </xf>
    <xf numFmtId="9" fontId="15" fillId="11" borderId="71" xfId="4" applyFont="1" applyFill="1" applyBorder="1" applyAlignment="1">
      <alignment horizontal="center" vertical="center" wrapText="1"/>
    </xf>
    <xf numFmtId="0" fontId="15" fillId="11" borderId="71" xfId="0" applyFont="1" applyFill="1" applyBorder="1" applyAlignment="1">
      <alignment horizontal="justify" vertical="center" wrapText="1"/>
    </xf>
    <xf numFmtId="0" fontId="0" fillId="11" borderId="72" xfId="0" applyFill="1" applyBorder="1" applyAlignment="1">
      <alignment horizontal="center" vertical="center" wrapText="1"/>
    </xf>
    <xf numFmtId="173" fontId="15" fillId="6" borderId="73" xfId="0" applyNumberFormat="1" applyFont="1" applyFill="1" applyBorder="1" applyAlignment="1">
      <alignment horizontal="center" vertical="center" wrapText="1"/>
    </xf>
    <xf numFmtId="9" fontId="15" fillId="6" borderId="73" xfId="4" applyFont="1" applyFill="1" applyBorder="1" applyAlignment="1">
      <alignment horizontal="center" vertical="center" wrapText="1"/>
    </xf>
    <xf numFmtId="0" fontId="15" fillId="6" borderId="74" xfId="0" applyFont="1" applyFill="1" applyBorder="1" applyAlignment="1">
      <alignment horizontal="justify" vertical="center" wrapText="1"/>
    </xf>
    <xf numFmtId="173" fontId="16" fillId="6" borderId="73" xfId="0" applyNumberFormat="1" applyFont="1" applyFill="1" applyBorder="1" applyAlignment="1">
      <alignment horizontal="center" vertical="center" wrapText="1"/>
    </xf>
    <xf numFmtId="0" fontId="16" fillId="6" borderId="74" xfId="0" applyFont="1" applyFill="1" applyBorder="1" applyAlignment="1">
      <alignment horizontal="justify" vertical="center" wrapText="1"/>
    </xf>
    <xf numFmtId="173" fontId="15" fillId="6" borderId="71" xfId="0" applyNumberFormat="1" applyFont="1" applyFill="1" applyBorder="1" applyAlignment="1">
      <alignment horizontal="center" vertical="center" wrapText="1"/>
    </xf>
    <xf numFmtId="9" fontId="15" fillId="6" borderId="71" xfId="4" applyFont="1" applyFill="1" applyBorder="1" applyAlignment="1">
      <alignment horizontal="center" vertical="center" wrapText="1"/>
    </xf>
    <xf numFmtId="0" fontId="15" fillId="6" borderId="72" xfId="0" applyFont="1" applyFill="1" applyBorder="1" applyAlignment="1">
      <alignment horizontal="justify" vertical="center" wrapText="1"/>
    </xf>
    <xf numFmtId="0" fontId="17" fillId="6" borderId="72" xfId="0" applyFont="1" applyFill="1" applyBorder="1" applyAlignment="1">
      <alignment horizontal="justify" vertical="center" wrapText="1"/>
    </xf>
    <xf numFmtId="0" fontId="16" fillId="6" borderId="72" xfId="0" applyFont="1" applyFill="1" applyBorder="1" applyAlignment="1">
      <alignment horizontal="justify" vertical="center" wrapText="1"/>
    </xf>
    <xf numFmtId="9" fontId="0" fillId="0" borderId="0" xfId="0" applyNumberFormat="1"/>
    <xf numFmtId="0" fontId="6" fillId="2" borderId="0" xfId="0" applyFont="1" applyFill="1" applyBorder="1" applyAlignment="1">
      <alignment horizontal="center" vertical="center" wrapText="1"/>
    </xf>
    <xf numFmtId="14" fontId="6" fillId="2" borderId="0" xfId="0" applyNumberFormat="1" applyFont="1" applyFill="1" applyBorder="1" applyAlignment="1">
      <alignment horizontal="center" vertical="center" wrapText="1"/>
    </xf>
    <xf numFmtId="0" fontId="4" fillId="0" borderId="0" xfId="0" applyFont="1" applyAlignment="1">
      <alignment horizontal="center" vertical="center" wrapText="1"/>
    </xf>
    <xf numFmtId="0" fontId="13" fillId="0" borderId="0" xfId="0" applyFont="1" applyAlignment="1">
      <alignment horizontal="center" vertical="center" wrapText="1"/>
    </xf>
    <xf numFmtId="0" fontId="6" fillId="2" borderId="107" xfId="0" applyFont="1" applyFill="1" applyBorder="1" applyAlignment="1">
      <alignment horizontal="center" vertical="center" wrapText="1"/>
    </xf>
    <xf numFmtId="0" fontId="2" fillId="18" borderId="0" xfId="0" applyFont="1" applyFill="1" applyAlignment="1">
      <alignment horizontal="center" vertical="center" wrapText="1"/>
    </xf>
    <xf numFmtId="0" fontId="2" fillId="19" borderId="0" xfId="0" applyFont="1" applyFill="1" applyAlignment="1">
      <alignment horizontal="center" vertical="center" wrapText="1"/>
    </xf>
    <xf numFmtId="0" fontId="17" fillId="7" borderId="0" xfId="0" applyFont="1" applyFill="1" applyAlignment="1">
      <alignment horizontal="center" vertical="center" wrapText="1"/>
    </xf>
    <xf numFmtId="9" fontId="15" fillId="7" borderId="0" xfId="0" applyNumberFormat="1" applyFont="1" applyFill="1" applyAlignment="1">
      <alignment horizontal="center" vertical="center" wrapText="1"/>
    </xf>
    <xf numFmtId="1" fontId="15" fillId="7" borderId="0" xfId="0" applyNumberFormat="1" applyFont="1" applyFill="1" applyAlignment="1">
      <alignment horizontal="center" vertical="center" wrapText="1"/>
    </xf>
    <xf numFmtId="0" fontId="26" fillId="0" borderId="0" xfId="0" applyFont="1" applyAlignment="1">
      <alignment horizontal="center" vertical="center" wrapText="1"/>
    </xf>
    <xf numFmtId="9" fontId="15" fillId="0" borderId="108" xfId="0" applyNumberFormat="1" applyFont="1" applyBorder="1" applyAlignment="1">
      <alignment horizontal="center" vertical="center" wrapText="1"/>
    </xf>
    <xf numFmtId="0" fontId="15" fillId="20" borderId="104" xfId="0" applyFont="1" applyFill="1" applyBorder="1" applyAlignment="1">
      <alignment horizontal="center" vertical="center" wrapText="1"/>
    </xf>
    <xf numFmtId="0" fontId="15" fillId="20" borderId="105" xfId="0" applyFont="1" applyFill="1" applyBorder="1" applyAlignment="1">
      <alignment horizontal="center" vertical="center" wrapText="1"/>
    </xf>
    <xf numFmtId="9" fontId="15" fillId="0" borderId="58" xfId="0" applyNumberFormat="1" applyFont="1" applyBorder="1" applyAlignment="1">
      <alignment horizontal="center" vertical="center" wrapText="1"/>
    </xf>
    <xf numFmtId="0" fontId="15" fillId="20" borderId="0" xfId="0" applyFont="1" applyFill="1" applyBorder="1" applyAlignment="1">
      <alignment horizontal="center" vertical="center" wrapText="1"/>
    </xf>
    <xf numFmtId="9" fontId="15" fillId="0" borderId="0" xfId="0" applyNumberFormat="1" applyFont="1" applyBorder="1" applyAlignment="1">
      <alignment horizontal="center" vertical="center" wrapText="1"/>
    </xf>
    <xf numFmtId="168" fontId="15" fillId="6" borderId="0" xfId="0" applyNumberFormat="1" applyFont="1" applyFill="1" applyAlignment="1">
      <alignment horizontal="center" vertical="center" wrapText="1"/>
    </xf>
    <xf numFmtId="0" fontId="15" fillId="20" borderId="57" xfId="0" applyFont="1" applyFill="1" applyBorder="1" applyAlignment="1">
      <alignment horizontal="center" vertical="center" wrapText="1"/>
    </xf>
    <xf numFmtId="9" fontId="15" fillId="7" borderId="0" xfId="4" applyFont="1" applyFill="1" applyAlignment="1">
      <alignment horizontal="center" vertical="center" wrapText="1"/>
    </xf>
    <xf numFmtId="9" fontId="15" fillId="0" borderId="0" xfId="0" applyNumberFormat="1" applyFont="1" applyAlignment="1">
      <alignment horizontal="center" vertical="center" wrapText="1"/>
    </xf>
    <xf numFmtId="9" fontId="26" fillId="0" borderId="0" xfId="4" applyFont="1" applyAlignment="1">
      <alignment horizontal="center" vertical="center" wrapText="1"/>
    </xf>
    <xf numFmtId="9" fontId="15" fillId="0" borderId="0" xfId="4" applyFont="1" applyBorder="1" applyAlignment="1">
      <alignment horizontal="center" vertical="center" wrapText="1"/>
    </xf>
    <xf numFmtId="9" fontId="15" fillId="0" borderId="57" xfId="0" applyNumberFormat="1" applyFont="1" applyBorder="1" applyAlignment="1">
      <alignment horizontal="center" vertical="center" wrapText="1"/>
    </xf>
    <xf numFmtId="9" fontId="17" fillId="0" borderId="57" xfId="0" applyNumberFormat="1" applyFont="1" applyBorder="1" applyAlignment="1">
      <alignment horizontal="center" vertical="center" wrapText="1"/>
    </xf>
    <xf numFmtId="0" fontId="15" fillId="7" borderId="0" xfId="0" applyNumberFormat="1" applyFont="1" applyFill="1" applyAlignment="1">
      <alignment horizontal="center" vertical="center" wrapText="1"/>
    </xf>
    <xf numFmtId="0" fontId="15" fillId="0" borderId="0" xfId="0" applyFont="1" applyBorder="1" applyAlignment="1">
      <alignment horizontal="center" vertical="center" wrapText="1"/>
    </xf>
    <xf numFmtId="0" fontId="15" fillId="0" borderId="57" xfId="0" applyFont="1" applyBorder="1" applyAlignment="1">
      <alignment horizontal="center" vertical="center" wrapText="1"/>
    </xf>
    <xf numFmtId="0" fontId="17" fillId="6" borderId="0" xfId="0" applyFont="1" applyFill="1" applyAlignment="1">
      <alignment horizontal="center" vertical="center" wrapText="1"/>
    </xf>
    <xf numFmtId="168" fontId="16" fillId="6" borderId="0" xfId="4" applyNumberFormat="1" applyFont="1" applyFill="1" applyAlignment="1">
      <alignment horizontal="center" vertical="center" wrapText="1"/>
    </xf>
    <xf numFmtId="0" fontId="16" fillId="6" borderId="0" xfId="0" applyFont="1" applyFill="1" applyAlignment="1">
      <alignment horizontal="center" vertical="center" wrapText="1"/>
    </xf>
    <xf numFmtId="9" fontId="15" fillId="0" borderId="109" xfId="0" applyNumberFormat="1" applyFont="1" applyBorder="1" applyAlignment="1">
      <alignment horizontal="center" vertical="center" wrapText="1"/>
    </xf>
    <xf numFmtId="10" fontId="15" fillId="0" borderId="0" xfId="0" applyNumberFormat="1" applyFont="1" applyBorder="1" applyAlignment="1">
      <alignment horizontal="center" vertical="center" wrapText="1"/>
    </xf>
    <xf numFmtId="168" fontId="15" fillId="0" borderId="109" xfId="0" applyNumberFormat="1" applyFont="1" applyFill="1" applyBorder="1" applyAlignment="1">
      <alignment horizontal="center" vertical="center" wrapText="1"/>
    </xf>
    <xf numFmtId="10" fontId="15" fillId="0" borderId="0" xfId="0" applyNumberFormat="1" applyFont="1" applyFill="1" applyBorder="1" applyAlignment="1">
      <alignment horizontal="center" vertical="center" wrapText="1"/>
    </xf>
    <xf numFmtId="0" fontId="16" fillId="6" borderId="0" xfId="0" applyFont="1" applyFill="1" applyAlignment="1">
      <alignment horizontal="left" vertical="center" wrapText="1"/>
    </xf>
    <xf numFmtId="0" fontId="26" fillId="9" borderId="0" xfId="0" applyFont="1" applyFill="1" applyAlignment="1">
      <alignment horizontal="center" vertical="center" wrapText="1"/>
    </xf>
    <xf numFmtId="9" fontId="15" fillId="9" borderId="60" xfId="0" applyNumberFormat="1" applyFont="1" applyFill="1" applyBorder="1" applyAlignment="1">
      <alignment horizontal="center" vertical="center" wrapText="1"/>
    </xf>
    <xf numFmtId="9" fontId="15" fillId="9" borderId="110" xfId="0" applyNumberFormat="1" applyFont="1" applyFill="1" applyBorder="1" applyAlignment="1">
      <alignment horizontal="center" vertical="center" wrapText="1"/>
    </xf>
    <xf numFmtId="168" fontId="15" fillId="9" borderId="110" xfId="0" applyNumberFormat="1" applyFont="1" applyFill="1" applyBorder="1" applyAlignment="1">
      <alignment horizontal="center" vertical="center" wrapText="1"/>
    </xf>
    <xf numFmtId="168" fontId="15" fillId="9" borderId="111" xfId="0" applyNumberFormat="1" applyFont="1" applyFill="1" applyBorder="1" applyAlignment="1">
      <alignment horizontal="center" vertical="center" wrapText="1"/>
    </xf>
    <xf numFmtId="9" fontId="27" fillId="12" borderId="56" xfId="0" applyNumberFormat="1" applyFont="1" applyFill="1" applyBorder="1" applyAlignment="1">
      <alignment horizontal="center" vertical="center" wrapText="1"/>
    </xf>
    <xf numFmtId="9" fontId="7" fillId="12" borderId="56" xfId="0" applyNumberFormat="1" applyFont="1" applyFill="1" applyBorder="1" applyAlignment="1">
      <alignment horizontal="center" vertical="center" wrapText="1"/>
    </xf>
    <xf numFmtId="168" fontId="0" fillId="9" borderId="110" xfId="4" applyNumberFormat="1" applyFont="1" applyFill="1" applyBorder="1" applyAlignment="1">
      <alignment wrapText="1"/>
    </xf>
    <xf numFmtId="168" fontId="0" fillId="9" borderId="111" xfId="4" applyNumberFormat="1" applyFont="1" applyFill="1" applyBorder="1" applyAlignment="1">
      <alignment wrapText="1"/>
    </xf>
    <xf numFmtId="168" fontId="0" fillId="9" borderId="60" xfId="4" applyNumberFormat="1" applyFont="1" applyFill="1" applyBorder="1" applyAlignment="1">
      <alignment wrapText="1"/>
    </xf>
    <xf numFmtId="0" fontId="3" fillId="9" borderId="0" xfId="0" applyFont="1" applyFill="1" applyAlignment="1">
      <alignment wrapText="1"/>
    </xf>
    <xf numFmtId="168" fontId="0" fillId="9" borderId="0" xfId="4" applyNumberFormat="1" applyFont="1" applyFill="1" applyBorder="1" applyAlignment="1">
      <alignment wrapText="1"/>
    </xf>
    <xf numFmtId="0" fontId="27" fillId="12" borderId="56" xfId="0" applyFont="1" applyFill="1" applyBorder="1" applyAlignment="1">
      <alignment horizontal="center" vertical="center" wrapText="1"/>
    </xf>
    <xf numFmtId="0" fontId="7" fillId="12" borderId="56" xfId="0" applyFont="1" applyFill="1" applyBorder="1" applyAlignment="1">
      <alignment horizontal="center" vertical="center" wrapText="1"/>
    </xf>
    <xf numFmtId="168" fontId="0" fillId="7" borderId="45" xfId="4" applyNumberFormat="1" applyFont="1" applyFill="1" applyBorder="1" applyAlignment="1">
      <alignment horizontal="center" vertical="center" wrapText="1"/>
    </xf>
    <xf numFmtId="9" fontId="0" fillId="7" borderId="45" xfId="0" applyNumberFormat="1" applyFont="1" applyFill="1" applyBorder="1" applyAlignment="1">
      <alignment horizontal="center" vertical="center" wrapText="1"/>
    </xf>
    <xf numFmtId="9" fontId="0" fillId="7" borderId="45" xfId="4" applyFont="1" applyFill="1" applyBorder="1" applyAlignment="1">
      <alignment horizontal="center" vertical="center" wrapText="1"/>
    </xf>
    <xf numFmtId="0" fontId="0" fillId="7" borderId="45" xfId="0" applyFont="1" applyFill="1" applyBorder="1" applyAlignment="1">
      <alignment horizontal="left" vertical="center" wrapText="1"/>
    </xf>
    <xf numFmtId="9" fontId="27" fillId="22" borderId="56" xfId="0" applyNumberFormat="1" applyFont="1" applyFill="1" applyBorder="1" applyAlignment="1">
      <alignment horizontal="center" vertical="center"/>
    </xf>
    <xf numFmtId="0" fontId="27" fillId="22" borderId="56" xfId="0" applyFont="1" applyFill="1" applyBorder="1" applyAlignment="1">
      <alignment horizontal="center" vertical="center" wrapText="1"/>
    </xf>
    <xf numFmtId="9" fontId="7" fillId="22" borderId="56" xfId="0" applyNumberFormat="1" applyFont="1" applyFill="1" applyBorder="1" applyAlignment="1">
      <alignment horizontal="center" vertical="center"/>
    </xf>
    <xf numFmtId="0" fontId="7" fillId="22" borderId="56" xfId="0" applyFont="1" applyFill="1" applyBorder="1" applyAlignment="1">
      <alignment horizontal="center" vertical="center" wrapText="1"/>
    </xf>
    <xf numFmtId="168" fontId="0" fillId="6" borderId="45" xfId="4" applyNumberFormat="1" applyFont="1" applyFill="1" applyBorder="1" applyAlignment="1">
      <alignment horizontal="center" vertical="center"/>
    </xf>
    <xf numFmtId="9" fontId="0" fillId="6" borderId="45" xfId="0" applyNumberFormat="1" applyFont="1" applyFill="1" applyBorder="1" applyAlignment="1">
      <alignment horizontal="center" vertical="center"/>
    </xf>
    <xf numFmtId="9" fontId="0" fillId="6" borderId="45" xfId="4" applyFont="1" applyFill="1" applyBorder="1" applyAlignment="1">
      <alignment horizontal="center" vertical="center"/>
    </xf>
    <xf numFmtId="0" fontId="0" fillId="6" borderId="45" xfId="0" applyFont="1" applyFill="1" applyBorder="1" applyAlignment="1">
      <alignment horizontal="left" vertical="center" wrapText="1"/>
    </xf>
    <xf numFmtId="10" fontId="27" fillId="12" borderId="56" xfId="0" applyNumberFormat="1" applyFont="1" applyFill="1" applyBorder="1" applyAlignment="1">
      <alignment horizontal="center" vertical="center" wrapText="1"/>
    </xf>
    <xf numFmtId="10" fontId="7" fillId="12" borderId="56" xfId="0" applyNumberFormat="1" applyFont="1" applyFill="1" applyBorder="1" applyAlignment="1">
      <alignment horizontal="center" vertical="center" wrapText="1"/>
    </xf>
    <xf numFmtId="10" fontId="7" fillId="22" borderId="56" xfId="0" applyNumberFormat="1" applyFont="1" applyFill="1" applyBorder="1" applyAlignment="1">
      <alignment horizontal="center" vertical="center"/>
    </xf>
    <xf numFmtId="0" fontId="3" fillId="0" borderId="0" xfId="0" applyFont="1" applyAlignment="1">
      <alignment wrapText="1"/>
    </xf>
    <xf numFmtId="0" fontId="15" fillId="6" borderId="0" xfId="0" applyFont="1" applyFill="1" applyAlignment="1">
      <alignment horizontal="center" vertical="center" wrapText="1"/>
    </xf>
    <xf numFmtId="0" fontId="2" fillId="4" borderId="0" xfId="0" applyFont="1" applyFill="1" applyAlignment="1">
      <alignment horizontal="center" vertical="center" wrapText="1"/>
    </xf>
    <xf numFmtId="0" fontId="2" fillId="4" borderId="9"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 fillId="6" borderId="45" xfId="0" applyFont="1" applyFill="1" applyBorder="1" applyAlignment="1">
      <alignment horizontal="center" vertical="center" wrapText="1"/>
    </xf>
    <xf numFmtId="9" fontId="4" fillId="6" borderId="45" xfId="4" applyFont="1" applyFill="1" applyBorder="1" applyAlignment="1">
      <alignment horizontal="center" vertical="center" wrapText="1"/>
    </xf>
    <xf numFmtId="9" fontId="4" fillId="7" borderId="45" xfId="4" applyFont="1" applyFill="1" applyBorder="1" applyAlignment="1">
      <alignment horizontal="center" vertical="center" wrapText="1"/>
    </xf>
    <xf numFmtId="0" fontId="4" fillId="7" borderId="45" xfId="0" applyFont="1" applyFill="1" applyBorder="1" applyAlignment="1">
      <alignment horizontal="center" vertical="center" wrapText="1"/>
    </xf>
    <xf numFmtId="10" fontId="15" fillId="6" borderId="1" xfId="0" applyNumberFormat="1" applyFont="1" applyFill="1" applyBorder="1" applyAlignment="1">
      <alignment horizontal="center" vertical="center" wrapText="1"/>
    </xf>
    <xf numFmtId="0" fontId="15" fillId="7" borderId="1" xfId="0" applyFont="1" applyFill="1" applyBorder="1" applyAlignment="1">
      <alignment horizontal="center" vertical="center" wrapText="1"/>
    </xf>
    <xf numFmtId="41" fontId="15" fillId="7" borderId="1" xfId="1" applyFont="1" applyFill="1" applyBorder="1" applyAlignment="1">
      <alignment horizontal="center" vertical="center" wrapText="1"/>
    </xf>
    <xf numFmtId="9" fontId="4" fillId="7" borderId="75" xfId="4" applyFont="1" applyFill="1" applyBorder="1" applyAlignment="1">
      <alignment horizontal="center" vertical="center" wrapText="1"/>
    </xf>
    <xf numFmtId="0" fontId="4" fillId="7" borderId="11" xfId="0" applyFont="1" applyFill="1" applyBorder="1" applyAlignment="1">
      <alignment horizontal="center" vertical="center" wrapText="1"/>
    </xf>
    <xf numFmtId="0" fontId="2" fillId="4" borderId="0" xfId="0" applyFont="1" applyFill="1" applyAlignment="1">
      <alignment horizontal="center" vertical="center"/>
    </xf>
    <xf numFmtId="0" fontId="2" fillId="4" borderId="9" xfId="0" applyFont="1" applyFill="1" applyBorder="1" applyAlignment="1">
      <alignment horizontal="center" vertical="center"/>
    </xf>
    <xf numFmtId="0" fontId="2" fillId="5" borderId="11" xfId="0" applyFont="1" applyFill="1" applyBorder="1" applyAlignment="1">
      <alignment horizontal="center" vertical="center"/>
    </xf>
    <xf numFmtId="167" fontId="4" fillId="6" borderId="45" xfId="2" applyNumberFormat="1" applyFont="1" applyFill="1" applyBorder="1" applyAlignment="1">
      <alignment horizontal="center" vertical="center" wrapText="1"/>
    </xf>
    <xf numFmtId="0" fontId="7" fillId="6" borderId="45" xfId="0" applyFont="1" applyFill="1" applyBorder="1" applyAlignment="1">
      <alignment horizontal="center" vertical="center"/>
    </xf>
    <xf numFmtId="9" fontId="7" fillId="6" borderId="45" xfId="4" applyFont="1" applyFill="1" applyBorder="1" applyAlignment="1">
      <alignment horizontal="center" vertical="center"/>
    </xf>
    <xf numFmtId="0" fontId="7" fillId="6" borderId="45" xfId="0" applyFont="1" applyFill="1" applyBorder="1" applyAlignment="1">
      <alignment horizontal="center" vertical="center" wrapText="1"/>
    </xf>
    <xf numFmtId="9" fontId="7" fillId="6" borderId="45" xfId="0" applyNumberFormat="1" applyFont="1" applyFill="1" applyBorder="1" applyAlignment="1">
      <alignment horizontal="center" vertical="center" wrapText="1"/>
    </xf>
    <xf numFmtId="9" fontId="7" fillId="6" borderId="45" xfId="4" applyFont="1" applyFill="1" applyBorder="1" applyAlignment="1">
      <alignment horizontal="center" vertical="center" wrapText="1"/>
    </xf>
    <xf numFmtId="0" fontId="4" fillId="6" borderId="0" xfId="0" applyFont="1" applyFill="1" applyAlignment="1">
      <alignment horizontal="center" vertical="center" wrapText="1"/>
    </xf>
    <xf numFmtId="0" fontId="4" fillId="7" borderId="16" xfId="0" applyFont="1" applyFill="1" applyBorder="1" applyAlignment="1">
      <alignment horizontal="center" vertical="center" wrapText="1"/>
    </xf>
    <xf numFmtId="167" fontId="4" fillId="7" borderId="45" xfId="2" applyNumberFormat="1" applyFont="1" applyFill="1" applyBorder="1" applyAlignment="1">
      <alignment horizontal="center" vertical="center" wrapText="1"/>
    </xf>
    <xf numFmtId="9" fontId="4" fillId="6" borderId="45" xfId="0" applyNumberFormat="1" applyFont="1" applyFill="1" applyBorder="1" applyAlignment="1">
      <alignment horizontal="center" vertical="center" wrapText="1"/>
    </xf>
    <xf numFmtId="0" fontId="4" fillId="7" borderId="35" xfId="0" applyFont="1" applyFill="1" applyBorder="1" applyAlignment="1">
      <alignment horizontal="center" vertical="center" wrapText="1"/>
    </xf>
    <xf numFmtId="167" fontId="4" fillId="6" borderId="45" xfId="2" applyNumberFormat="1" applyFont="1" applyFill="1" applyBorder="1" applyAlignment="1">
      <alignment horizontal="center" vertical="center"/>
    </xf>
    <xf numFmtId="0" fontId="4" fillId="6" borderId="45" xfId="0" applyFont="1" applyFill="1" applyBorder="1" applyAlignment="1">
      <alignment horizontal="center" vertical="center"/>
    </xf>
    <xf numFmtId="9" fontId="4" fillId="6" borderId="45" xfId="4" applyFont="1" applyFill="1" applyBorder="1" applyAlignment="1">
      <alignment horizontal="center" vertical="center"/>
    </xf>
    <xf numFmtId="0" fontId="4" fillId="7" borderId="43" xfId="0" applyFont="1" applyFill="1" applyBorder="1" applyAlignment="1">
      <alignment horizontal="center" vertical="center" wrapText="1"/>
    </xf>
    <xf numFmtId="0" fontId="7" fillId="7" borderId="45" xfId="0" applyFont="1" applyFill="1" applyBorder="1" applyAlignment="1">
      <alignment horizontal="center" vertical="center" wrapText="1"/>
    </xf>
    <xf numFmtId="9" fontId="7" fillId="7" borderId="45" xfId="4" applyFont="1" applyFill="1" applyBorder="1" applyAlignment="1">
      <alignment horizontal="center" vertical="center" wrapText="1"/>
    </xf>
    <xf numFmtId="0" fontId="4" fillId="6" borderId="26" xfId="0" applyFont="1" applyFill="1" applyBorder="1" applyAlignment="1">
      <alignment horizontal="center" vertical="center" wrapText="1"/>
    </xf>
    <xf numFmtId="0" fontId="4" fillId="6" borderId="18" xfId="0" applyFont="1" applyFill="1" applyBorder="1" applyAlignment="1">
      <alignment horizontal="center" vertical="center" wrapText="1"/>
    </xf>
    <xf numFmtId="164" fontId="15" fillId="7" borderId="0" xfId="6" applyFont="1" applyFill="1" applyAlignment="1">
      <alignment horizontal="center" vertical="center" wrapText="1"/>
    </xf>
    <xf numFmtId="0" fontId="4" fillId="6" borderId="30" xfId="0" applyFont="1" applyFill="1" applyBorder="1" applyAlignment="1">
      <alignment horizontal="center" vertical="center" wrapText="1"/>
    </xf>
    <xf numFmtId="9" fontId="4" fillId="7" borderId="35" xfId="4" applyFont="1" applyFill="1" applyBorder="1" applyAlignment="1">
      <alignment horizontal="center" vertical="center" wrapText="1"/>
    </xf>
    <xf numFmtId="167" fontId="4" fillId="7" borderId="45" xfId="2" applyNumberFormat="1" applyFont="1" applyFill="1" applyBorder="1" applyAlignment="1">
      <alignment horizontal="center" vertical="center" wrapText="1"/>
    </xf>
    <xf numFmtId="0" fontId="6" fillId="2" borderId="107" xfId="0" applyFont="1" applyFill="1" applyBorder="1" applyAlignment="1">
      <alignment horizontal="center" vertical="center"/>
    </xf>
    <xf numFmtId="0" fontId="4" fillId="2" borderId="107" xfId="0" applyFont="1" applyFill="1" applyBorder="1" applyAlignment="1">
      <alignment horizontal="center" vertical="center"/>
    </xf>
    <xf numFmtId="14" fontId="6" fillId="2" borderId="60" xfId="0" applyNumberFormat="1" applyFont="1" applyFill="1" applyBorder="1" applyAlignment="1">
      <alignment horizontal="center" vertical="center"/>
    </xf>
    <xf numFmtId="0" fontId="6" fillId="2" borderId="60" xfId="0" applyFont="1" applyFill="1" applyBorder="1" applyAlignment="1">
      <alignment horizontal="center" vertical="center"/>
    </xf>
    <xf numFmtId="0" fontId="2" fillId="5" borderId="60" xfId="0" applyFont="1" applyFill="1" applyBorder="1" applyAlignment="1">
      <alignment horizontal="center" vertical="center" wrapText="1"/>
    </xf>
    <xf numFmtId="0" fontId="0" fillId="0" borderId="111" xfId="0" applyBorder="1"/>
    <xf numFmtId="10" fontId="16" fillId="6" borderId="60" xfId="0" applyNumberFormat="1" applyFont="1" applyFill="1" applyBorder="1" applyAlignment="1">
      <alignment vertical="center" wrapText="1"/>
    </xf>
    <xf numFmtId="10" fontId="4"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10" fontId="25" fillId="0" borderId="1" xfId="0" applyNumberFormat="1" applyFont="1" applyBorder="1" applyAlignment="1">
      <alignment vertical="center" wrapText="1"/>
    </xf>
    <xf numFmtId="10" fontId="2" fillId="19" borderId="0" xfId="0" applyNumberFormat="1" applyFont="1" applyFill="1" applyAlignment="1">
      <alignment horizontal="center" vertical="center" wrapText="1"/>
    </xf>
    <xf numFmtId="10" fontId="15" fillId="0" borderId="0" xfId="0" applyNumberFormat="1" applyFont="1" applyAlignment="1">
      <alignment horizontal="center" vertical="center" wrapText="1"/>
    </xf>
    <xf numFmtId="10" fontId="15" fillId="9" borderId="110" xfId="0" applyNumberFormat="1" applyFont="1" applyFill="1" applyBorder="1" applyAlignment="1">
      <alignment horizontal="center" vertical="center" wrapText="1"/>
    </xf>
    <xf numFmtId="10" fontId="15" fillId="0" borderId="104" xfId="0" applyNumberFormat="1" applyFont="1" applyBorder="1" applyAlignment="1">
      <alignment horizontal="center" vertical="center" wrapText="1"/>
    </xf>
    <xf numFmtId="10" fontId="15" fillId="9" borderId="110" xfId="4" applyNumberFormat="1" applyFont="1" applyFill="1" applyBorder="1" applyAlignment="1">
      <alignment horizontal="center" vertical="center" wrapText="1"/>
    </xf>
    <xf numFmtId="10" fontId="15" fillId="0" borderId="108" xfId="0" applyNumberFormat="1" applyFont="1" applyBorder="1" applyAlignment="1">
      <alignment horizontal="center" vertical="center" wrapText="1"/>
    </xf>
    <xf numFmtId="10" fontId="15" fillId="0" borderId="58" xfId="0" applyNumberFormat="1" applyFont="1" applyBorder="1" applyAlignment="1">
      <alignment horizontal="center" vertical="center" wrapText="1"/>
    </xf>
    <xf numFmtId="168" fontId="4" fillId="6" borderId="45" xfId="4" applyNumberFormat="1" applyFont="1" applyFill="1" applyBorder="1" applyAlignment="1">
      <alignment horizontal="center" vertical="center" wrapText="1"/>
    </xf>
    <xf numFmtId="10" fontId="15" fillId="0" borderId="0" xfId="4" applyNumberFormat="1" applyFont="1" applyAlignment="1">
      <alignment horizontal="center" vertical="center" wrapText="1"/>
    </xf>
    <xf numFmtId="10" fontId="15" fillId="0" borderId="107" xfId="0" applyNumberFormat="1" applyFont="1" applyBorder="1" applyAlignment="1">
      <alignment horizontal="center" vertical="center" wrapText="1"/>
    </xf>
    <xf numFmtId="10" fontId="0" fillId="0" borderId="0" xfId="0" applyNumberFormat="1" applyAlignment="1">
      <alignment wrapText="1"/>
    </xf>
    <xf numFmtId="10" fontId="3" fillId="9" borderId="0" xfId="0" applyNumberFormat="1" applyFont="1" applyFill="1" applyAlignment="1">
      <alignment horizontal="center" wrapText="1"/>
    </xf>
    <xf numFmtId="1" fontId="4" fillId="7" borderId="45" xfId="1" applyNumberFormat="1" applyFont="1" applyFill="1" applyBorder="1" applyAlignment="1">
      <alignment horizontal="center" vertical="center" wrapText="1"/>
    </xf>
    <xf numFmtId="0" fontId="6" fillId="2" borderId="0" xfId="0" applyFont="1" applyFill="1" applyAlignment="1">
      <alignment horizontal="center" vertical="center" wrapText="1"/>
    </xf>
    <xf numFmtId="14" fontId="6" fillId="2" borderId="0" xfId="0" applyNumberFormat="1" applyFont="1" applyFill="1" applyAlignment="1">
      <alignment horizontal="center" vertical="center" wrapText="1"/>
    </xf>
    <xf numFmtId="0" fontId="4" fillId="2" borderId="107" xfId="0" applyFont="1" applyFill="1" applyBorder="1" applyAlignment="1">
      <alignment horizontal="center" vertical="center" wrapText="1"/>
    </xf>
    <xf numFmtId="9" fontId="7" fillId="0" borderId="26" xfId="4" applyFont="1" applyBorder="1" applyAlignment="1">
      <alignment horizontal="center" vertical="center"/>
    </xf>
    <xf numFmtId="9" fontId="28" fillId="6" borderId="45" xfId="4" applyFont="1" applyFill="1" applyBorder="1" applyAlignment="1">
      <alignment horizontal="center" vertical="center"/>
    </xf>
    <xf numFmtId="9" fontId="29" fillId="6" borderId="45" xfId="4" applyFont="1" applyFill="1" applyBorder="1" applyAlignment="1">
      <alignment horizontal="center" vertical="center"/>
    </xf>
    <xf numFmtId="0" fontId="30" fillId="6" borderId="45" xfId="0" applyFont="1" applyFill="1" applyBorder="1" applyAlignment="1">
      <alignment horizontal="center" vertical="center"/>
    </xf>
    <xf numFmtId="0" fontId="31" fillId="6" borderId="45" xfId="0" applyFont="1" applyFill="1" applyBorder="1" applyAlignment="1">
      <alignment horizontal="center" vertical="center"/>
    </xf>
    <xf numFmtId="0" fontId="27" fillId="6" borderId="45" xfId="0" applyFont="1" applyFill="1" applyBorder="1" applyAlignment="1">
      <alignment horizontal="center" vertical="center" wrapText="1"/>
    </xf>
    <xf numFmtId="0" fontId="30" fillId="7" borderId="45" xfId="0" applyFont="1" applyFill="1" applyBorder="1" applyAlignment="1">
      <alignment horizontal="center" vertical="center" wrapText="1"/>
    </xf>
    <xf numFmtId="0" fontId="31" fillId="7" borderId="45" xfId="0" applyFont="1" applyFill="1" applyBorder="1" applyAlignment="1">
      <alignment horizontal="center" vertical="center" wrapText="1"/>
    </xf>
    <xf numFmtId="0" fontId="27" fillId="7" borderId="45" xfId="0" applyFont="1" applyFill="1" applyBorder="1" applyAlignment="1">
      <alignment horizontal="center" vertical="center" wrapText="1"/>
    </xf>
    <xf numFmtId="0" fontId="4" fillId="6" borderId="0" xfId="0" applyFont="1" applyFill="1" applyAlignment="1">
      <alignment vertical="center" wrapText="1"/>
    </xf>
    <xf numFmtId="0" fontId="4" fillId="7" borderId="16" xfId="0" applyFont="1" applyFill="1" applyBorder="1" applyAlignment="1">
      <alignment vertical="center" wrapText="1"/>
    </xf>
    <xf numFmtId="0" fontId="4" fillId="6" borderId="17" xfId="0" applyFont="1" applyFill="1" applyBorder="1" applyAlignment="1">
      <alignment vertical="center" wrapText="1"/>
    </xf>
    <xf numFmtId="0" fontId="4" fillId="6" borderId="44" xfId="0" applyFont="1" applyFill="1" applyBorder="1" applyAlignment="1">
      <alignment vertical="center" wrapText="1"/>
    </xf>
    <xf numFmtId="0" fontId="32" fillId="6" borderId="45" xfId="0" applyFont="1" applyFill="1" applyBorder="1" applyAlignment="1">
      <alignment horizontal="center" vertical="center" wrapText="1"/>
    </xf>
    <xf numFmtId="0" fontId="7" fillId="12" borderId="116" xfId="0" applyFont="1" applyFill="1" applyBorder="1" applyAlignment="1">
      <alignment horizontal="center" vertical="center" wrapText="1"/>
    </xf>
    <xf numFmtId="0" fontId="7" fillId="6" borderId="0" xfId="0" applyFont="1" applyFill="1" applyAlignment="1">
      <alignment horizontal="center" vertical="center" wrapText="1"/>
    </xf>
    <xf numFmtId="10" fontId="7" fillId="7" borderId="45" xfId="4" applyNumberFormat="1" applyFont="1" applyFill="1" applyBorder="1" applyAlignment="1">
      <alignment horizontal="center" vertical="center" wrapText="1"/>
    </xf>
    <xf numFmtId="0" fontId="7" fillId="7" borderId="45" xfId="0" applyFont="1" applyFill="1" applyBorder="1" applyAlignment="1">
      <alignment horizontal="justify" vertical="center" wrapText="1"/>
    </xf>
    <xf numFmtId="1" fontId="7" fillId="6" borderId="30" xfId="0" applyNumberFormat="1" applyFont="1" applyFill="1" applyBorder="1" applyAlignment="1">
      <alignment horizontal="center" vertical="center"/>
    </xf>
    <xf numFmtId="0" fontId="7" fillId="7" borderId="0" xfId="0" applyFont="1" applyFill="1" applyAlignment="1">
      <alignment horizontal="left" vertical="center"/>
    </xf>
    <xf numFmtId="0" fontId="4" fillId="8" borderId="27" xfId="0" applyFont="1" applyFill="1" applyBorder="1" applyAlignment="1">
      <alignment horizontal="center" vertical="center" wrapText="1"/>
    </xf>
    <xf numFmtId="0" fontId="4" fillId="8" borderId="11" xfId="0" applyFont="1" applyFill="1" applyBorder="1" applyAlignment="1">
      <alignment vertical="center" wrapText="1"/>
    </xf>
    <xf numFmtId="1" fontId="4" fillId="6" borderId="27" xfId="0" applyNumberFormat="1" applyFont="1" applyFill="1" applyBorder="1" applyAlignment="1">
      <alignment horizontal="center" vertical="center"/>
    </xf>
    <xf numFmtId="0" fontId="4" fillId="8" borderId="125" xfId="0" applyFont="1" applyFill="1" applyBorder="1" applyAlignment="1">
      <alignment vertical="center"/>
    </xf>
    <xf numFmtId="0" fontId="4" fillId="8" borderId="27" xfId="0" applyFont="1" applyFill="1" applyBorder="1" applyAlignment="1">
      <alignment vertical="center"/>
    </xf>
    <xf numFmtId="1" fontId="4" fillId="7" borderId="11" xfId="0" applyNumberFormat="1" applyFont="1" applyFill="1" applyBorder="1" applyAlignment="1">
      <alignment vertical="center" wrapText="1"/>
    </xf>
    <xf numFmtId="1" fontId="4" fillId="7" borderId="11" xfId="0" applyNumberFormat="1" applyFont="1" applyFill="1" applyBorder="1" applyAlignment="1">
      <alignment horizontal="center" vertical="center" wrapText="1"/>
    </xf>
    <xf numFmtId="168" fontId="4" fillId="6" borderId="27" xfId="4" applyNumberFormat="1" applyFont="1" applyFill="1" applyBorder="1" applyAlignment="1">
      <alignment horizontal="center" vertical="center"/>
    </xf>
    <xf numFmtId="0" fontId="2" fillId="3" borderId="80" xfId="0" applyFont="1" applyFill="1" applyBorder="1" applyAlignment="1">
      <alignment horizontal="center"/>
    </xf>
    <xf numFmtId="0" fontId="2" fillId="3" borderId="81" xfId="0" applyFont="1" applyFill="1" applyBorder="1" applyAlignment="1">
      <alignment horizontal="center"/>
    </xf>
    <xf numFmtId="0" fontId="3" fillId="7" borderId="90" xfId="0" applyFont="1" applyFill="1" applyBorder="1" applyAlignment="1">
      <alignment horizontal="center" vertical="center"/>
    </xf>
    <xf numFmtId="0" fontId="3" fillId="7" borderId="61" xfId="0" applyFont="1" applyFill="1" applyBorder="1" applyAlignment="1">
      <alignment horizontal="center" vertical="center"/>
    </xf>
    <xf numFmtId="0" fontId="3" fillId="7" borderId="92" xfId="0" applyFont="1" applyFill="1" applyBorder="1" applyAlignment="1">
      <alignment horizontal="center" vertical="center"/>
    </xf>
    <xf numFmtId="0" fontId="2" fillId="3" borderId="59" xfId="0" applyFont="1" applyFill="1" applyBorder="1" applyAlignment="1">
      <alignment horizontal="center" vertical="center"/>
    </xf>
    <xf numFmtId="0" fontId="2" fillId="3" borderId="62" xfId="0" applyFont="1" applyFill="1" applyBorder="1" applyAlignment="1">
      <alignment horizontal="center" vertical="center"/>
    </xf>
    <xf numFmtId="0" fontId="0" fillId="2" borderId="73" xfId="0" applyFill="1" applyBorder="1" applyAlignment="1">
      <alignment horizontal="center"/>
    </xf>
    <xf numFmtId="0" fontId="3" fillId="7" borderId="93" xfId="0" applyFont="1" applyFill="1" applyBorder="1" applyAlignment="1">
      <alignment horizontal="center" vertical="center"/>
    </xf>
    <xf numFmtId="0" fontId="3" fillId="7" borderId="57" xfId="0" applyFont="1" applyFill="1" applyBorder="1" applyAlignment="1">
      <alignment horizontal="center" vertical="center"/>
    </xf>
    <xf numFmtId="0" fontId="3" fillId="7" borderId="95" xfId="0" applyFont="1" applyFill="1" applyBorder="1" applyAlignment="1">
      <alignment horizontal="center" vertical="center"/>
    </xf>
    <xf numFmtId="0" fontId="3" fillId="7" borderId="62" xfId="0" applyFont="1" applyFill="1" applyBorder="1" applyAlignment="1">
      <alignment horizontal="center" vertical="center"/>
    </xf>
    <xf numFmtId="0" fontId="0" fillId="2" borderId="99" xfId="0" applyFill="1" applyBorder="1" applyAlignment="1">
      <alignment horizontal="center" vertical="center" wrapText="1"/>
    </xf>
    <xf numFmtId="0" fontId="0" fillId="2" borderId="73" xfId="0" applyFill="1" applyBorder="1" applyAlignment="1">
      <alignment horizontal="center" vertical="center" wrapText="1"/>
    </xf>
    <xf numFmtId="0" fontId="0" fillId="2" borderId="74" xfId="0" applyFill="1" applyBorder="1" applyAlignment="1">
      <alignment horizontal="center" vertical="center" wrapText="1"/>
    </xf>
    <xf numFmtId="0" fontId="0" fillId="2" borderId="100" xfId="0" applyFill="1" applyBorder="1" applyAlignment="1">
      <alignment horizontal="center" vertical="center" wrapText="1"/>
    </xf>
    <xf numFmtId="0" fontId="0" fillId="2" borderId="0" xfId="0" applyFill="1" applyAlignment="1">
      <alignment horizontal="center" vertical="center" wrapText="1"/>
    </xf>
    <xf numFmtId="0" fontId="0" fillId="2" borderId="70" xfId="0" applyFill="1" applyBorder="1" applyAlignment="1">
      <alignment horizontal="center" vertical="center" wrapText="1"/>
    </xf>
    <xf numFmtId="0" fontId="0" fillId="2" borderId="101" xfId="0" applyFill="1" applyBorder="1" applyAlignment="1">
      <alignment horizontal="center" vertical="center" wrapText="1"/>
    </xf>
    <xf numFmtId="0" fontId="0" fillId="2" borderId="71" xfId="0" applyFill="1" applyBorder="1" applyAlignment="1">
      <alignment horizontal="center" vertical="center" wrapText="1"/>
    </xf>
    <xf numFmtId="0" fontId="0" fillId="2" borderId="72" xfId="0" applyFill="1" applyBorder="1" applyAlignment="1">
      <alignment horizontal="center" vertical="center" wrapText="1"/>
    </xf>
    <xf numFmtId="0" fontId="20" fillId="12" borderId="90" xfId="0" applyFont="1" applyFill="1" applyBorder="1" applyAlignment="1">
      <alignment horizontal="center" vertical="center"/>
    </xf>
    <xf numFmtId="0" fontId="20" fillId="12" borderId="61" xfId="0" applyFont="1" applyFill="1" applyBorder="1" applyAlignment="1">
      <alignment horizontal="center" vertical="center"/>
    </xf>
    <xf numFmtId="0" fontId="20" fillId="12" borderId="92" xfId="0" applyFont="1" applyFill="1" applyBorder="1" applyAlignment="1">
      <alignment horizontal="center" vertical="center"/>
    </xf>
    <xf numFmtId="0" fontId="20" fillId="12" borderId="93" xfId="0" applyFont="1" applyFill="1" applyBorder="1" applyAlignment="1">
      <alignment horizontal="center" vertical="center"/>
    </xf>
    <xf numFmtId="0" fontId="20" fillId="12" borderId="57" xfId="0" applyFont="1" applyFill="1" applyBorder="1" applyAlignment="1">
      <alignment horizontal="center" vertical="center"/>
    </xf>
    <xf numFmtId="0" fontId="20" fillId="12" borderId="103" xfId="0" applyFont="1" applyFill="1" applyBorder="1" applyAlignment="1">
      <alignment horizontal="center" vertical="center"/>
    </xf>
    <xf numFmtId="0" fontId="0" fillId="0" borderId="100" xfId="0" applyBorder="1" applyAlignment="1">
      <alignment horizontal="center" vertical="center" wrapText="1"/>
    </xf>
    <xf numFmtId="0" fontId="0" fillId="0" borderId="0" xfId="0" applyBorder="1" applyAlignment="1">
      <alignment horizontal="center" vertical="center" wrapText="1"/>
    </xf>
    <xf numFmtId="0" fontId="0" fillId="0" borderId="70" xfId="0" applyBorder="1" applyAlignment="1">
      <alignment horizontal="center" vertical="center" wrapText="1"/>
    </xf>
    <xf numFmtId="0" fontId="0" fillId="0" borderId="101" xfId="0"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24" fillId="17" borderId="59" xfId="0" applyFont="1" applyFill="1" applyBorder="1" applyAlignment="1">
      <alignment horizontal="center" vertical="center"/>
    </xf>
    <xf numFmtId="0" fontId="24" fillId="17" borderId="61" xfId="0" applyFont="1" applyFill="1" applyBorder="1" applyAlignment="1">
      <alignment horizontal="center" vertical="center"/>
    </xf>
    <xf numFmtId="0" fontId="24" fillId="17" borderId="60" xfId="0" applyFont="1" applyFill="1" applyBorder="1" applyAlignment="1">
      <alignment horizontal="center"/>
    </xf>
    <xf numFmtId="0" fontId="24" fillId="17" borderId="102" xfId="0" applyFont="1" applyFill="1" applyBorder="1" applyAlignment="1">
      <alignment horizontal="center"/>
    </xf>
    <xf numFmtId="0" fontId="20" fillId="12" borderId="95" xfId="0" applyFont="1" applyFill="1" applyBorder="1" applyAlignment="1">
      <alignment horizontal="center" vertical="center"/>
    </xf>
    <xf numFmtId="0" fontId="0" fillId="0" borderId="99" xfId="0" applyBorder="1" applyAlignment="1">
      <alignment horizontal="center" wrapText="1"/>
    </xf>
    <xf numFmtId="0" fontId="0" fillId="0" borderId="73" xfId="0" applyBorder="1" applyAlignment="1">
      <alignment horizontal="center" wrapText="1"/>
    </xf>
    <xf numFmtId="0" fontId="0" fillId="0" borderId="74" xfId="0" applyBorder="1" applyAlignment="1">
      <alignment horizontal="center" wrapText="1"/>
    </xf>
    <xf numFmtId="0" fontId="0" fillId="0" borderId="100" xfId="0" applyBorder="1" applyAlignment="1">
      <alignment horizontal="center" wrapText="1"/>
    </xf>
    <xf numFmtId="0" fontId="0" fillId="0" borderId="0" xfId="0" applyBorder="1" applyAlignment="1">
      <alignment horizontal="center" wrapText="1"/>
    </xf>
    <xf numFmtId="0" fontId="0" fillId="0" borderId="70" xfId="0" applyBorder="1" applyAlignment="1">
      <alignment horizontal="center" wrapText="1"/>
    </xf>
    <xf numFmtId="0" fontId="8" fillId="9"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0" fontId="4" fillId="8" borderId="45" xfId="0" applyFont="1" applyFill="1" applyBorder="1" applyAlignment="1">
      <alignment horizontal="center" vertical="center" wrapText="1"/>
    </xf>
    <xf numFmtId="0" fontId="4" fillId="8" borderId="51" xfId="0" applyFont="1" applyFill="1" applyBorder="1" applyAlignment="1">
      <alignment horizontal="center" vertical="center" wrapText="1"/>
    </xf>
    <xf numFmtId="0" fontId="4" fillId="8" borderId="52" xfId="0" applyFont="1" applyFill="1" applyBorder="1" applyAlignment="1">
      <alignment horizontal="center" vertical="center" wrapText="1"/>
    </xf>
    <xf numFmtId="0" fontId="4" fillId="8" borderId="53" xfId="0" applyFont="1" applyFill="1" applyBorder="1" applyAlignment="1">
      <alignment horizontal="center" vertical="center" wrapText="1"/>
    </xf>
    <xf numFmtId="0" fontId="7" fillId="8" borderId="51" xfId="0" applyFont="1" applyFill="1" applyBorder="1" applyAlignment="1">
      <alignment horizontal="center" vertical="center" wrapText="1"/>
    </xf>
    <xf numFmtId="0" fontId="7" fillId="8" borderId="52" xfId="0" applyFont="1" applyFill="1" applyBorder="1" applyAlignment="1">
      <alignment horizontal="center" vertical="center" wrapText="1"/>
    </xf>
    <xf numFmtId="0" fontId="7" fillId="8" borderId="53" xfId="0" applyFont="1" applyFill="1" applyBorder="1" applyAlignment="1">
      <alignment horizontal="center" vertical="center" wrapText="1"/>
    </xf>
    <xf numFmtId="0" fontId="4" fillId="8" borderId="51" xfId="0" applyFont="1" applyFill="1" applyBorder="1" applyAlignment="1">
      <alignment horizontal="center" vertical="center"/>
    </xf>
    <xf numFmtId="0" fontId="4" fillId="8" borderId="52" xfId="0" applyFont="1" applyFill="1" applyBorder="1" applyAlignment="1">
      <alignment horizontal="center" vertical="center"/>
    </xf>
    <xf numFmtId="0" fontId="4" fillId="8" borderId="53" xfId="0" applyFont="1" applyFill="1" applyBorder="1" applyAlignment="1">
      <alignment horizontal="center" vertical="center"/>
    </xf>
    <xf numFmtId="0" fontId="7" fillId="8" borderId="51" xfId="0" applyFont="1" applyFill="1" applyBorder="1" applyAlignment="1">
      <alignment horizontal="center" vertical="center"/>
    </xf>
    <xf numFmtId="0" fontId="7" fillId="8" borderId="52" xfId="0" applyFont="1" applyFill="1" applyBorder="1" applyAlignment="1">
      <alignment horizontal="center" vertical="center"/>
    </xf>
    <xf numFmtId="0" fontId="7" fillId="8" borderId="53" xfId="0" applyFont="1" applyFill="1" applyBorder="1" applyAlignment="1">
      <alignment horizontal="center" vertical="center"/>
    </xf>
    <xf numFmtId="0" fontId="7" fillId="8" borderId="45" xfId="0" applyFont="1" applyFill="1" applyBorder="1" applyAlignment="1">
      <alignment horizontal="center" vertical="center" wrapText="1"/>
    </xf>
    <xf numFmtId="0" fontId="4" fillId="8" borderId="45" xfId="0" applyFont="1" applyFill="1" applyBorder="1" applyAlignment="1">
      <alignment horizontal="center" vertical="center"/>
    </xf>
    <xf numFmtId="0" fontId="7" fillId="8" borderId="45" xfId="0" applyFont="1" applyFill="1" applyBorder="1" applyAlignment="1">
      <alignment horizontal="center" vertical="center"/>
    </xf>
    <xf numFmtId="0" fontId="4" fillId="8" borderId="54" xfId="0" applyFont="1" applyFill="1" applyBorder="1" applyAlignment="1">
      <alignment horizontal="center" vertical="center"/>
    </xf>
    <xf numFmtId="0" fontId="4" fillId="8" borderId="3" xfId="0" applyFont="1" applyFill="1" applyBorder="1" applyAlignment="1">
      <alignment horizontal="center" vertical="center"/>
    </xf>
    <xf numFmtId="0" fontId="7" fillId="8" borderId="54" xfId="0" applyFont="1" applyFill="1" applyBorder="1" applyAlignment="1">
      <alignment horizontal="center" vertical="center"/>
    </xf>
    <xf numFmtId="0" fontId="7" fillId="8" borderId="3" xfId="0" applyFont="1" applyFill="1" applyBorder="1" applyAlignment="1">
      <alignment horizontal="center" vertical="center"/>
    </xf>
    <xf numFmtId="0" fontId="4" fillId="8" borderId="43" xfId="0" applyFont="1" applyFill="1" applyBorder="1" applyAlignment="1">
      <alignment horizontal="center" vertical="center" wrapText="1"/>
    </xf>
    <xf numFmtId="0" fontId="4" fillId="8" borderId="16" xfId="0" applyFont="1" applyFill="1" applyBorder="1" applyAlignment="1">
      <alignment horizontal="center" vertical="center" wrapText="1"/>
    </xf>
    <xf numFmtId="0" fontId="4" fillId="8" borderId="55" xfId="0" applyFont="1" applyFill="1" applyBorder="1" applyAlignment="1">
      <alignment horizontal="center" vertical="center" wrapText="1"/>
    </xf>
    <xf numFmtId="0" fontId="7" fillId="8" borderId="43" xfId="0" applyFont="1" applyFill="1" applyBorder="1" applyAlignment="1">
      <alignment horizontal="center" vertical="center" wrapText="1"/>
    </xf>
    <xf numFmtId="0" fontId="7" fillId="8" borderId="16" xfId="0" applyFont="1" applyFill="1" applyBorder="1" applyAlignment="1">
      <alignment horizontal="center" vertical="center" wrapText="1"/>
    </xf>
    <xf numFmtId="0" fontId="7" fillId="8" borderId="55" xfId="0" applyFont="1" applyFill="1" applyBorder="1" applyAlignment="1">
      <alignment horizontal="center" vertical="center" wrapText="1"/>
    </xf>
    <xf numFmtId="0" fontId="8" fillId="9" borderId="26" xfId="0" applyFont="1" applyFill="1" applyBorder="1" applyAlignment="1">
      <alignment horizontal="center" vertical="center" wrapText="1"/>
    </xf>
    <xf numFmtId="0" fontId="10" fillId="9" borderId="26" xfId="0" applyFont="1" applyFill="1" applyBorder="1" applyAlignment="1">
      <alignment horizontal="center" vertical="center" wrapText="1"/>
    </xf>
    <xf numFmtId="0" fontId="7" fillId="6" borderId="45" xfId="0" applyFont="1" applyFill="1" applyBorder="1" applyAlignment="1">
      <alignment horizontal="center" vertical="center"/>
    </xf>
    <xf numFmtId="9" fontId="7" fillId="6" borderId="45" xfId="4" applyFont="1" applyFill="1" applyBorder="1" applyAlignment="1">
      <alignment horizontal="center" vertical="center"/>
    </xf>
    <xf numFmtId="0" fontId="7" fillId="6" borderId="45" xfId="0" applyFont="1" applyFill="1" applyBorder="1" applyAlignment="1">
      <alignment horizontal="center" vertical="center" wrapText="1"/>
    </xf>
    <xf numFmtId="0" fontId="4" fillId="6" borderId="45" xfId="0" applyFont="1" applyFill="1" applyBorder="1" applyAlignment="1">
      <alignment horizontal="center" vertical="center" wrapText="1"/>
    </xf>
    <xf numFmtId="9" fontId="7" fillId="6" borderId="45" xfId="0" applyNumberFormat="1" applyFont="1" applyFill="1" applyBorder="1" applyAlignment="1">
      <alignment horizontal="center" vertical="center" wrapText="1"/>
    </xf>
    <xf numFmtId="9" fontId="7" fillId="6" borderId="45" xfId="4" applyFont="1" applyFill="1" applyBorder="1" applyAlignment="1">
      <alignment horizontal="center" vertical="center" wrapText="1"/>
    </xf>
    <xf numFmtId="0" fontId="4" fillId="6" borderId="0" xfId="0" applyFont="1" applyFill="1" applyAlignment="1">
      <alignment horizontal="center" vertical="center" wrapText="1"/>
    </xf>
    <xf numFmtId="0" fontId="4" fillId="7" borderId="16" xfId="0" applyFont="1" applyFill="1" applyBorder="1" applyAlignment="1">
      <alignment horizontal="center" vertical="center" wrapText="1"/>
    </xf>
    <xf numFmtId="0" fontId="4" fillId="7" borderId="0" xfId="0" applyFont="1" applyFill="1" applyAlignment="1">
      <alignment horizontal="center" vertical="center" wrapText="1"/>
    </xf>
    <xf numFmtId="0" fontId="4" fillId="6" borderId="17"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4" fillId="7" borderId="45" xfId="0" applyFont="1" applyFill="1" applyBorder="1" applyAlignment="1">
      <alignment horizontal="center" vertical="center" wrapText="1"/>
    </xf>
    <xf numFmtId="9" fontId="4" fillId="7" borderId="45" xfId="4" applyFont="1" applyFill="1" applyBorder="1" applyAlignment="1">
      <alignment horizontal="center" vertical="center" wrapText="1"/>
    </xf>
    <xf numFmtId="9" fontId="4" fillId="6" borderId="45" xfId="4" applyFont="1" applyFill="1" applyBorder="1" applyAlignment="1">
      <alignment horizontal="center" vertical="center" wrapText="1"/>
    </xf>
    <xf numFmtId="9" fontId="4" fillId="6" borderId="45" xfId="0" applyNumberFormat="1" applyFont="1" applyFill="1" applyBorder="1" applyAlignment="1">
      <alignment horizontal="center" vertical="center" wrapText="1"/>
    </xf>
    <xf numFmtId="0" fontId="4" fillId="7" borderId="47" xfId="0" applyFont="1" applyFill="1" applyBorder="1" applyAlignment="1">
      <alignment horizontal="center" vertical="center" wrapText="1"/>
    </xf>
    <xf numFmtId="0" fontId="4" fillId="7" borderId="35" xfId="0" applyFont="1" applyFill="1" applyBorder="1" applyAlignment="1">
      <alignment horizontal="center" vertical="center" wrapText="1"/>
    </xf>
    <xf numFmtId="0" fontId="4" fillId="7" borderId="48" xfId="0" applyFont="1" applyFill="1" applyBorder="1" applyAlignment="1">
      <alignment horizontal="center" vertical="center" wrapText="1"/>
    </xf>
    <xf numFmtId="0" fontId="4" fillId="7" borderId="46" xfId="0" applyFont="1" applyFill="1" applyBorder="1" applyAlignment="1">
      <alignment horizontal="center" vertical="center" wrapText="1"/>
    </xf>
    <xf numFmtId="0" fontId="4" fillId="7" borderId="11"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6" borderId="5" xfId="0" applyFont="1" applyFill="1" applyBorder="1" applyAlignment="1">
      <alignment horizontal="center" vertical="center" wrapText="1"/>
    </xf>
    <xf numFmtId="167" fontId="4" fillId="6" borderId="45" xfId="2" applyNumberFormat="1" applyFont="1" applyFill="1" applyBorder="1" applyAlignment="1">
      <alignment horizontal="center" vertical="center"/>
    </xf>
    <xf numFmtId="0" fontId="4" fillId="6" borderId="45" xfId="0" applyFont="1" applyFill="1" applyBorder="1" applyAlignment="1">
      <alignment horizontal="center" vertical="center"/>
    </xf>
    <xf numFmtId="0" fontId="4" fillId="6" borderId="44" xfId="0" applyFont="1" applyFill="1" applyBorder="1" applyAlignment="1">
      <alignment horizontal="center" vertical="center" wrapText="1"/>
    </xf>
    <xf numFmtId="0" fontId="4" fillId="6" borderId="50" xfId="0" applyFont="1" applyFill="1" applyBorder="1" applyAlignment="1">
      <alignment horizontal="center" vertical="center" wrapText="1"/>
    </xf>
    <xf numFmtId="9" fontId="4" fillId="6" borderId="45" xfId="4" applyFont="1" applyFill="1" applyBorder="1" applyAlignment="1">
      <alignment horizontal="center" vertical="center"/>
    </xf>
    <xf numFmtId="0" fontId="4" fillId="7" borderId="43"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6" borderId="24" xfId="0" applyFont="1" applyFill="1" applyBorder="1" applyAlignment="1">
      <alignment horizontal="center" vertical="center" wrapText="1"/>
    </xf>
    <xf numFmtId="0" fontId="4" fillId="6" borderId="46" xfId="0" applyFont="1" applyFill="1" applyBorder="1" applyAlignment="1">
      <alignment horizontal="center" vertical="center" wrapText="1"/>
    </xf>
    <xf numFmtId="0" fontId="7" fillId="7" borderId="45" xfId="0" applyFont="1" applyFill="1" applyBorder="1" applyAlignment="1">
      <alignment horizontal="center" vertical="center" wrapText="1"/>
    </xf>
    <xf numFmtId="9" fontId="7" fillId="7" borderId="45" xfId="4" applyFont="1" applyFill="1" applyBorder="1" applyAlignment="1">
      <alignment horizontal="center" vertical="center" wrapText="1"/>
    </xf>
    <xf numFmtId="167" fontId="4" fillId="7" borderId="16" xfId="2" applyNumberFormat="1" applyFont="1" applyFill="1" applyBorder="1" applyAlignment="1">
      <alignment horizontal="center" vertical="center" wrapText="1"/>
    </xf>
    <xf numFmtId="0" fontId="4" fillId="6" borderId="37" xfId="0" applyFont="1" applyFill="1" applyBorder="1" applyAlignment="1">
      <alignment horizontal="center" vertical="center"/>
    </xf>
    <xf numFmtId="0" fontId="4" fillId="6" borderId="39" xfId="0" applyFont="1" applyFill="1" applyBorder="1" applyAlignment="1">
      <alignment horizontal="center" vertical="center"/>
    </xf>
    <xf numFmtId="0" fontId="4" fillId="6" borderId="42" xfId="0" applyFont="1" applyFill="1" applyBorder="1" applyAlignment="1">
      <alignment horizontal="center" vertical="center"/>
    </xf>
    <xf numFmtId="9" fontId="4" fillId="6" borderId="37" xfId="4" applyFont="1" applyFill="1" applyBorder="1" applyAlignment="1">
      <alignment horizontal="center" vertical="center"/>
    </xf>
    <xf numFmtId="9" fontId="4" fillId="6" borderId="39" xfId="4" applyFont="1" applyFill="1" applyBorder="1" applyAlignment="1">
      <alignment horizontal="center" vertical="center"/>
    </xf>
    <xf numFmtId="9" fontId="4" fillId="6" borderId="42" xfId="4" applyFont="1" applyFill="1" applyBorder="1" applyAlignment="1">
      <alignment horizontal="center" vertical="center"/>
    </xf>
    <xf numFmtId="0" fontId="4" fillId="6" borderId="37" xfId="0" applyFont="1" applyFill="1" applyBorder="1" applyAlignment="1">
      <alignment horizontal="center" vertical="center" wrapText="1"/>
    </xf>
    <xf numFmtId="0" fontId="4" fillId="6" borderId="39" xfId="0" applyFont="1" applyFill="1" applyBorder="1" applyAlignment="1">
      <alignment horizontal="center" vertical="center" wrapText="1"/>
    </xf>
    <xf numFmtId="0" fontId="4" fillId="6" borderId="42" xfId="0" applyFont="1" applyFill="1" applyBorder="1" applyAlignment="1">
      <alignment horizontal="center" vertical="center" wrapText="1"/>
    </xf>
    <xf numFmtId="0" fontId="7" fillId="6" borderId="36" xfId="0" applyFont="1" applyFill="1" applyBorder="1" applyAlignment="1">
      <alignment horizontal="center" vertical="center"/>
    </xf>
    <xf numFmtId="0" fontId="7" fillId="6" borderId="38" xfId="0" applyFont="1" applyFill="1" applyBorder="1" applyAlignment="1">
      <alignment horizontal="center" vertical="center"/>
    </xf>
    <xf numFmtId="0" fontId="7" fillId="6" borderId="41" xfId="0" applyFont="1" applyFill="1" applyBorder="1" applyAlignment="1">
      <alignment horizontal="center" vertical="center"/>
    </xf>
    <xf numFmtId="0" fontId="7" fillId="6" borderId="37" xfId="0" applyFont="1" applyFill="1" applyBorder="1" applyAlignment="1">
      <alignment horizontal="center" vertical="center"/>
    </xf>
    <xf numFmtId="0" fontId="7" fillId="6" borderId="39" xfId="0" applyFont="1" applyFill="1" applyBorder="1" applyAlignment="1">
      <alignment horizontal="center" vertical="center"/>
    </xf>
    <xf numFmtId="0" fontId="7" fillId="6" borderId="42" xfId="0" applyFont="1" applyFill="1" applyBorder="1" applyAlignment="1">
      <alignment horizontal="center" vertical="center"/>
    </xf>
    <xf numFmtId="9" fontId="7" fillId="6" borderId="37" xfId="4" applyFont="1" applyFill="1" applyBorder="1" applyAlignment="1">
      <alignment horizontal="center" vertical="center"/>
    </xf>
    <xf numFmtId="9" fontId="7" fillId="6" borderId="39" xfId="4" applyFont="1" applyFill="1" applyBorder="1" applyAlignment="1">
      <alignment horizontal="center" vertical="center"/>
    </xf>
    <xf numFmtId="9" fontId="7" fillId="6" borderId="42" xfId="4" applyFont="1" applyFill="1" applyBorder="1" applyAlignment="1">
      <alignment horizontal="center" vertical="center"/>
    </xf>
    <xf numFmtId="0" fontId="7" fillId="8" borderId="20" xfId="0" applyFont="1" applyFill="1" applyBorder="1" applyAlignment="1">
      <alignment horizontal="center" vertical="center" wrapText="1"/>
    </xf>
    <xf numFmtId="0" fontId="7" fillId="8" borderId="21" xfId="0" applyFont="1" applyFill="1" applyBorder="1" applyAlignment="1">
      <alignment horizontal="center" vertical="center" wrapText="1"/>
    </xf>
    <xf numFmtId="0" fontId="7" fillId="8" borderId="34" xfId="0" applyFont="1" applyFill="1" applyBorder="1" applyAlignment="1">
      <alignment horizontal="center" vertical="center" wrapText="1"/>
    </xf>
    <xf numFmtId="0" fontId="4" fillId="6" borderId="26" xfId="0" applyFont="1" applyFill="1" applyBorder="1" applyAlignment="1">
      <alignment horizontal="center" vertical="center" wrapText="1"/>
    </xf>
    <xf numFmtId="0" fontId="4" fillId="6" borderId="32" xfId="0" applyFont="1" applyFill="1" applyBorder="1" applyAlignment="1">
      <alignment horizontal="center" vertical="center" wrapText="1"/>
    </xf>
    <xf numFmtId="0" fontId="7" fillId="6" borderId="37" xfId="0" applyFont="1" applyFill="1" applyBorder="1" applyAlignment="1">
      <alignment horizontal="center" vertical="center" wrapText="1"/>
    </xf>
    <xf numFmtId="0" fontId="7" fillId="6" borderId="39" xfId="0" applyFont="1" applyFill="1" applyBorder="1" applyAlignment="1">
      <alignment horizontal="center" vertical="center" wrapText="1"/>
    </xf>
    <xf numFmtId="0" fontId="7" fillId="6" borderId="42" xfId="0" applyFont="1" applyFill="1" applyBorder="1" applyAlignment="1">
      <alignment horizontal="center" vertical="center" wrapText="1"/>
    </xf>
    <xf numFmtId="0" fontId="7" fillId="7" borderId="23" xfId="0" applyFont="1" applyFill="1" applyBorder="1" applyAlignment="1">
      <alignment horizontal="center" vertical="center" wrapText="1"/>
    </xf>
    <xf numFmtId="0" fontId="7" fillId="7" borderId="29" xfId="0" applyFont="1" applyFill="1" applyBorder="1" applyAlignment="1">
      <alignment horizontal="center" vertical="center" wrapText="1"/>
    </xf>
    <xf numFmtId="0" fontId="7" fillId="7" borderId="22" xfId="0" applyFont="1" applyFill="1" applyBorder="1" applyAlignment="1">
      <alignment horizontal="center" vertical="center" wrapText="1"/>
    </xf>
    <xf numFmtId="0" fontId="7" fillId="7" borderId="28" xfId="0" applyFont="1" applyFill="1" applyBorder="1" applyAlignment="1">
      <alignment horizontal="center" vertical="center" wrapText="1"/>
    </xf>
    <xf numFmtId="9" fontId="7" fillId="7" borderId="22" xfId="4" applyFont="1" applyFill="1" applyBorder="1" applyAlignment="1">
      <alignment horizontal="center" vertical="center" wrapText="1"/>
    </xf>
    <xf numFmtId="9" fontId="7" fillId="7" borderId="28" xfId="4" applyFont="1" applyFill="1" applyBorder="1" applyAlignment="1">
      <alignment horizontal="center" vertical="center" wrapText="1"/>
    </xf>
    <xf numFmtId="0" fontId="4" fillId="8" borderId="20" xfId="0" applyFont="1" applyFill="1" applyBorder="1" applyAlignment="1">
      <alignment horizontal="center" vertical="center" wrapText="1"/>
    </xf>
    <xf numFmtId="0" fontId="4" fillId="8" borderId="21" xfId="0" applyFont="1" applyFill="1" applyBorder="1" applyAlignment="1">
      <alignment horizontal="center" vertical="center" wrapText="1"/>
    </xf>
    <xf numFmtId="0" fontId="4" fillId="8" borderId="34" xfId="0" applyFont="1" applyFill="1" applyBorder="1" applyAlignment="1">
      <alignment horizontal="center" vertical="center" wrapText="1"/>
    </xf>
    <xf numFmtId="0" fontId="4" fillId="7" borderId="22" xfId="0" applyFont="1" applyFill="1" applyBorder="1" applyAlignment="1">
      <alignment horizontal="center" vertical="center" wrapText="1"/>
    </xf>
    <xf numFmtId="0" fontId="4" fillId="7" borderId="28" xfId="0" applyFont="1" applyFill="1" applyBorder="1" applyAlignment="1">
      <alignment horizontal="center" vertical="center" wrapText="1"/>
    </xf>
    <xf numFmtId="9" fontId="4" fillId="7" borderId="22" xfId="4" applyFont="1" applyFill="1" applyBorder="1" applyAlignment="1">
      <alignment horizontal="center" vertical="center" wrapText="1"/>
    </xf>
    <xf numFmtId="9" fontId="4" fillId="7" borderId="28" xfId="4" applyFont="1" applyFill="1" applyBorder="1" applyAlignment="1">
      <alignment horizontal="center" vertical="center" wrapText="1"/>
    </xf>
    <xf numFmtId="0" fontId="4" fillId="7" borderId="23" xfId="0" applyFont="1" applyFill="1" applyBorder="1" applyAlignment="1">
      <alignment horizontal="center" vertical="center" wrapText="1"/>
    </xf>
    <xf numFmtId="0" fontId="4" fillId="7" borderId="29"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25" xfId="0" applyFont="1" applyFill="1" applyBorder="1" applyAlignment="1">
      <alignment horizontal="center" vertical="center" wrapText="1"/>
    </xf>
    <xf numFmtId="0" fontId="4" fillId="6" borderId="33" xfId="0" applyFont="1" applyFill="1" applyBorder="1" applyAlignment="1">
      <alignment horizontal="center" vertical="center" wrapText="1"/>
    </xf>
    <xf numFmtId="0" fontId="4" fillId="6" borderId="36" xfId="0" applyFont="1" applyFill="1" applyBorder="1" applyAlignment="1">
      <alignment horizontal="center" vertical="center"/>
    </xf>
    <xf numFmtId="0" fontId="4" fillId="6" borderId="38" xfId="0" applyFont="1" applyFill="1" applyBorder="1" applyAlignment="1">
      <alignment horizontal="center" vertical="center"/>
    </xf>
    <xf numFmtId="0" fontId="4" fillId="6" borderId="41" xfId="0" applyFont="1" applyFill="1" applyBorder="1" applyAlignment="1">
      <alignment horizontal="center" vertical="center"/>
    </xf>
    <xf numFmtId="0" fontId="4" fillId="6" borderId="16" xfId="0" applyFont="1" applyFill="1" applyBorder="1" applyAlignment="1">
      <alignment horizontal="center" vertical="center" wrapText="1"/>
    </xf>
    <xf numFmtId="0" fontId="5" fillId="2" borderId="0" xfId="0" applyFont="1" applyFill="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0" xfId="0" applyFont="1" applyFill="1" applyAlignment="1">
      <alignment horizontal="center" vertical="center"/>
    </xf>
    <xf numFmtId="0" fontId="2" fillId="4" borderId="6"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166" fontId="2" fillId="4" borderId="5" xfId="2" applyFont="1" applyFill="1" applyBorder="1" applyAlignment="1">
      <alignment horizontal="center" vertical="center"/>
    </xf>
    <xf numFmtId="166" fontId="2" fillId="4" borderId="6" xfId="2" applyFont="1" applyFill="1" applyBorder="1" applyAlignment="1">
      <alignment horizontal="center" vertical="center"/>
    </xf>
    <xf numFmtId="166" fontId="2" fillId="4" borderId="2" xfId="2" applyFont="1" applyFill="1" applyBorder="1" applyAlignment="1">
      <alignment horizontal="center" vertical="center"/>
    </xf>
    <xf numFmtId="166" fontId="2" fillId="4" borderId="4" xfId="2" applyFont="1" applyFill="1" applyBorder="1" applyAlignment="1">
      <alignment horizontal="center" vertical="center"/>
    </xf>
    <xf numFmtId="0" fontId="2" fillId="4" borderId="7"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7" xfId="0" applyFont="1" applyFill="1" applyBorder="1" applyAlignment="1">
      <alignment horizontal="center" vertical="center"/>
    </xf>
    <xf numFmtId="0" fontId="2" fillId="4" borderId="13" xfId="0" applyFont="1" applyFill="1" applyBorder="1" applyAlignment="1">
      <alignment horizontal="center" vertical="center"/>
    </xf>
    <xf numFmtId="0" fontId="2" fillId="4" borderId="14" xfId="0" applyFont="1" applyFill="1" applyBorder="1" applyAlignment="1">
      <alignment horizontal="center" vertical="center"/>
    </xf>
    <xf numFmtId="0" fontId="4" fillId="6" borderId="75" xfId="0" applyFont="1" applyFill="1" applyBorder="1" applyAlignment="1">
      <alignment horizontal="center" vertical="center" wrapText="1"/>
    </xf>
    <xf numFmtId="0" fontId="4" fillId="6" borderId="77" xfId="0" applyFont="1" applyFill="1" applyBorder="1" applyAlignment="1">
      <alignment horizontal="center" vertical="center" wrapText="1"/>
    </xf>
    <xf numFmtId="167" fontId="4" fillId="6" borderId="75" xfId="5" applyNumberFormat="1" applyFont="1" applyFill="1" applyBorder="1" applyAlignment="1">
      <alignment horizontal="center" vertical="center" wrapText="1"/>
    </xf>
    <xf numFmtId="167" fontId="4" fillId="6" borderId="76" xfId="5" applyNumberFormat="1" applyFont="1" applyFill="1" applyBorder="1" applyAlignment="1">
      <alignment horizontal="center" vertical="center" wrapText="1"/>
    </xf>
    <xf numFmtId="167" fontId="4" fillId="6" borderId="77" xfId="5" applyNumberFormat="1" applyFont="1" applyFill="1" applyBorder="1" applyAlignment="1">
      <alignment horizontal="center" vertical="center" wrapText="1"/>
    </xf>
    <xf numFmtId="0" fontId="15" fillId="7" borderId="0" xfId="0" applyFont="1" applyFill="1" applyAlignment="1">
      <alignment horizontal="center" vertical="center" wrapText="1"/>
    </xf>
    <xf numFmtId="0" fontId="4" fillId="6" borderId="76" xfId="0" applyFont="1" applyFill="1" applyBorder="1" applyAlignment="1">
      <alignment horizontal="center" vertical="center" wrapText="1"/>
    </xf>
    <xf numFmtId="0" fontId="4" fillId="7" borderId="75" xfId="0" applyFont="1" applyFill="1" applyBorder="1" applyAlignment="1">
      <alignment horizontal="center" vertical="center" wrapText="1"/>
    </xf>
    <xf numFmtId="0" fontId="4" fillId="7" borderId="76" xfId="0" applyFont="1" applyFill="1" applyBorder="1" applyAlignment="1">
      <alignment horizontal="center" vertical="center" wrapText="1"/>
    </xf>
    <xf numFmtId="0" fontId="4" fillId="7" borderId="77"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0" xfId="0" applyFont="1" applyFill="1" applyAlignment="1">
      <alignment horizontal="center" vertical="center" wrapText="1"/>
    </xf>
    <xf numFmtId="0" fontId="2" fillId="4" borderId="8"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6" xfId="0" applyFont="1" applyFill="1" applyBorder="1" applyAlignment="1">
      <alignment horizontal="center" vertical="center" wrapText="1"/>
    </xf>
    <xf numFmtId="164" fontId="2" fillId="4" borderId="5" xfId="6" applyFont="1" applyFill="1" applyBorder="1" applyAlignment="1">
      <alignment horizontal="center" vertical="center" wrapText="1"/>
    </xf>
    <xf numFmtId="164" fontId="2" fillId="4" borderId="6" xfId="6" applyFont="1" applyFill="1" applyBorder="1" applyAlignment="1">
      <alignment horizontal="center" vertical="center" wrapText="1"/>
    </xf>
    <xf numFmtId="164" fontId="2" fillId="4" borderId="2" xfId="6" applyFont="1" applyFill="1" applyBorder="1" applyAlignment="1">
      <alignment horizontal="center" vertical="center" wrapText="1"/>
    </xf>
    <xf numFmtId="164" fontId="2" fillId="4" borderId="4" xfId="6"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12" xfId="0" applyFont="1" applyFill="1" applyBorder="1" applyAlignment="1">
      <alignment horizontal="center" vertical="center" wrapText="1"/>
    </xf>
    <xf numFmtId="9" fontId="4" fillId="7" borderId="75" xfId="4" applyFont="1" applyFill="1" applyBorder="1" applyAlignment="1">
      <alignment horizontal="center" vertical="center" wrapText="1"/>
    </xf>
    <xf numFmtId="9" fontId="4" fillId="7" borderId="76" xfId="4" applyFont="1" applyFill="1" applyBorder="1" applyAlignment="1">
      <alignment horizontal="center" vertical="center" wrapText="1"/>
    </xf>
    <xf numFmtId="9" fontId="4" fillId="7" borderId="77" xfId="4" applyFont="1" applyFill="1" applyBorder="1" applyAlignment="1">
      <alignment horizontal="center" vertical="center" wrapText="1"/>
    </xf>
    <xf numFmtId="1" fontId="4" fillId="7" borderId="75" xfId="4" applyNumberFormat="1" applyFont="1" applyFill="1" applyBorder="1" applyAlignment="1">
      <alignment horizontal="center" vertical="center" wrapText="1"/>
    </xf>
    <xf numFmtId="1" fontId="4" fillId="7" borderId="76" xfId="4" applyNumberFormat="1" applyFont="1" applyFill="1" applyBorder="1" applyAlignment="1">
      <alignment horizontal="center" vertical="center" wrapText="1"/>
    </xf>
    <xf numFmtId="1" fontId="4" fillId="7" borderId="77" xfId="4" applyNumberFormat="1" applyFont="1" applyFill="1" applyBorder="1" applyAlignment="1">
      <alignment horizontal="center" vertical="center" wrapText="1"/>
    </xf>
    <xf numFmtId="9" fontId="7" fillId="7" borderId="11" xfId="4" applyFont="1" applyFill="1" applyBorder="1" applyAlignment="1">
      <alignment horizontal="center" vertical="center"/>
    </xf>
    <xf numFmtId="9" fontId="7" fillId="7" borderId="7" xfId="4" applyFont="1" applyFill="1" applyBorder="1" applyAlignment="1">
      <alignment horizontal="center" vertical="center"/>
    </xf>
    <xf numFmtId="9" fontId="7" fillId="7" borderId="12" xfId="4" applyFont="1" applyFill="1" applyBorder="1" applyAlignment="1">
      <alignment horizontal="center" vertical="center"/>
    </xf>
    <xf numFmtId="0" fontId="4" fillId="7" borderId="11" xfId="0" applyFont="1" applyFill="1" applyBorder="1" applyAlignment="1">
      <alignment horizontal="center" vertical="center"/>
    </xf>
    <xf numFmtId="0" fontId="4" fillId="7" borderId="7" xfId="0" applyFont="1" applyFill="1" applyBorder="1" applyAlignment="1">
      <alignment horizontal="center" vertical="center"/>
    </xf>
    <xf numFmtId="0" fontId="4" fillId="7" borderId="12" xfId="0" applyFont="1" applyFill="1" applyBorder="1" applyAlignment="1">
      <alignment horizontal="center" vertical="center"/>
    </xf>
    <xf numFmtId="9" fontId="4" fillId="7" borderId="11" xfId="4" applyFont="1" applyFill="1" applyBorder="1" applyAlignment="1">
      <alignment horizontal="center" vertical="center"/>
    </xf>
    <xf numFmtId="9" fontId="4" fillId="7" borderId="7" xfId="4" applyFont="1" applyFill="1" applyBorder="1" applyAlignment="1">
      <alignment horizontal="center" vertical="center"/>
    </xf>
    <xf numFmtId="9" fontId="4" fillId="7" borderId="12" xfId="4" applyFont="1" applyFill="1" applyBorder="1" applyAlignment="1">
      <alignment horizontal="center" vertical="center"/>
    </xf>
    <xf numFmtId="164" fontId="13" fillId="7" borderId="11" xfId="6" applyFont="1" applyFill="1" applyBorder="1" applyAlignment="1">
      <alignment horizontal="center" vertical="center"/>
    </xf>
    <xf numFmtId="164" fontId="13" fillId="7" borderId="7" xfId="6" applyFont="1" applyFill="1" applyBorder="1" applyAlignment="1">
      <alignment horizontal="center" vertical="center"/>
    </xf>
    <xf numFmtId="164" fontId="13" fillId="7" borderId="12" xfId="6" applyFont="1" applyFill="1" applyBorder="1" applyAlignment="1">
      <alignment horizontal="center" vertical="center"/>
    </xf>
    <xf numFmtId="44" fontId="2" fillId="4" borderId="5" xfId="5" applyFont="1" applyFill="1" applyBorder="1" applyAlignment="1">
      <alignment horizontal="center" vertical="center"/>
    </xf>
    <xf numFmtId="44" fontId="2" fillId="4" borderId="6" xfId="5" applyFont="1" applyFill="1" applyBorder="1" applyAlignment="1">
      <alignment horizontal="center" vertical="center"/>
    </xf>
    <xf numFmtId="44" fontId="2" fillId="4" borderId="2" xfId="5" applyFont="1" applyFill="1" applyBorder="1" applyAlignment="1">
      <alignment horizontal="center" vertical="center"/>
    </xf>
    <xf numFmtId="44" fontId="2" fillId="4" borderId="4" xfId="5" applyFont="1" applyFill="1" applyBorder="1" applyAlignment="1">
      <alignment horizontal="center" vertical="center"/>
    </xf>
    <xf numFmtId="0" fontId="2" fillId="5" borderId="12" xfId="0" applyFont="1" applyFill="1" applyBorder="1" applyAlignment="1">
      <alignment horizontal="center" vertical="center"/>
    </xf>
    <xf numFmtId="9" fontId="4" fillId="7" borderId="11" xfId="0" applyNumberFormat="1" applyFont="1" applyFill="1" applyBorder="1" applyAlignment="1">
      <alignment horizontal="center" vertical="center"/>
    </xf>
    <xf numFmtId="0" fontId="4" fillId="7" borderId="12" xfId="0" applyFont="1" applyFill="1" applyBorder="1" applyAlignment="1">
      <alignment horizontal="center" vertical="center" wrapText="1"/>
    </xf>
    <xf numFmtId="3" fontId="16" fillId="6" borderId="1" xfId="0" applyNumberFormat="1" applyFont="1" applyFill="1" applyBorder="1" applyAlignment="1">
      <alignment horizontal="center" vertical="center" wrapText="1"/>
    </xf>
    <xf numFmtId="0" fontId="16" fillId="6" borderId="1" xfId="0" applyFont="1" applyFill="1" applyBorder="1" applyAlignment="1">
      <alignment horizontal="center" vertical="center" wrapText="1"/>
    </xf>
    <xf numFmtId="10" fontId="15" fillId="6" borderId="1" xfId="0" applyNumberFormat="1" applyFont="1" applyFill="1" applyBorder="1" applyAlignment="1">
      <alignment horizontal="center" vertical="center" wrapText="1"/>
    </xf>
    <xf numFmtId="0" fontId="3" fillId="0" borderId="104" xfId="0" applyFont="1" applyBorder="1" applyAlignment="1">
      <alignment horizontal="center" wrapText="1"/>
    </xf>
    <xf numFmtId="0" fontId="3" fillId="0" borderId="105" xfId="0" applyFont="1" applyBorder="1" applyAlignment="1">
      <alignment horizontal="center" wrapText="1"/>
    </xf>
    <xf numFmtId="0" fontId="15" fillId="6" borderId="1" xfId="0" applyFont="1" applyFill="1" applyBorder="1" applyAlignment="1">
      <alignment horizontal="center" vertical="center" wrapText="1"/>
    </xf>
    <xf numFmtId="0" fontId="15" fillId="6" borderId="59" xfId="0" applyFont="1" applyFill="1" applyBorder="1" applyAlignment="1">
      <alignment horizontal="center" vertical="center" wrapText="1"/>
    </xf>
    <xf numFmtId="0" fontId="15" fillId="6" borderId="61" xfId="0" applyFont="1" applyFill="1" applyBorder="1" applyAlignment="1">
      <alignment horizontal="center" vertical="center" wrapText="1"/>
    </xf>
    <xf numFmtId="0" fontId="15" fillId="6" borderId="62" xfId="0" applyFont="1" applyFill="1" applyBorder="1" applyAlignment="1">
      <alignment horizontal="center" vertical="center" wrapText="1"/>
    </xf>
    <xf numFmtId="3" fontId="15" fillId="6" borderId="59" xfId="0" applyNumberFormat="1" applyFont="1" applyFill="1" applyBorder="1" applyAlignment="1">
      <alignment horizontal="center" vertical="center" wrapText="1"/>
    </xf>
    <xf numFmtId="3" fontId="15" fillId="6" borderId="61" xfId="0" applyNumberFormat="1" applyFont="1" applyFill="1" applyBorder="1" applyAlignment="1">
      <alignment horizontal="center" vertical="center" wrapText="1"/>
    </xf>
    <xf numFmtId="3" fontId="15" fillId="6" borderId="62" xfId="0" applyNumberFormat="1" applyFont="1" applyFill="1" applyBorder="1" applyAlignment="1">
      <alignment horizontal="center" vertical="center" wrapText="1"/>
    </xf>
    <xf numFmtId="10" fontId="15" fillId="6" borderId="59" xfId="0" applyNumberFormat="1" applyFont="1" applyFill="1" applyBorder="1" applyAlignment="1">
      <alignment horizontal="center" vertical="center" wrapText="1"/>
    </xf>
    <xf numFmtId="10" fontId="15" fillId="6" borderId="61" xfId="0" applyNumberFormat="1" applyFont="1" applyFill="1" applyBorder="1" applyAlignment="1">
      <alignment horizontal="center" vertical="center" wrapText="1"/>
    </xf>
    <xf numFmtId="10" fontId="15" fillId="6" borderId="62" xfId="0" applyNumberFormat="1" applyFont="1" applyFill="1" applyBorder="1" applyAlignment="1">
      <alignment horizontal="center" vertical="center" wrapText="1"/>
    </xf>
    <xf numFmtId="41" fontId="15" fillId="7" borderId="1" xfId="1" applyFont="1" applyFill="1" applyBorder="1" applyAlignment="1">
      <alignment horizontal="center" vertical="center" wrapText="1"/>
    </xf>
    <xf numFmtId="164" fontId="15" fillId="7" borderId="1" xfId="6" applyFont="1" applyFill="1" applyBorder="1" applyAlignment="1">
      <alignment horizontal="center" vertical="center" wrapText="1"/>
    </xf>
    <xf numFmtId="0" fontId="15" fillId="7" borderId="1" xfId="0" applyFont="1" applyFill="1" applyBorder="1" applyAlignment="1">
      <alignment horizontal="center" vertical="center" wrapText="1"/>
    </xf>
    <xf numFmtId="3" fontId="15" fillId="6" borderId="1" xfId="0" applyNumberFormat="1" applyFont="1" applyFill="1" applyBorder="1" applyAlignment="1">
      <alignment horizontal="center" vertical="center" wrapText="1"/>
    </xf>
    <xf numFmtId="0" fontId="4" fillId="7"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44" fontId="2" fillId="4" borderId="5" xfId="5" applyFont="1" applyFill="1" applyBorder="1" applyAlignment="1">
      <alignment horizontal="center" vertical="center" wrapText="1"/>
    </xf>
    <xf numFmtId="44" fontId="2" fillId="4" borderId="6" xfId="5" applyFont="1" applyFill="1" applyBorder="1" applyAlignment="1">
      <alignment horizontal="center" vertical="center" wrapText="1"/>
    </xf>
    <xf numFmtId="44" fontId="2" fillId="4" borderId="2" xfId="5" applyFont="1" applyFill="1" applyBorder="1" applyAlignment="1">
      <alignment horizontal="center" vertical="center" wrapText="1"/>
    </xf>
    <xf numFmtId="44" fontId="2" fillId="4" borderId="4" xfId="5" applyFont="1" applyFill="1" applyBorder="1" applyAlignment="1">
      <alignment horizontal="center" vertical="center" wrapText="1"/>
    </xf>
    <xf numFmtId="0" fontId="3" fillId="0" borderId="0" xfId="0" applyFont="1" applyAlignment="1">
      <alignment horizontal="center" wrapText="1"/>
    </xf>
    <xf numFmtId="0" fontId="27" fillId="21" borderId="113" xfId="0" applyFont="1" applyFill="1" applyBorder="1" applyAlignment="1">
      <alignment horizontal="center" vertical="center"/>
    </xf>
    <xf numFmtId="0" fontId="27" fillId="21" borderId="114" xfId="0" applyFont="1" applyFill="1" applyBorder="1" applyAlignment="1">
      <alignment horizontal="center" vertical="center"/>
    </xf>
    <xf numFmtId="0" fontId="27" fillId="21" borderId="115" xfId="0" applyFont="1" applyFill="1" applyBorder="1" applyAlignment="1">
      <alignment horizontal="center" vertical="center"/>
    </xf>
    <xf numFmtId="0" fontId="7" fillId="21" borderId="113" xfId="0" applyFont="1" applyFill="1" applyBorder="1" applyAlignment="1">
      <alignment horizontal="center" vertical="center"/>
    </xf>
    <xf numFmtId="0" fontId="7" fillId="21" borderId="114" xfId="0" applyFont="1" applyFill="1" applyBorder="1" applyAlignment="1">
      <alignment horizontal="center" vertical="center"/>
    </xf>
    <xf numFmtId="0" fontId="7" fillId="21" borderId="115" xfId="0" applyFont="1" applyFill="1" applyBorder="1" applyAlignment="1">
      <alignment horizontal="center" vertical="center"/>
    </xf>
    <xf numFmtId="0" fontId="27" fillId="21" borderId="113" xfId="0" applyFont="1" applyFill="1" applyBorder="1" applyAlignment="1">
      <alignment horizontal="center" vertical="center" wrapText="1"/>
    </xf>
    <xf numFmtId="0" fontId="27" fillId="21" borderId="114" xfId="0" applyFont="1" applyFill="1" applyBorder="1" applyAlignment="1">
      <alignment horizontal="center" vertical="center" wrapText="1"/>
    </xf>
    <xf numFmtId="0" fontId="27" fillId="21" borderId="115" xfId="0" applyFont="1" applyFill="1" applyBorder="1" applyAlignment="1">
      <alignment horizontal="center" vertical="center" wrapText="1"/>
    </xf>
    <xf numFmtId="0" fontId="7" fillId="21" borderId="113" xfId="0" applyFont="1" applyFill="1" applyBorder="1" applyAlignment="1">
      <alignment horizontal="center" vertical="center" wrapText="1"/>
    </xf>
    <xf numFmtId="0" fontId="7" fillId="21" borderId="114" xfId="0" applyFont="1" applyFill="1" applyBorder="1" applyAlignment="1">
      <alignment horizontal="center" vertical="center" wrapText="1"/>
    </xf>
    <xf numFmtId="0" fontId="7" fillId="21" borderId="115" xfId="0" applyFont="1" applyFill="1" applyBorder="1" applyAlignment="1">
      <alignment horizontal="center" vertical="center" wrapText="1"/>
    </xf>
    <xf numFmtId="0" fontId="0" fillId="0" borderId="112" xfId="0" applyBorder="1" applyAlignment="1">
      <alignment horizontal="center" wrapText="1"/>
    </xf>
    <xf numFmtId="9" fontId="15" fillId="0" borderId="58" xfId="0" applyNumberFormat="1" applyFont="1" applyBorder="1" applyAlignment="1">
      <alignment horizontal="center" vertical="center" wrapText="1"/>
    </xf>
    <xf numFmtId="0" fontId="15" fillId="0" borderId="0" xfId="0" applyFont="1" applyBorder="1" applyAlignment="1">
      <alignment horizontal="center" vertical="center" wrapText="1"/>
    </xf>
    <xf numFmtId="168" fontId="15" fillId="7" borderId="0" xfId="4" applyNumberFormat="1" applyFont="1" applyFill="1" applyAlignment="1">
      <alignment horizontal="center" vertical="center" wrapText="1"/>
    </xf>
    <xf numFmtId="9" fontId="15" fillId="7" borderId="0" xfId="0" applyNumberFormat="1" applyFont="1" applyFill="1" applyAlignment="1">
      <alignment horizontal="center" vertical="center" wrapText="1"/>
    </xf>
    <xf numFmtId="41" fontId="15" fillId="7" borderId="0" xfId="1" applyFont="1" applyFill="1" applyAlignment="1">
      <alignment horizontal="center" vertical="center" wrapText="1"/>
    </xf>
    <xf numFmtId="164" fontId="15" fillId="7" borderId="16" xfId="6" applyFont="1" applyFill="1" applyBorder="1" applyAlignment="1">
      <alignment horizontal="center" vertical="center" wrapText="1"/>
    </xf>
    <xf numFmtId="164" fontId="15" fillId="7" borderId="0" xfId="6" applyFont="1" applyFill="1" applyAlignment="1">
      <alignment horizontal="center" vertical="center" wrapText="1"/>
    </xf>
    <xf numFmtId="0" fontId="25" fillId="0" borderId="1" xfId="0" applyFont="1" applyBorder="1" applyAlignment="1">
      <alignment horizontal="center" vertical="center" wrapText="1"/>
    </xf>
    <xf numFmtId="9" fontId="15" fillId="7" borderId="0" xfId="4" applyFont="1" applyFill="1" applyAlignment="1">
      <alignment horizontal="center" vertical="center" wrapText="1"/>
    </xf>
    <xf numFmtId="0" fontId="5" fillId="2" borderId="0" xfId="0" applyFont="1" applyFill="1" applyAlignment="1">
      <alignment horizontal="center" vertical="center" wrapText="1"/>
    </xf>
    <xf numFmtId="9" fontId="7" fillId="8" borderId="51" xfId="0" applyNumberFormat="1" applyFont="1" applyFill="1" applyBorder="1" applyAlignment="1">
      <alignment horizontal="center" vertical="center" wrapText="1"/>
    </xf>
    <xf numFmtId="9" fontId="7" fillId="8" borderId="52" xfId="0" applyNumberFormat="1" applyFont="1" applyFill="1" applyBorder="1" applyAlignment="1">
      <alignment horizontal="center" vertical="center" wrapText="1"/>
    </xf>
    <xf numFmtId="9" fontId="7" fillId="8" borderId="53" xfId="0" applyNumberFormat="1" applyFont="1" applyFill="1" applyBorder="1" applyAlignment="1">
      <alignment horizontal="center" vertical="center" wrapText="1"/>
    </xf>
    <xf numFmtId="167" fontId="4" fillId="7" borderId="121" xfId="2" applyNumberFormat="1" applyFont="1" applyFill="1" applyBorder="1" applyAlignment="1">
      <alignment horizontal="center" vertical="center" wrapText="1"/>
    </xf>
    <xf numFmtId="167" fontId="4" fillId="7" borderId="123" xfId="2" applyNumberFormat="1" applyFont="1" applyFill="1" applyBorder="1" applyAlignment="1">
      <alignment horizontal="center" vertical="center" wrapText="1"/>
    </xf>
    <xf numFmtId="167" fontId="4" fillId="7" borderId="124" xfId="2" applyNumberFormat="1" applyFont="1" applyFill="1" applyBorder="1" applyAlignment="1">
      <alignment horizontal="center" vertical="center" wrapText="1"/>
    </xf>
    <xf numFmtId="167" fontId="4" fillId="7" borderId="47" xfId="2" applyNumberFormat="1" applyFont="1" applyFill="1" applyBorder="1" applyAlignment="1">
      <alignment horizontal="center" vertical="center" wrapText="1"/>
    </xf>
    <xf numFmtId="167" fontId="4" fillId="7" borderId="78" xfId="2" applyNumberFormat="1" applyFont="1" applyFill="1" applyBorder="1" applyAlignment="1">
      <alignment horizontal="center" vertical="center" wrapText="1"/>
    </xf>
    <xf numFmtId="167" fontId="4" fillId="7" borderId="35" xfId="2" applyNumberFormat="1" applyFont="1" applyFill="1" applyBorder="1" applyAlignment="1">
      <alignment horizontal="center" vertical="center" wrapText="1"/>
    </xf>
    <xf numFmtId="0" fontId="7" fillId="6" borderId="75" xfId="0" applyFont="1" applyFill="1" applyBorder="1" applyAlignment="1">
      <alignment horizontal="center" vertical="center" wrapText="1"/>
    </xf>
    <xf numFmtId="0" fontId="7" fillId="6" borderId="77" xfId="0" applyFont="1" applyFill="1" applyBorder="1" applyAlignment="1">
      <alignment horizontal="center" vertical="center" wrapText="1"/>
    </xf>
    <xf numFmtId="9" fontId="4" fillId="7" borderId="47" xfId="4" applyFont="1" applyFill="1" applyBorder="1" applyAlignment="1">
      <alignment horizontal="center" vertical="center" wrapText="1"/>
    </xf>
    <xf numFmtId="9" fontId="4" fillId="7" borderId="35" xfId="4" applyFont="1" applyFill="1" applyBorder="1" applyAlignment="1">
      <alignment horizontal="center" vertical="center" wrapText="1"/>
    </xf>
    <xf numFmtId="0" fontId="4" fillId="6" borderId="120" xfId="0" applyFont="1" applyFill="1" applyBorder="1" applyAlignment="1">
      <alignment horizontal="center" vertical="center" wrapText="1"/>
    </xf>
    <xf numFmtId="0" fontId="4" fillId="6" borderId="122" xfId="0" applyFont="1" applyFill="1" applyBorder="1" applyAlignment="1">
      <alignment horizontal="center" vertical="center" wrapText="1"/>
    </xf>
    <xf numFmtId="167" fontId="4" fillId="7" borderId="117" xfId="2" applyNumberFormat="1" applyFont="1" applyFill="1" applyBorder="1" applyAlignment="1">
      <alignment horizontal="center" vertical="center" wrapText="1"/>
    </xf>
    <xf numFmtId="167" fontId="4" fillId="7" borderId="118" xfId="2" applyNumberFormat="1" applyFont="1" applyFill="1" applyBorder="1" applyAlignment="1">
      <alignment horizontal="center" vertical="center" wrapText="1"/>
    </xf>
    <xf numFmtId="167" fontId="4" fillId="7" borderId="119" xfId="2" applyNumberFormat="1" applyFont="1" applyFill="1" applyBorder="1" applyAlignment="1">
      <alignment horizontal="center" vertical="center" wrapText="1"/>
    </xf>
    <xf numFmtId="0" fontId="4" fillId="7" borderId="50" xfId="0" applyFont="1" applyFill="1" applyBorder="1" applyAlignment="1">
      <alignment horizontal="center" vertical="center" wrapText="1"/>
    </xf>
    <xf numFmtId="0" fontId="5" fillId="2" borderId="57" xfId="0" applyFont="1" applyFill="1" applyBorder="1" applyAlignment="1">
      <alignment horizontal="center" vertical="center"/>
    </xf>
    <xf numFmtId="0" fontId="27" fillId="6" borderId="45" xfId="0" applyFont="1" applyFill="1" applyBorder="1" applyAlignment="1">
      <alignment horizontal="center" vertical="center" wrapText="1"/>
    </xf>
    <xf numFmtId="0" fontId="30" fillId="6" borderId="45" xfId="0" applyFont="1" applyFill="1" applyBorder="1" applyAlignment="1">
      <alignment horizontal="center" vertical="center"/>
    </xf>
    <xf numFmtId="0" fontId="31" fillId="6" borderId="45" xfId="0" applyFont="1" applyFill="1" applyBorder="1" applyAlignment="1">
      <alignment horizontal="center" vertical="center"/>
    </xf>
    <xf numFmtId="0" fontId="2" fillId="5" borderId="7" xfId="0" applyFont="1" applyFill="1" applyBorder="1" applyAlignment="1">
      <alignment horizontal="center" vertical="center" wrapText="1"/>
    </xf>
    <xf numFmtId="0" fontId="4" fillId="6" borderId="43" xfId="0" applyFont="1" applyFill="1" applyBorder="1" applyAlignment="1">
      <alignment horizontal="center" vertical="center" wrapText="1"/>
    </xf>
    <xf numFmtId="0" fontId="4" fillId="6" borderId="16" xfId="0" applyFont="1" applyFill="1" applyBorder="1" applyAlignment="1">
      <alignment horizontal="center" vertical="center"/>
    </xf>
    <xf numFmtId="0" fontId="4" fillId="6" borderId="0" xfId="0" applyFont="1" applyFill="1" applyAlignment="1">
      <alignment horizontal="center" vertical="center"/>
    </xf>
    <xf numFmtId="1" fontId="4" fillId="6" borderId="55" xfId="4" applyNumberFormat="1" applyFont="1" applyFill="1" applyBorder="1" applyAlignment="1">
      <alignment horizontal="center" vertical="center"/>
    </xf>
    <xf numFmtId="1" fontId="4" fillId="6" borderId="6" xfId="4" applyNumberFormat="1" applyFont="1" applyFill="1" applyBorder="1" applyAlignment="1">
      <alignment horizontal="center" vertical="center"/>
    </xf>
    <xf numFmtId="9" fontId="4" fillId="6" borderId="0" xfId="4" applyFont="1" applyFill="1" applyAlignment="1">
      <alignment horizontal="center" vertical="center"/>
    </xf>
    <xf numFmtId="165" fontId="4" fillId="6" borderId="0" xfId="7" applyFont="1" applyFill="1" applyAlignment="1">
      <alignment horizontal="center" vertical="center"/>
    </xf>
    <xf numFmtId="0" fontId="4" fillId="7" borderId="11" xfId="0" applyFont="1" applyFill="1" applyBorder="1" applyAlignment="1">
      <alignment horizontal="left" vertical="center" wrapText="1"/>
    </xf>
    <xf numFmtId="0" fontId="4" fillId="7" borderId="12" xfId="0" applyFont="1" applyFill="1" applyBorder="1" applyAlignment="1">
      <alignment horizontal="left" vertical="center" wrapText="1"/>
    </xf>
    <xf numFmtId="0" fontId="4" fillId="6" borderId="57" xfId="0" applyFont="1" applyFill="1" applyBorder="1" applyAlignment="1">
      <alignment horizontal="center" vertical="center" wrapText="1"/>
    </xf>
    <xf numFmtId="10" fontId="4" fillId="6" borderId="0" xfId="0" applyNumberFormat="1" applyFont="1" applyFill="1" applyAlignment="1">
      <alignment horizontal="center" vertical="center"/>
    </xf>
    <xf numFmtId="0" fontId="4" fillId="7" borderId="57" xfId="0" applyFont="1" applyFill="1" applyBorder="1" applyAlignment="1">
      <alignment horizontal="center" vertical="center" wrapText="1"/>
    </xf>
    <xf numFmtId="0" fontId="4" fillId="7" borderId="0" xfId="0" applyFont="1" applyFill="1" applyAlignment="1">
      <alignment horizontal="center" vertical="center"/>
    </xf>
    <xf numFmtId="9" fontId="4" fillId="7" borderId="0" xfId="4" applyFont="1" applyFill="1" applyAlignment="1">
      <alignment horizontal="center" vertical="center"/>
    </xf>
    <xf numFmtId="0" fontId="4" fillId="6" borderId="11" xfId="0" applyFont="1" applyFill="1" applyBorder="1" applyAlignment="1">
      <alignment horizontal="center" vertical="center"/>
    </xf>
    <xf numFmtId="0" fontId="4" fillId="6" borderId="7" xfId="0" applyFont="1" applyFill="1" applyBorder="1" applyAlignment="1">
      <alignment horizontal="center" vertical="center"/>
    </xf>
    <xf numFmtId="0" fontId="4" fillId="6" borderId="12" xfId="0" applyFont="1" applyFill="1" applyBorder="1" applyAlignment="1">
      <alignment horizontal="center" vertical="center"/>
    </xf>
    <xf numFmtId="164" fontId="13" fillId="7" borderId="16" xfId="0" applyNumberFormat="1" applyFont="1" applyFill="1" applyBorder="1" applyAlignment="1">
      <alignment horizontal="center" vertical="center"/>
    </xf>
    <xf numFmtId="164" fontId="13" fillId="7" borderId="0" xfId="0" applyNumberFormat="1" applyFont="1" applyFill="1" applyAlignment="1">
      <alignment horizontal="center" vertical="center"/>
    </xf>
    <xf numFmtId="164" fontId="13" fillId="7" borderId="43" xfId="6" applyFont="1" applyFill="1" applyBorder="1" applyAlignment="1">
      <alignment horizontal="center" vertical="center"/>
    </xf>
    <xf numFmtId="164" fontId="13" fillId="7" borderId="5" xfId="6" applyFont="1" applyFill="1" applyBorder="1" applyAlignment="1">
      <alignment horizontal="center" vertical="center"/>
    </xf>
    <xf numFmtId="0" fontId="4" fillId="7" borderId="43" xfId="0" applyFont="1" applyFill="1" applyBorder="1" applyAlignment="1">
      <alignment horizontal="center" vertical="center"/>
    </xf>
    <xf numFmtId="0" fontId="4" fillId="7" borderId="5" xfId="0" applyFont="1" applyFill="1" applyBorder="1" applyAlignment="1">
      <alignment horizontal="center" vertical="center"/>
    </xf>
    <xf numFmtId="0" fontId="4" fillId="7" borderId="55"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5" xfId="0" applyFont="1" applyFill="1" applyBorder="1" applyAlignment="1">
      <alignment horizontal="center" vertical="center"/>
    </xf>
    <xf numFmtId="0" fontId="4" fillId="6" borderId="11"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4" fillId="6" borderId="6" xfId="0" applyFont="1" applyFill="1" applyBorder="1" applyAlignment="1">
      <alignment horizontal="center" vertical="center" wrapText="1"/>
    </xf>
    <xf numFmtId="41" fontId="4" fillId="6" borderId="0" xfId="1" applyFont="1" applyFill="1" applyAlignment="1">
      <alignment horizontal="center" vertical="center"/>
    </xf>
    <xf numFmtId="9" fontId="4" fillId="6" borderId="57" xfId="0" applyNumberFormat="1" applyFont="1" applyFill="1" applyBorder="1" applyAlignment="1">
      <alignment horizontal="center" vertical="center" wrapText="1"/>
    </xf>
    <xf numFmtId="41" fontId="15" fillId="6" borderId="73" xfId="0" applyNumberFormat="1" applyFont="1" applyFill="1" applyBorder="1" applyAlignment="1">
      <alignment horizontal="center" vertical="center" wrapText="1"/>
    </xf>
    <xf numFmtId="0" fontId="15" fillId="6" borderId="71" xfId="0" applyFont="1" applyFill="1" applyBorder="1" applyAlignment="1">
      <alignment horizontal="center" vertical="center" wrapText="1"/>
    </xf>
    <xf numFmtId="9" fontId="15" fillId="6" borderId="73" xfId="4" applyFont="1" applyFill="1" applyBorder="1" applyAlignment="1">
      <alignment horizontal="center" vertical="center" wrapText="1"/>
    </xf>
    <xf numFmtId="9" fontId="15" fillId="6" borderId="71" xfId="4" applyFont="1" applyFill="1" applyBorder="1" applyAlignment="1">
      <alignment horizontal="center" vertical="center" wrapText="1"/>
    </xf>
    <xf numFmtId="0" fontId="17" fillId="6" borderId="73" xfId="0" applyFont="1" applyFill="1" applyBorder="1" applyAlignment="1">
      <alignment horizontal="justify" vertical="center" wrapText="1"/>
    </xf>
    <xf numFmtId="0" fontId="15" fillId="6" borderId="71" xfId="0" applyFont="1" applyFill="1" applyBorder="1" applyAlignment="1">
      <alignment horizontal="justify" vertical="center" wrapText="1"/>
    </xf>
    <xf numFmtId="41" fontId="15" fillId="6" borderId="99" xfId="0" applyNumberFormat="1" applyFont="1" applyFill="1" applyBorder="1" applyAlignment="1">
      <alignment horizontal="center" vertical="center" wrapText="1"/>
    </xf>
    <xf numFmtId="0" fontId="15" fillId="6" borderId="101" xfId="0" applyFont="1" applyFill="1" applyBorder="1" applyAlignment="1">
      <alignment horizontal="center" vertical="center" wrapText="1"/>
    </xf>
    <xf numFmtId="9" fontId="15" fillId="7" borderId="16" xfId="4" applyNumberFormat="1" applyFont="1" applyFill="1" applyBorder="1" applyAlignment="1">
      <alignment horizontal="center" vertical="center" wrapText="1"/>
    </xf>
    <xf numFmtId="9" fontId="15" fillId="7" borderId="0" xfId="4" applyNumberFormat="1" applyFont="1" applyFill="1" applyBorder="1" applyAlignment="1">
      <alignment horizontal="center" vertical="center" wrapText="1"/>
    </xf>
    <xf numFmtId="9" fontId="15" fillId="7" borderId="71" xfId="4" applyNumberFormat="1" applyFont="1" applyFill="1" applyBorder="1" applyAlignment="1">
      <alignment horizontal="center" vertical="center" wrapText="1"/>
    </xf>
    <xf numFmtId="0" fontId="15" fillId="7" borderId="16" xfId="0" applyFont="1" applyFill="1" applyBorder="1" applyAlignment="1">
      <alignment horizontal="justify" vertical="center" wrapText="1"/>
    </xf>
    <xf numFmtId="0" fontId="15" fillId="7" borderId="0" xfId="0" applyFont="1" applyFill="1" applyAlignment="1">
      <alignment horizontal="justify" vertical="center" wrapText="1"/>
    </xf>
    <xf numFmtId="0" fontId="15" fillId="7" borderId="71" xfId="0" applyFont="1" applyFill="1" applyBorder="1" applyAlignment="1">
      <alignment horizontal="justify" vertical="center" wrapText="1"/>
    </xf>
    <xf numFmtId="0" fontId="15" fillId="7" borderId="0" xfId="0" applyFont="1" applyFill="1" applyBorder="1" applyAlignment="1">
      <alignment horizontal="center" vertical="center" wrapText="1"/>
    </xf>
    <xf numFmtId="0" fontId="15" fillId="7" borderId="71" xfId="0" applyFont="1" applyFill="1" applyBorder="1" applyAlignment="1">
      <alignment horizontal="center" vertical="center" wrapText="1"/>
    </xf>
    <xf numFmtId="0" fontId="15" fillId="7" borderId="106" xfId="0" applyFont="1" applyFill="1" applyBorder="1" applyAlignment="1">
      <alignment horizontal="center" vertical="center" wrapText="1"/>
    </xf>
    <xf numFmtId="0" fontId="15" fillId="7" borderId="100" xfId="0" applyFont="1" applyFill="1" applyBorder="1" applyAlignment="1">
      <alignment horizontal="center" vertical="center" wrapText="1"/>
    </xf>
    <xf numFmtId="0" fontId="15" fillId="7" borderId="101" xfId="0" applyFont="1" applyFill="1" applyBorder="1" applyAlignment="1">
      <alignment horizontal="center" vertical="center" wrapText="1"/>
    </xf>
    <xf numFmtId="0" fontId="2" fillId="4" borderId="63" xfId="0" applyFont="1" applyFill="1" applyBorder="1" applyAlignment="1">
      <alignment horizontal="center" vertical="center" wrapText="1"/>
    </xf>
    <xf numFmtId="0" fontId="2" fillId="4" borderId="64" xfId="0" applyFont="1" applyFill="1" applyBorder="1" applyAlignment="1">
      <alignment horizontal="center" vertical="center" wrapText="1"/>
    </xf>
    <xf numFmtId="0" fontId="2" fillId="4" borderId="65" xfId="0" applyFont="1" applyFill="1" applyBorder="1" applyAlignment="1">
      <alignment horizontal="center" vertical="center" wrapText="1"/>
    </xf>
    <xf numFmtId="0" fontId="2" fillId="4" borderId="66" xfId="0" applyFont="1" applyFill="1" applyBorder="1" applyAlignment="1">
      <alignment horizontal="center" vertical="center" wrapText="1"/>
    </xf>
    <xf numFmtId="0" fontId="2" fillId="4" borderId="67" xfId="0" applyFont="1" applyFill="1" applyBorder="1" applyAlignment="1">
      <alignment horizontal="center" vertical="center" wrapText="1"/>
    </xf>
    <xf numFmtId="0" fontId="4" fillId="6" borderId="30" xfId="0" applyFont="1" applyFill="1" applyBorder="1" applyAlignment="1">
      <alignment horizontal="center" vertical="center" wrapText="1"/>
    </xf>
    <xf numFmtId="0" fontId="4" fillId="7" borderId="78" xfId="0" applyFont="1" applyFill="1" applyBorder="1" applyAlignment="1">
      <alignment horizontal="center" vertical="center" wrapText="1"/>
    </xf>
    <xf numFmtId="9" fontId="4" fillId="7" borderId="78" xfId="4" applyFont="1" applyFill="1" applyBorder="1" applyAlignment="1">
      <alignment horizontal="center" vertical="center" wrapText="1"/>
    </xf>
    <xf numFmtId="167" fontId="4" fillId="6" borderId="75" xfId="2" applyNumberFormat="1" applyFont="1" applyFill="1" applyBorder="1" applyAlignment="1">
      <alignment horizontal="center" vertical="center" wrapText="1"/>
    </xf>
    <xf numFmtId="167" fontId="4" fillId="6" borderId="77" xfId="2" applyNumberFormat="1" applyFont="1" applyFill="1" applyBorder="1" applyAlignment="1">
      <alignment horizontal="center" vertical="center" wrapText="1"/>
    </xf>
    <xf numFmtId="9" fontId="4" fillId="6" borderId="75" xfId="4" applyFont="1" applyFill="1" applyBorder="1" applyAlignment="1">
      <alignment horizontal="center" vertical="center" wrapText="1"/>
    </xf>
    <xf numFmtId="9" fontId="4" fillId="6" borderId="77" xfId="4" applyFont="1" applyFill="1" applyBorder="1" applyAlignment="1">
      <alignment horizontal="center" vertical="center" wrapText="1"/>
    </xf>
    <xf numFmtId="0" fontId="3" fillId="2" borderId="0" xfId="0" applyFont="1" applyFill="1" applyAlignment="1">
      <alignment horizontal="center" vertical="center" wrapText="1"/>
    </xf>
    <xf numFmtId="9" fontId="4" fillId="6" borderId="76" xfId="4" applyFont="1" applyFill="1" applyBorder="1" applyAlignment="1">
      <alignment horizontal="center" vertical="center" wrapText="1"/>
    </xf>
    <xf numFmtId="10" fontId="15" fillId="0" borderId="0" xfId="0" applyNumberFormat="1" applyFont="1" applyAlignment="1">
      <alignment horizontal="center" vertical="center" wrapText="1"/>
    </xf>
    <xf numFmtId="10" fontId="15" fillId="0" borderId="107" xfId="0" applyNumberFormat="1" applyFont="1" applyBorder="1" applyAlignment="1">
      <alignment horizontal="center" vertical="center" wrapText="1"/>
    </xf>
    <xf numFmtId="9" fontId="4" fillId="6" borderId="79" xfId="4" applyFont="1" applyFill="1" applyBorder="1" applyAlignment="1">
      <alignment horizontal="center" vertical="center" wrapText="1"/>
    </xf>
    <xf numFmtId="171" fontId="4" fillId="6" borderId="75" xfId="5" applyNumberFormat="1" applyFont="1" applyFill="1" applyBorder="1" applyAlignment="1">
      <alignment horizontal="center" vertical="center" wrapText="1"/>
    </xf>
    <xf numFmtId="171" fontId="4" fillId="6" borderId="76" xfId="5" applyNumberFormat="1" applyFont="1" applyFill="1" applyBorder="1" applyAlignment="1">
      <alignment horizontal="center" vertical="center" wrapText="1"/>
    </xf>
    <xf numFmtId="171" fontId="4" fillId="6" borderId="77" xfId="5" applyNumberFormat="1" applyFont="1" applyFill="1" applyBorder="1" applyAlignment="1">
      <alignment horizontal="center" vertical="center" wrapText="1"/>
    </xf>
    <xf numFmtId="171" fontId="4" fillId="7" borderId="75" xfId="5" applyNumberFormat="1" applyFont="1" applyFill="1" applyBorder="1" applyAlignment="1">
      <alignment horizontal="center" vertical="center" wrapText="1"/>
    </xf>
    <xf numFmtId="171" fontId="4" fillId="7" borderId="76" xfId="5" applyNumberFormat="1" applyFont="1" applyFill="1" applyBorder="1" applyAlignment="1">
      <alignment horizontal="center" vertical="center" wrapText="1"/>
    </xf>
    <xf numFmtId="171" fontId="4" fillId="7" borderId="77" xfId="5" applyNumberFormat="1" applyFont="1" applyFill="1" applyBorder="1" applyAlignment="1">
      <alignment horizontal="center" vertical="center" wrapText="1"/>
    </xf>
    <xf numFmtId="172" fontId="4" fillId="7" borderId="75" xfId="4" applyNumberFormat="1" applyFont="1" applyFill="1" applyBorder="1" applyAlignment="1">
      <alignment horizontal="center" vertical="center" wrapText="1"/>
    </xf>
    <xf numFmtId="172" fontId="4" fillId="7" borderId="76" xfId="4" applyNumberFormat="1" applyFont="1" applyFill="1" applyBorder="1" applyAlignment="1">
      <alignment horizontal="center" vertical="center" wrapText="1"/>
    </xf>
    <xf numFmtId="9" fontId="4" fillId="6" borderId="17" xfId="4" applyFont="1" applyFill="1" applyBorder="1" applyAlignment="1">
      <alignment horizontal="center" vertical="center" wrapText="1"/>
    </xf>
    <xf numFmtId="9" fontId="4" fillId="6" borderId="24" xfId="4" applyFont="1" applyFill="1" applyBorder="1" applyAlignment="1">
      <alignment horizontal="center" vertical="center" wrapText="1"/>
    </xf>
    <xf numFmtId="167" fontId="4" fillId="7" borderId="75" xfId="2" applyNumberFormat="1" applyFont="1" applyFill="1" applyBorder="1" applyAlignment="1">
      <alignment horizontal="center" vertical="center" wrapText="1"/>
    </xf>
    <xf numFmtId="167" fontId="4" fillId="7" borderId="76" xfId="2" applyNumberFormat="1" applyFont="1" applyFill="1" applyBorder="1" applyAlignment="1">
      <alignment horizontal="center" vertical="center" wrapText="1"/>
    </xf>
    <xf numFmtId="0" fontId="2" fillId="4" borderId="1" xfId="0" applyFont="1" applyFill="1" applyBorder="1" applyAlignment="1">
      <alignment horizontal="center" vertical="center"/>
    </xf>
    <xf numFmtId="0" fontId="2" fillId="4" borderId="62" xfId="0" applyFont="1" applyFill="1" applyBorder="1" applyAlignment="1">
      <alignment horizontal="center" vertical="center"/>
    </xf>
    <xf numFmtId="167" fontId="4" fillId="7" borderId="126" xfId="2" applyNumberFormat="1" applyFont="1" applyFill="1" applyBorder="1" applyAlignment="1">
      <alignment horizontal="center" vertical="center" wrapText="1"/>
    </xf>
    <xf numFmtId="167" fontId="4" fillId="7" borderId="0" xfId="2" applyNumberFormat="1" applyFont="1" applyFill="1" applyBorder="1" applyAlignment="1">
      <alignment horizontal="center" vertical="center" wrapText="1"/>
    </xf>
    <xf numFmtId="167" fontId="4" fillId="7" borderId="127" xfId="2" applyNumberFormat="1" applyFont="1" applyFill="1" applyBorder="1" applyAlignment="1">
      <alignment horizontal="center" vertical="center" wrapText="1"/>
    </xf>
    <xf numFmtId="167" fontId="4" fillId="6" borderId="16" xfId="2" applyNumberFormat="1" applyFont="1" applyFill="1" applyBorder="1" applyAlignment="1">
      <alignment horizontal="center" vertical="center" wrapText="1"/>
    </xf>
    <xf numFmtId="167" fontId="4" fillId="6" borderId="39" xfId="2" applyNumberFormat="1" applyFont="1" applyFill="1" applyBorder="1" applyAlignment="1">
      <alignment horizontal="center" vertical="center" wrapText="1"/>
    </xf>
    <xf numFmtId="167" fontId="4" fillId="6" borderId="0" xfId="2" applyNumberFormat="1" applyFont="1" applyFill="1" applyBorder="1" applyAlignment="1">
      <alignment horizontal="center" vertical="center" wrapText="1"/>
    </xf>
    <xf numFmtId="167" fontId="4" fillId="6" borderId="76" xfId="2" applyNumberFormat="1" applyFont="1" applyFill="1" applyBorder="1" applyAlignment="1">
      <alignment horizontal="center" vertical="center" wrapText="1"/>
    </xf>
    <xf numFmtId="167" fontId="4" fillId="7" borderId="77" xfId="2" applyNumberFormat="1" applyFont="1" applyFill="1" applyBorder="1" applyAlignment="1">
      <alignment horizontal="center" vertical="center" wrapText="1"/>
    </xf>
    <xf numFmtId="167" fontId="4" fillId="7" borderId="55" xfId="2" applyNumberFormat="1" applyFont="1" applyFill="1" applyBorder="1" applyAlignment="1">
      <alignment horizontal="center" vertical="center" wrapText="1"/>
    </xf>
    <xf numFmtId="167" fontId="4" fillId="7" borderId="6" xfId="2" applyNumberFormat="1" applyFont="1" applyFill="1" applyBorder="1" applyAlignment="1">
      <alignment horizontal="center" vertical="center" wrapText="1"/>
    </xf>
    <xf numFmtId="167" fontId="15" fillId="7" borderId="16" xfId="2" applyNumberFormat="1" applyFont="1" applyFill="1" applyBorder="1" applyAlignment="1">
      <alignment horizontal="center" vertical="center" wrapText="1"/>
    </xf>
    <xf numFmtId="167" fontId="15" fillId="7" borderId="0" xfId="2" applyNumberFormat="1" applyFont="1" applyFill="1" applyAlignment="1">
      <alignment horizontal="center" vertical="center" wrapText="1"/>
    </xf>
    <xf numFmtId="164" fontId="15" fillId="7" borderId="0" xfId="6" applyFont="1" applyFill="1" applyBorder="1" applyAlignment="1">
      <alignment horizontal="center" vertical="center" wrapText="1"/>
    </xf>
    <xf numFmtId="164" fontId="15" fillId="7" borderId="127" xfId="6" applyFont="1" applyFill="1" applyBorder="1" applyAlignment="1">
      <alignment horizontal="center" vertical="center" wrapText="1"/>
    </xf>
  </cellXfs>
  <cellStyles count="9">
    <cellStyle name="Millares [0]" xfId="1" builtinId="6"/>
    <cellStyle name="Millares [0] 2" xfId="7" xr:uid="{00000000-0005-0000-0000-000001000000}"/>
    <cellStyle name="Moneda" xfId="2" builtinId="4"/>
    <cellStyle name="Moneda [0]" xfId="3" builtinId="7"/>
    <cellStyle name="Moneda [0] 2" xfId="6" xr:uid="{00000000-0005-0000-0000-000004000000}"/>
    <cellStyle name="Moneda [0] 3" xfId="8" xr:uid="{00000000-0005-0000-0000-000005000000}"/>
    <cellStyle name="Moneda 2" xfId="5" xr:uid="{00000000-0005-0000-0000-000006000000}"/>
    <cellStyle name="Normal" xfId="0" builtinId="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3</xdr:row>
      <xdr:rowOff>0</xdr:rowOff>
    </xdr:to>
    <xdr:grpSp>
      <xdr:nvGrpSpPr>
        <xdr:cNvPr id="2" name="Grupo 1">
          <a:extLst>
            <a:ext uri="{FF2B5EF4-FFF2-40B4-BE49-F238E27FC236}">
              <a16:creationId xmlns:a16="http://schemas.microsoft.com/office/drawing/2014/main" id="{D29FDF02-EBE4-440E-A558-E6C2A534A665}"/>
            </a:ext>
          </a:extLst>
        </xdr:cNvPr>
        <xdr:cNvGrpSpPr/>
      </xdr:nvGrpSpPr>
      <xdr:grpSpPr>
        <a:xfrm>
          <a:off x="0" y="0"/>
          <a:ext cx="0" cy="952500"/>
          <a:chOff x="228600" y="47625"/>
          <a:chExt cx="2680608" cy="981075"/>
        </a:xfrm>
      </xdr:grpSpPr>
      <xdr:pic>
        <xdr:nvPicPr>
          <xdr:cNvPr id="3" name="Picture 5">
            <a:extLst>
              <a:ext uri="{FF2B5EF4-FFF2-40B4-BE49-F238E27FC236}">
                <a16:creationId xmlns:a16="http://schemas.microsoft.com/office/drawing/2014/main" id="{4D22515B-9DC5-4934-8FA6-74863ECD0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D4CB2B88-CEBD-4D1F-96BA-3EF8B96BD566}"/>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242208</xdr:colOff>
      <xdr:row>2</xdr:row>
      <xdr:rowOff>295275</xdr:rowOff>
    </xdr:to>
    <xdr:grpSp>
      <xdr:nvGrpSpPr>
        <xdr:cNvPr id="5" name="Grupo 4">
          <a:extLst>
            <a:ext uri="{FF2B5EF4-FFF2-40B4-BE49-F238E27FC236}">
              <a16:creationId xmlns:a16="http://schemas.microsoft.com/office/drawing/2014/main" id="{CCBD3C60-2664-4319-9733-997B5DAD8AF9}"/>
            </a:ext>
          </a:extLst>
        </xdr:cNvPr>
        <xdr:cNvGrpSpPr/>
      </xdr:nvGrpSpPr>
      <xdr:grpSpPr>
        <a:xfrm>
          <a:off x="0" y="0"/>
          <a:ext cx="3518808" cy="876300"/>
          <a:chOff x="228600" y="47625"/>
          <a:chExt cx="2680608" cy="981075"/>
        </a:xfrm>
      </xdr:grpSpPr>
      <xdr:pic>
        <xdr:nvPicPr>
          <xdr:cNvPr id="6" name="Picture 5">
            <a:extLst>
              <a:ext uri="{FF2B5EF4-FFF2-40B4-BE49-F238E27FC236}">
                <a16:creationId xmlns:a16="http://schemas.microsoft.com/office/drawing/2014/main" id="{E635AEBC-DE28-4B2C-A17D-4A8F10EDBC2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2582C3C8-703C-4DA1-9465-EB163A541B92}"/>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919043</xdr:colOff>
      <xdr:row>2</xdr:row>
      <xdr:rowOff>293594</xdr:rowOff>
    </xdr:to>
    <xdr:grpSp>
      <xdr:nvGrpSpPr>
        <xdr:cNvPr id="2" name="Grupo 1">
          <a:extLst>
            <a:ext uri="{FF2B5EF4-FFF2-40B4-BE49-F238E27FC236}">
              <a16:creationId xmlns:a16="http://schemas.microsoft.com/office/drawing/2014/main" id="{B1C38EB5-8528-4A12-AAC1-7C56019EE0B8}"/>
            </a:ext>
          </a:extLst>
        </xdr:cNvPr>
        <xdr:cNvGrpSpPr/>
      </xdr:nvGrpSpPr>
      <xdr:grpSpPr>
        <a:xfrm>
          <a:off x="0" y="0"/>
          <a:ext cx="3531614" cy="878701"/>
          <a:chOff x="228600" y="47625"/>
          <a:chExt cx="2680608" cy="981075"/>
        </a:xfrm>
      </xdr:grpSpPr>
      <xdr:pic>
        <xdr:nvPicPr>
          <xdr:cNvPr id="3" name="Picture 5">
            <a:extLst>
              <a:ext uri="{FF2B5EF4-FFF2-40B4-BE49-F238E27FC236}">
                <a16:creationId xmlns:a16="http://schemas.microsoft.com/office/drawing/2014/main" id="{25B2607E-08E9-428D-8D56-378893304C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030F8458-2D12-4A04-AB73-CAC0261B73A6}"/>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A2F190B3-5F2D-4C30-8F53-E7AB814F42F4}"/>
            </a:ext>
          </a:extLst>
        </xdr:cNvPr>
        <xdr:cNvGrpSpPr/>
      </xdr:nvGrpSpPr>
      <xdr:grpSpPr>
        <a:xfrm>
          <a:off x="0" y="0"/>
          <a:ext cx="2809196" cy="952500"/>
          <a:chOff x="228600" y="47625"/>
          <a:chExt cx="2680608" cy="981075"/>
        </a:xfrm>
      </xdr:grpSpPr>
      <xdr:pic>
        <xdr:nvPicPr>
          <xdr:cNvPr id="3" name="Picture 5">
            <a:extLst>
              <a:ext uri="{FF2B5EF4-FFF2-40B4-BE49-F238E27FC236}">
                <a16:creationId xmlns:a16="http://schemas.microsoft.com/office/drawing/2014/main" id="{7407D9B9-68F5-4866-AC31-02A9BC5614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3A75B189-454F-489A-B783-B016BD6116B2}"/>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D55C0A9C-67D1-4D02-ABFC-91E46A8CE90E}"/>
            </a:ext>
          </a:extLst>
        </xdr:cNvPr>
        <xdr:cNvGrpSpPr/>
      </xdr:nvGrpSpPr>
      <xdr:grpSpPr>
        <a:xfrm>
          <a:off x="0" y="0"/>
          <a:ext cx="1908197" cy="952500"/>
          <a:chOff x="228600" y="47625"/>
          <a:chExt cx="2680608" cy="981075"/>
        </a:xfrm>
      </xdr:grpSpPr>
      <xdr:pic>
        <xdr:nvPicPr>
          <xdr:cNvPr id="3" name="Picture 5">
            <a:extLst>
              <a:ext uri="{FF2B5EF4-FFF2-40B4-BE49-F238E27FC236}">
                <a16:creationId xmlns:a16="http://schemas.microsoft.com/office/drawing/2014/main" id="{83854D5E-8200-4A6B-A993-7B1A3682F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D3102845-E45D-4050-A388-1731CE23A34C}"/>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928B5D55-F422-4F47-A1A8-5D2139ABC8A9}"/>
            </a:ext>
          </a:extLst>
        </xdr:cNvPr>
        <xdr:cNvGrpSpPr/>
      </xdr:nvGrpSpPr>
      <xdr:grpSpPr>
        <a:xfrm>
          <a:off x="0" y="0"/>
          <a:ext cx="3490233" cy="952500"/>
          <a:chOff x="228600" y="47625"/>
          <a:chExt cx="2680608" cy="981075"/>
        </a:xfrm>
      </xdr:grpSpPr>
      <xdr:pic>
        <xdr:nvPicPr>
          <xdr:cNvPr id="3" name="Picture 5">
            <a:extLst>
              <a:ext uri="{FF2B5EF4-FFF2-40B4-BE49-F238E27FC236}">
                <a16:creationId xmlns:a16="http://schemas.microsoft.com/office/drawing/2014/main" id="{0F91BA17-D38C-4F00-8AE9-2DF2DBE3D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20DBD9F2-506D-40E6-8665-161704A5246E}"/>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C5FC1CE8-D508-43DE-BF37-329D774B1959}"/>
            </a:ext>
          </a:extLst>
        </xdr:cNvPr>
        <xdr:cNvGrpSpPr/>
      </xdr:nvGrpSpPr>
      <xdr:grpSpPr>
        <a:xfrm>
          <a:off x="0" y="0"/>
          <a:ext cx="2817133" cy="867833"/>
          <a:chOff x="228600" y="47625"/>
          <a:chExt cx="2680608" cy="981075"/>
        </a:xfrm>
      </xdr:grpSpPr>
      <xdr:pic>
        <xdr:nvPicPr>
          <xdr:cNvPr id="3" name="Picture 5">
            <a:extLst>
              <a:ext uri="{FF2B5EF4-FFF2-40B4-BE49-F238E27FC236}">
                <a16:creationId xmlns:a16="http://schemas.microsoft.com/office/drawing/2014/main" id="{6746C301-725E-4E9C-A50B-C142FE9DAC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34CB70E5-133A-4D26-824F-DFAB48637007}"/>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213633</xdr:colOff>
      <xdr:row>3</xdr:row>
      <xdr:rowOff>0</xdr:rowOff>
    </xdr:to>
    <xdr:grpSp>
      <xdr:nvGrpSpPr>
        <xdr:cNvPr id="5" name="Grupo 4">
          <a:extLst>
            <a:ext uri="{FF2B5EF4-FFF2-40B4-BE49-F238E27FC236}">
              <a16:creationId xmlns:a16="http://schemas.microsoft.com/office/drawing/2014/main" id="{DC34D37F-7BC1-4B44-BB1F-03CA98F655F7}"/>
            </a:ext>
          </a:extLst>
        </xdr:cNvPr>
        <xdr:cNvGrpSpPr/>
      </xdr:nvGrpSpPr>
      <xdr:grpSpPr>
        <a:xfrm>
          <a:off x="0" y="0"/>
          <a:ext cx="2817133" cy="867833"/>
          <a:chOff x="228600" y="47625"/>
          <a:chExt cx="2680608" cy="981075"/>
        </a:xfrm>
      </xdr:grpSpPr>
      <xdr:pic>
        <xdr:nvPicPr>
          <xdr:cNvPr id="6" name="Picture 5">
            <a:extLst>
              <a:ext uri="{FF2B5EF4-FFF2-40B4-BE49-F238E27FC236}">
                <a16:creationId xmlns:a16="http://schemas.microsoft.com/office/drawing/2014/main" id="{379B9530-281B-4F97-8CDF-3EA9B84F4D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9B878C83-2FFF-4E87-8E26-ED53AAAD3F37}"/>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8C376663-F600-48DA-8AB2-49AE8C12BF64}"/>
            </a:ext>
          </a:extLst>
        </xdr:cNvPr>
        <xdr:cNvGrpSpPr/>
      </xdr:nvGrpSpPr>
      <xdr:grpSpPr>
        <a:xfrm>
          <a:off x="0" y="0"/>
          <a:ext cx="3490233" cy="952500"/>
          <a:chOff x="228600" y="47625"/>
          <a:chExt cx="2680608" cy="981075"/>
        </a:xfrm>
      </xdr:grpSpPr>
      <xdr:pic>
        <xdr:nvPicPr>
          <xdr:cNvPr id="3" name="Picture 5">
            <a:extLst>
              <a:ext uri="{FF2B5EF4-FFF2-40B4-BE49-F238E27FC236}">
                <a16:creationId xmlns:a16="http://schemas.microsoft.com/office/drawing/2014/main" id="{FEFA503C-8282-4E77-AD60-3ED5DD29E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8C5D578B-E9B0-4AAA-ACD2-13A6638D25C1}"/>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oneCellAnchor>
    <xdr:from>
      <xdr:col>17</xdr:col>
      <xdr:colOff>273050</xdr:colOff>
      <xdr:row>6</xdr:row>
      <xdr:rowOff>82547</xdr:rowOff>
    </xdr:from>
    <xdr:ext cx="1134531" cy="462114"/>
    <mc:AlternateContent xmlns:mc="http://schemas.openxmlformats.org/markup-compatibility/2006" xmlns:a14="http://schemas.microsoft.com/office/drawing/2010/main">
      <mc:Choice Requires="a14">
        <xdr:sp macro="" textlink="">
          <xdr:nvSpPr>
            <xdr:cNvPr id="5" name="CuadroTexto 4">
              <a:extLst>
                <a:ext uri="{FF2B5EF4-FFF2-40B4-BE49-F238E27FC236}">
                  <a16:creationId xmlns:a16="http://schemas.microsoft.com/office/drawing/2014/main" id="{57A4B8BA-2C3F-403A-8338-089805E68465}"/>
                </a:ext>
              </a:extLst>
            </xdr:cNvPr>
            <xdr:cNvSpPr txBox="1"/>
          </xdr:nvSpPr>
          <xdr:spPr>
            <a:xfrm>
              <a:off x="31924625" y="16065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5" name="CuadroTexto 4">
              <a:extLst>
                <a:ext uri="{FF2B5EF4-FFF2-40B4-BE49-F238E27FC236}">
                  <a16:creationId xmlns:a16="http://schemas.microsoft.com/office/drawing/2014/main" id="{57A4B8BA-2C3F-403A-8338-089805E68465}"/>
                </a:ext>
              </a:extLst>
            </xdr:cNvPr>
            <xdr:cNvSpPr txBox="1"/>
          </xdr:nvSpPr>
          <xdr:spPr>
            <a:xfrm>
              <a:off x="31924625" y="16065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338669</xdr:colOff>
      <xdr:row>7</xdr:row>
      <xdr:rowOff>0</xdr:rowOff>
    </xdr:from>
    <xdr:ext cx="1134531" cy="462114"/>
    <mc:AlternateContent xmlns:mc="http://schemas.openxmlformats.org/markup-compatibility/2006" xmlns:a14="http://schemas.microsoft.com/office/drawing/2010/main">
      <mc:Choice Requires="a14">
        <xdr:sp macro="" textlink="">
          <xdr:nvSpPr>
            <xdr:cNvPr id="6" name="CuadroTexto 5">
              <a:extLst>
                <a:ext uri="{FF2B5EF4-FFF2-40B4-BE49-F238E27FC236}">
                  <a16:creationId xmlns:a16="http://schemas.microsoft.com/office/drawing/2014/main" id="{AC77D9E7-BBF5-4327-8EBA-4AAD742772A0}"/>
                </a:ext>
              </a:extLst>
            </xdr:cNvPr>
            <xdr:cNvSpPr txBox="1"/>
          </xdr:nvSpPr>
          <xdr:spPr>
            <a:xfrm>
              <a:off x="31990244" y="2876550"/>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6" name="CuadroTexto 5">
              <a:extLst>
                <a:ext uri="{FF2B5EF4-FFF2-40B4-BE49-F238E27FC236}">
                  <a16:creationId xmlns:a16="http://schemas.microsoft.com/office/drawing/2014/main" id="{AC77D9E7-BBF5-4327-8EBA-4AAD742772A0}"/>
                </a:ext>
              </a:extLst>
            </xdr:cNvPr>
            <xdr:cNvSpPr txBox="1"/>
          </xdr:nvSpPr>
          <xdr:spPr>
            <a:xfrm>
              <a:off x="31990244" y="2876550"/>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328082</xdr:colOff>
      <xdr:row>8</xdr:row>
      <xdr:rowOff>148167</xdr:rowOff>
    </xdr:from>
    <xdr:ext cx="1134531" cy="462114"/>
    <mc:AlternateContent xmlns:mc="http://schemas.openxmlformats.org/markup-compatibility/2006" xmlns:a14="http://schemas.microsoft.com/office/drawing/2010/main">
      <mc:Choice Requires="a14">
        <xdr:sp macro="" textlink="">
          <xdr:nvSpPr>
            <xdr:cNvPr id="7" name="CuadroTexto 6">
              <a:extLst>
                <a:ext uri="{FF2B5EF4-FFF2-40B4-BE49-F238E27FC236}">
                  <a16:creationId xmlns:a16="http://schemas.microsoft.com/office/drawing/2014/main" id="{A168A500-3FC2-4DAE-9A3D-81244C05060F}"/>
                </a:ext>
              </a:extLst>
            </xdr:cNvPr>
            <xdr:cNvSpPr txBox="1"/>
          </xdr:nvSpPr>
          <xdr:spPr>
            <a:xfrm>
              <a:off x="31979657" y="430106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7" name="CuadroTexto 6">
              <a:extLst>
                <a:ext uri="{FF2B5EF4-FFF2-40B4-BE49-F238E27FC236}">
                  <a16:creationId xmlns:a16="http://schemas.microsoft.com/office/drawing/2014/main" id="{A168A500-3FC2-4DAE-9A3D-81244C05060F}"/>
                </a:ext>
              </a:extLst>
            </xdr:cNvPr>
            <xdr:cNvSpPr txBox="1"/>
          </xdr:nvSpPr>
          <xdr:spPr>
            <a:xfrm>
              <a:off x="31979657" y="430106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296332</xdr:colOff>
      <xdr:row>9</xdr:row>
      <xdr:rowOff>0</xdr:rowOff>
    </xdr:from>
    <xdr:ext cx="1134531" cy="462114"/>
    <mc:AlternateContent xmlns:mc="http://schemas.openxmlformats.org/markup-compatibility/2006" xmlns:a14="http://schemas.microsoft.com/office/drawing/2010/main">
      <mc:Choice Requires="a14">
        <xdr:sp macro="" textlink="">
          <xdr:nvSpPr>
            <xdr:cNvPr id="8" name="CuadroTexto 7">
              <a:extLst>
                <a:ext uri="{FF2B5EF4-FFF2-40B4-BE49-F238E27FC236}">
                  <a16:creationId xmlns:a16="http://schemas.microsoft.com/office/drawing/2014/main" id="{CFB2DD40-953B-4AE7-8238-54B5A2246190}"/>
                </a:ext>
              </a:extLst>
            </xdr:cNvPr>
            <xdr:cNvSpPr txBox="1"/>
          </xdr:nvSpPr>
          <xdr:spPr>
            <a:xfrm>
              <a:off x="31947907" y="6124575"/>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8" name="CuadroTexto 7">
              <a:extLst>
                <a:ext uri="{FF2B5EF4-FFF2-40B4-BE49-F238E27FC236}">
                  <a16:creationId xmlns:a16="http://schemas.microsoft.com/office/drawing/2014/main" id="{CFB2DD40-953B-4AE7-8238-54B5A2246190}"/>
                </a:ext>
              </a:extLst>
            </xdr:cNvPr>
            <xdr:cNvSpPr txBox="1"/>
          </xdr:nvSpPr>
          <xdr:spPr>
            <a:xfrm>
              <a:off x="31947907" y="6124575"/>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10</xdr:row>
      <xdr:rowOff>82547</xdr:rowOff>
    </xdr:from>
    <xdr:ext cx="1134531" cy="462114"/>
    <mc:AlternateContent xmlns:mc="http://schemas.openxmlformats.org/markup-compatibility/2006" xmlns:a14="http://schemas.microsoft.com/office/drawing/2010/main">
      <mc:Choice Requires="a14">
        <xdr:sp macro="" textlink="">
          <xdr:nvSpPr>
            <xdr:cNvPr id="9" name="CuadroTexto 8">
              <a:extLst>
                <a:ext uri="{FF2B5EF4-FFF2-40B4-BE49-F238E27FC236}">
                  <a16:creationId xmlns:a16="http://schemas.microsoft.com/office/drawing/2014/main" id="{59192DEE-C870-4182-9A28-A3A7D99A8AA0}"/>
                </a:ext>
              </a:extLst>
            </xdr:cNvPr>
            <xdr:cNvSpPr txBox="1"/>
          </xdr:nvSpPr>
          <xdr:spPr>
            <a:xfrm>
              <a:off x="31924625" y="752157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9" name="CuadroTexto 8">
              <a:extLst>
                <a:ext uri="{FF2B5EF4-FFF2-40B4-BE49-F238E27FC236}">
                  <a16:creationId xmlns:a16="http://schemas.microsoft.com/office/drawing/2014/main" id="{59192DEE-C870-4182-9A28-A3A7D99A8AA0}"/>
                </a:ext>
              </a:extLst>
            </xdr:cNvPr>
            <xdr:cNvSpPr txBox="1"/>
          </xdr:nvSpPr>
          <xdr:spPr>
            <a:xfrm>
              <a:off x="31924625" y="752157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11</xdr:row>
      <xdr:rowOff>82547</xdr:rowOff>
    </xdr:from>
    <xdr:ext cx="1134531" cy="462114"/>
    <mc:AlternateContent xmlns:mc="http://schemas.openxmlformats.org/markup-compatibility/2006" xmlns:a14="http://schemas.microsoft.com/office/drawing/2010/main">
      <mc:Choice Requires="a14">
        <xdr:sp macro="" textlink="">
          <xdr:nvSpPr>
            <xdr:cNvPr id="10" name="CuadroTexto 9">
              <a:extLst>
                <a:ext uri="{FF2B5EF4-FFF2-40B4-BE49-F238E27FC236}">
                  <a16:creationId xmlns:a16="http://schemas.microsoft.com/office/drawing/2014/main" id="{38FAED2C-2A7B-4C23-B715-195BC87B2789}"/>
                </a:ext>
              </a:extLst>
            </xdr:cNvPr>
            <xdr:cNvSpPr txBox="1"/>
          </xdr:nvSpPr>
          <xdr:spPr>
            <a:xfrm>
              <a:off x="31924625" y="87693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0" name="CuadroTexto 9">
              <a:extLst>
                <a:ext uri="{FF2B5EF4-FFF2-40B4-BE49-F238E27FC236}">
                  <a16:creationId xmlns:a16="http://schemas.microsoft.com/office/drawing/2014/main" id="{38FAED2C-2A7B-4C23-B715-195BC87B2789}"/>
                </a:ext>
              </a:extLst>
            </xdr:cNvPr>
            <xdr:cNvSpPr txBox="1"/>
          </xdr:nvSpPr>
          <xdr:spPr>
            <a:xfrm>
              <a:off x="31924625" y="87693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12</xdr:row>
      <xdr:rowOff>82547</xdr:rowOff>
    </xdr:from>
    <xdr:ext cx="1134531" cy="462114"/>
    <mc:AlternateContent xmlns:mc="http://schemas.openxmlformats.org/markup-compatibility/2006" xmlns:a14="http://schemas.microsoft.com/office/drawing/2010/main">
      <mc:Choice Requires="a14">
        <xdr:sp macro="" textlink="">
          <xdr:nvSpPr>
            <xdr:cNvPr id="11" name="CuadroTexto 10">
              <a:extLst>
                <a:ext uri="{FF2B5EF4-FFF2-40B4-BE49-F238E27FC236}">
                  <a16:creationId xmlns:a16="http://schemas.microsoft.com/office/drawing/2014/main" id="{E0D84A2F-85F0-4849-B43A-BAE6D6753D0F}"/>
                </a:ext>
              </a:extLst>
            </xdr:cNvPr>
            <xdr:cNvSpPr txBox="1"/>
          </xdr:nvSpPr>
          <xdr:spPr>
            <a:xfrm>
              <a:off x="31924625" y="995997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1" name="CuadroTexto 10">
              <a:extLst>
                <a:ext uri="{FF2B5EF4-FFF2-40B4-BE49-F238E27FC236}">
                  <a16:creationId xmlns:a16="http://schemas.microsoft.com/office/drawing/2014/main" id="{E0D84A2F-85F0-4849-B43A-BAE6D6753D0F}"/>
                </a:ext>
              </a:extLst>
            </xdr:cNvPr>
            <xdr:cNvSpPr txBox="1"/>
          </xdr:nvSpPr>
          <xdr:spPr>
            <a:xfrm>
              <a:off x="31924625" y="995997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13</xdr:row>
      <xdr:rowOff>82547</xdr:rowOff>
    </xdr:from>
    <xdr:ext cx="1134531" cy="462114"/>
    <mc:AlternateContent xmlns:mc="http://schemas.openxmlformats.org/markup-compatibility/2006" xmlns:a14="http://schemas.microsoft.com/office/drawing/2010/main">
      <mc:Choice Requires="a14">
        <xdr:sp macro="" textlink="">
          <xdr:nvSpPr>
            <xdr:cNvPr id="12" name="CuadroTexto 11">
              <a:extLst>
                <a:ext uri="{FF2B5EF4-FFF2-40B4-BE49-F238E27FC236}">
                  <a16:creationId xmlns:a16="http://schemas.microsoft.com/office/drawing/2014/main" id="{D8C9BBCE-99AE-4F50-8DD7-7A266269603C}"/>
                </a:ext>
              </a:extLst>
            </xdr:cNvPr>
            <xdr:cNvSpPr txBox="1"/>
          </xdr:nvSpPr>
          <xdr:spPr>
            <a:xfrm>
              <a:off x="31924625" y="1220787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2" name="CuadroTexto 11">
              <a:extLst>
                <a:ext uri="{FF2B5EF4-FFF2-40B4-BE49-F238E27FC236}">
                  <a16:creationId xmlns:a16="http://schemas.microsoft.com/office/drawing/2014/main" id="{D8C9BBCE-99AE-4F50-8DD7-7A266269603C}"/>
                </a:ext>
              </a:extLst>
            </xdr:cNvPr>
            <xdr:cNvSpPr txBox="1"/>
          </xdr:nvSpPr>
          <xdr:spPr>
            <a:xfrm>
              <a:off x="31924625" y="1220787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17</xdr:col>
      <xdr:colOff>273050</xdr:colOff>
      <xdr:row>14</xdr:row>
      <xdr:rowOff>82547</xdr:rowOff>
    </xdr:from>
    <xdr:ext cx="1134531" cy="462114"/>
    <mc:AlternateContent xmlns:mc="http://schemas.openxmlformats.org/markup-compatibility/2006" xmlns:a14="http://schemas.microsoft.com/office/drawing/2010/main">
      <mc:Choice Requires="a14">
        <xdr:sp macro="" textlink="">
          <xdr:nvSpPr>
            <xdr:cNvPr id="13" name="CuadroTexto 12">
              <a:extLst>
                <a:ext uri="{FF2B5EF4-FFF2-40B4-BE49-F238E27FC236}">
                  <a16:creationId xmlns:a16="http://schemas.microsoft.com/office/drawing/2014/main" id="{4428D561-82E1-4036-BF6B-CD263EA0B1A4}"/>
                </a:ext>
              </a:extLst>
            </xdr:cNvPr>
            <xdr:cNvSpPr txBox="1"/>
          </xdr:nvSpPr>
          <xdr:spPr>
            <a:xfrm>
              <a:off x="31924625" y="135223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3" name="CuadroTexto 12">
              <a:extLst>
                <a:ext uri="{FF2B5EF4-FFF2-40B4-BE49-F238E27FC236}">
                  <a16:creationId xmlns:a16="http://schemas.microsoft.com/office/drawing/2014/main" id="{4428D561-82E1-4036-BF6B-CD263EA0B1A4}"/>
                </a:ext>
              </a:extLst>
            </xdr:cNvPr>
            <xdr:cNvSpPr txBox="1"/>
          </xdr:nvSpPr>
          <xdr:spPr>
            <a:xfrm>
              <a:off x="31924625" y="13522322"/>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12</xdr:col>
      <xdr:colOff>273050</xdr:colOff>
      <xdr:row>16</xdr:row>
      <xdr:rowOff>82547</xdr:rowOff>
    </xdr:from>
    <xdr:ext cx="1134531" cy="462114"/>
    <mc:AlternateContent xmlns:mc="http://schemas.openxmlformats.org/markup-compatibility/2006" xmlns:a14="http://schemas.microsoft.com/office/drawing/2010/main">
      <mc:Choice Requires="a14">
        <xdr:sp macro="" textlink="">
          <xdr:nvSpPr>
            <xdr:cNvPr id="14" name="CuadroTexto 13">
              <a:extLst>
                <a:ext uri="{FF2B5EF4-FFF2-40B4-BE49-F238E27FC236}">
                  <a16:creationId xmlns:a16="http://schemas.microsoft.com/office/drawing/2014/main" id="{DF7D988E-7E05-49F6-A51B-D88E30818EE7}"/>
                </a:ext>
              </a:extLst>
            </xdr:cNvPr>
            <xdr:cNvSpPr txBox="1"/>
          </xdr:nvSpPr>
          <xdr:spPr>
            <a:xfrm>
              <a:off x="21399500" y="1678939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4" name="CuadroTexto 13">
              <a:extLst>
                <a:ext uri="{FF2B5EF4-FFF2-40B4-BE49-F238E27FC236}">
                  <a16:creationId xmlns:a16="http://schemas.microsoft.com/office/drawing/2014/main" id="{DF7D988E-7E05-49F6-A51B-D88E30818EE7}"/>
                </a:ext>
              </a:extLst>
            </xdr:cNvPr>
            <xdr:cNvSpPr txBox="1"/>
          </xdr:nvSpPr>
          <xdr:spPr>
            <a:xfrm>
              <a:off x="21399500" y="1678939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oneCellAnchor>
    <xdr:from>
      <xdr:col>12</xdr:col>
      <xdr:colOff>273050</xdr:colOff>
      <xdr:row>17</xdr:row>
      <xdr:rowOff>82547</xdr:rowOff>
    </xdr:from>
    <xdr:ext cx="1134531" cy="462114"/>
    <mc:AlternateContent xmlns:mc="http://schemas.openxmlformats.org/markup-compatibility/2006" xmlns:a14="http://schemas.microsoft.com/office/drawing/2010/main">
      <mc:Choice Requires="a14">
        <xdr:sp macro="" textlink="">
          <xdr:nvSpPr>
            <xdr:cNvPr id="15" name="CuadroTexto 14">
              <a:extLst>
                <a:ext uri="{FF2B5EF4-FFF2-40B4-BE49-F238E27FC236}">
                  <a16:creationId xmlns:a16="http://schemas.microsoft.com/office/drawing/2014/main" id="{1B047FAA-56C9-411A-8AEB-7A93B949090A}"/>
                </a:ext>
              </a:extLst>
            </xdr:cNvPr>
            <xdr:cNvSpPr txBox="1"/>
          </xdr:nvSpPr>
          <xdr:spPr>
            <a:xfrm>
              <a:off x="21399500" y="183324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s-CO" sz="1100" i="1">
                            <a:latin typeface="Cambria Math" panose="02040503050406030204" pitchFamily="18" charset="0"/>
                          </a:rPr>
                        </m:ctrlPr>
                      </m:naryPr>
                      <m:sub>
                        <m:r>
                          <m:rPr>
                            <m:brk m:alnAt="23"/>
                          </m:rPr>
                          <a:rPr lang="es-ES" sz="1100" b="0" i="1">
                            <a:latin typeface="Cambria Math" panose="02040503050406030204" pitchFamily="18" charset="0"/>
                          </a:rPr>
                          <m:t>𝑖</m:t>
                        </m:r>
                        <m:r>
                          <a:rPr lang="es-ES" sz="1100" b="0" i="1">
                            <a:latin typeface="Cambria Math" panose="02040503050406030204" pitchFamily="18" charset="0"/>
                          </a:rPr>
                          <m:t>=1</m:t>
                        </m:r>
                      </m:sub>
                      <m:sup>
                        <m:r>
                          <a:rPr lang="es-ES" sz="1100" b="0" i="1">
                            <a:latin typeface="Cambria Math" panose="02040503050406030204" pitchFamily="18" charset="0"/>
                          </a:rPr>
                          <m:t>𝑛</m:t>
                        </m:r>
                      </m:sup>
                      <m:e>
                        <m:r>
                          <a:rPr lang="es-ES" sz="1100" b="0" i="1">
                            <a:latin typeface="Cambria Math" panose="02040503050406030204" pitchFamily="18" charset="0"/>
                          </a:rPr>
                          <m:t>=</m:t>
                        </m:r>
                      </m:e>
                    </m:nary>
                    <m:r>
                      <a:rPr lang="es-ES" sz="1100" b="0" i="1">
                        <a:latin typeface="Cambria Math" panose="02040503050406030204" pitchFamily="18" charset="0"/>
                      </a:rPr>
                      <m:t>𝑤𝑖</m:t>
                    </m:r>
                    <m:r>
                      <a:rPr lang="es-ES" sz="1100" b="0" i="1">
                        <a:latin typeface="Cambria Math" panose="02040503050406030204" pitchFamily="18" charset="0"/>
                      </a:rPr>
                      <m:t>∗</m:t>
                    </m:r>
                    <m:r>
                      <a:rPr lang="es-ES" sz="1100" b="0" i="1">
                        <a:latin typeface="Cambria Math" panose="02040503050406030204" pitchFamily="18" charset="0"/>
                      </a:rPr>
                      <m:t>𝑋𝑖</m:t>
                    </m:r>
                  </m:oMath>
                </m:oMathPara>
              </a14:m>
              <a:endParaRPr lang="es-CO" sz="1100"/>
            </a:p>
          </xdr:txBody>
        </xdr:sp>
      </mc:Choice>
      <mc:Fallback xmlns="">
        <xdr:sp macro="" textlink="">
          <xdr:nvSpPr>
            <xdr:cNvPr id="15" name="CuadroTexto 14">
              <a:extLst>
                <a:ext uri="{FF2B5EF4-FFF2-40B4-BE49-F238E27FC236}">
                  <a16:creationId xmlns:a16="http://schemas.microsoft.com/office/drawing/2014/main" id="{1B047FAA-56C9-411A-8AEB-7A93B949090A}"/>
                </a:ext>
              </a:extLst>
            </xdr:cNvPr>
            <xdr:cNvSpPr txBox="1"/>
          </xdr:nvSpPr>
          <xdr:spPr>
            <a:xfrm>
              <a:off x="21399500" y="18332447"/>
              <a:ext cx="1134531" cy="4621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s-CO" sz="1100" i="0">
                  <a:latin typeface="Cambria Math" panose="02040503050406030204" pitchFamily="18" charset="0"/>
                </a:rPr>
                <a:t>∑</a:t>
              </a:r>
              <a:r>
                <a:rPr lang="es-ES" sz="1100" b="0" i="0">
                  <a:latin typeface="Cambria Math" panose="02040503050406030204" pitchFamily="18" charset="0"/>
                </a:rPr>
                <a:t>_</a:t>
              </a:r>
              <a:r>
                <a:rPr lang="es-CO" sz="1100" b="0" i="0">
                  <a:latin typeface="Cambria Math" panose="02040503050406030204" pitchFamily="18" charset="0"/>
                </a:rPr>
                <a:t>(</a:t>
              </a:r>
              <a:r>
                <a:rPr lang="es-ES" sz="1100" b="0" i="0">
                  <a:latin typeface="Cambria Math" panose="02040503050406030204" pitchFamily="18" charset="0"/>
                </a:rPr>
                <a:t>𝑖=1</a:t>
              </a:r>
              <a:r>
                <a:rPr lang="es-CO" sz="1100" b="0" i="0">
                  <a:latin typeface="Cambria Math" panose="02040503050406030204" pitchFamily="18" charset="0"/>
                </a:rPr>
                <a:t>)</a:t>
              </a:r>
              <a:r>
                <a:rPr lang="es-ES" sz="1100" b="0" i="0">
                  <a:latin typeface="Cambria Math" panose="02040503050406030204" pitchFamily="18" charset="0"/>
                </a:rPr>
                <a:t>^𝑛▒= 𝑤𝑖∗𝑋𝑖</a:t>
              </a:r>
              <a:endParaRPr lang="es-CO" sz="11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D1216A15-19A0-4F7F-9EA9-B8386F6E5030}"/>
            </a:ext>
          </a:extLst>
        </xdr:cNvPr>
        <xdr:cNvGrpSpPr/>
      </xdr:nvGrpSpPr>
      <xdr:grpSpPr>
        <a:xfrm>
          <a:off x="0" y="0"/>
          <a:ext cx="3290208" cy="952500"/>
          <a:chOff x="228600" y="47625"/>
          <a:chExt cx="2680608" cy="981075"/>
        </a:xfrm>
      </xdr:grpSpPr>
      <xdr:pic>
        <xdr:nvPicPr>
          <xdr:cNvPr id="3" name="Picture 5">
            <a:extLst>
              <a:ext uri="{FF2B5EF4-FFF2-40B4-BE49-F238E27FC236}">
                <a16:creationId xmlns:a16="http://schemas.microsoft.com/office/drawing/2014/main" id="{770917DF-062F-4D00-8E5B-9AF99A115B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36FB3321-678B-46B5-88DE-2965253E8DAE}"/>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9525</xdr:colOff>
      <xdr:row>0</xdr:row>
      <xdr:rowOff>76200</xdr:rowOff>
    </xdr:from>
    <xdr:to>
      <xdr:col>2</xdr:col>
      <xdr:colOff>223158</xdr:colOff>
      <xdr:row>3</xdr:row>
      <xdr:rowOff>0</xdr:rowOff>
    </xdr:to>
    <xdr:grpSp>
      <xdr:nvGrpSpPr>
        <xdr:cNvPr id="5" name="Grupo 4">
          <a:extLst>
            <a:ext uri="{FF2B5EF4-FFF2-40B4-BE49-F238E27FC236}">
              <a16:creationId xmlns:a16="http://schemas.microsoft.com/office/drawing/2014/main" id="{23398C25-A378-4011-AD84-5D4DC0C75042}"/>
            </a:ext>
          </a:extLst>
        </xdr:cNvPr>
        <xdr:cNvGrpSpPr/>
      </xdr:nvGrpSpPr>
      <xdr:grpSpPr>
        <a:xfrm>
          <a:off x="9525" y="76200"/>
          <a:ext cx="3290208" cy="876300"/>
          <a:chOff x="228600" y="47625"/>
          <a:chExt cx="2680608" cy="981075"/>
        </a:xfrm>
      </xdr:grpSpPr>
      <xdr:pic>
        <xdr:nvPicPr>
          <xdr:cNvPr id="6" name="Picture 5">
            <a:extLst>
              <a:ext uri="{FF2B5EF4-FFF2-40B4-BE49-F238E27FC236}">
                <a16:creationId xmlns:a16="http://schemas.microsoft.com/office/drawing/2014/main" id="{490A8BA3-CD9A-47FF-B7F5-8E2A615E67B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8613C037-7969-428C-A2CE-914B368C6A44}"/>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F2A0B582-2705-4DA0-969F-348ADBF05C48}"/>
            </a:ext>
          </a:extLst>
        </xdr:cNvPr>
        <xdr:cNvGrpSpPr/>
      </xdr:nvGrpSpPr>
      <xdr:grpSpPr>
        <a:xfrm>
          <a:off x="0" y="0"/>
          <a:ext cx="2813958" cy="600075"/>
          <a:chOff x="228600" y="47625"/>
          <a:chExt cx="2680608" cy="981075"/>
        </a:xfrm>
      </xdr:grpSpPr>
      <xdr:pic>
        <xdr:nvPicPr>
          <xdr:cNvPr id="3" name="Picture 5">
            <a:extLst>
              <a:ext uri="{FF2B5EF4-FFF2-40B4-BE49-F238E27FC236}">
                <a16:creationId xmlns:a16="http://schemas.microsoft.com/office/drawing/2014/main" id="{30D8AECE-3FE9-411C-8A4A-8F5FF3ED2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4AF9F762-595E-4C60-A46C-5DC0AC13CABB}"/>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3</xdr:row>
      <xdr:rowOff>0</xdr:rowOff>
    </xdr:to>
    <xdr:grpSp>
      <xdr:nvGrpSpPr>
        <xdr:cNvPr id="2" name="Grupo 1">
          <a:extLst>
            <a:ext uri="{FF2B5EF4-FFF2-40B4-BE49-F238E27FC236}">
              <a16:creationId xmlns:a16="http://schemas.microsoft.com/office/drawing/2014/main" id="{446F0935-A889-444F-B116-18126C07AC64}"/>
            </a:ext>
          </a:extLst>
        </xdr:cNvPr>
        <xdr:cNvGrpSpPr/>
      </xdr:nvGrpSpPr>
      <xdr:grpSpPr>
        <a:xfrm>
          <a:off x="0" y="0"/>
          <a:ext cx="0" cy="952500"/>
          <a:chOff x="228600" y="47625"/>
          <a:chExt cx="2680608" cy="981075"/>
        </a:xfrm>
      </xdr:grpSpPr>
      <xdr:pic>
        <xdr:nvPicPr>
          <xdr:cNvPr id="3" name="Picture 5">
            <a:extLst>
              <a:ext uri="{FF2B5EF4-FFF2-40B4-BE49-F238E27FC236}">
                <a16:creationId xmlns:a16="http://schemas.microsoft.com/office/drawing/2014/main" id="{1C35D070-9994-4D00-990F-36DEF5459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FE42B18D-5129-4BC1-B475-B5E30FC167BF}"/>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0</xdr:col>
      <xdr:colOff>0</xdr:colOff>
      <xdr:row>2</xdr:row>
      <xdr:rowOff>295275</xdr:rowOff>
    </xdr:to>
    <xdr:grpSp>
      <xdr:nvGrpSpPr>
        <xdr:cNvPr id="5" name="Grupo 4">
          <a:extLst>
            <a:ext uri="{FF2B5EF4-FFF2-40B4-BE49-F238E27FC236}">
              <a16:creationId xmlns:a16="http://schemas.microsoft.com/office/drawing/2014/main" id="{BEE931AA-1ADC-4E3C-97E4-B2F7F9A20133}"/>
            </a:ext>
          </a:extLst>
        </xdr:cNvPr>
        <xdr:cNvGrpSpPr/>
      </xdr:nvGrpSpPr>
      <xdr:grpSpPr>
        <a:xfrm>
          <a:off x="0" y="0"/>
          <a:ext cx="0" cy="876300"/>
          <a:chOff x="228600" y="47625"/>
          <a:chExt cx="2680608" cy="981075"/>
        </a:xfrm>
      </xdr:grpSpPr>
      <xdr:pic>
        <xdr:nvPicPr>
          <xdr:cNvPr id="6" name="Picture 5">
            <a:extLst>
              <a:ext uri="{FF2B5EF4-FFF2-40B4-BE49-F238E27FC236}">
                <a16:creationId xmlns:a16="http://schemas.microsoft.com/office/drawing/2014/main" id="{DE245FE4-751C-4250-8322-C2FF840BD37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4A0DB94F-9D27-4C46-A368-783FE3367D54}"/>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3</xdr:row>
      <xdr:rowOff>0</xdr:rowOff>
    </xdr:to>
    <xdr:grpSp>
      <xdr:nvGrpSpPr>
        <xdr:cNvPr id="2" name="Grupo 1">
          <a:extLst>
            <a:ext uri="{FF2B5EF4-FFF2-40B4-BE49-F238E27FC236}">
              <a16:creationId xmlns:a16="http://schemas.microsoft.com/office/drawing/2014/main" id="{02B1917C-E692-4C70-956D-D6B84620149E}"/>
            </a:ext>
          </a:extLst>
        </xdr:cNvPr>
        <xdr:cNvGrpSpPr/>
      </xdr:nvGrpSpPr>
      <xdr:grpSpPr>
        <a:xfrm>
          <a:off x="0" y="0"/>
          <a:ext cx="0" cy="952500"/>
          <a:chOff x="228600" y="47625"/>
          <a:chExt cx="2680608" cy="981075"/>
        </a:xfrm>
      </xdr:grpSpPr>
      <xdr:pic>
        <xdr:nvPicPr>
          <xdr:cNvPr id="3" name="Picture 5">
            <a:extLst>
              <a:ext uri="{FF2B5EF4-FFF2-40B4-BE49-F238E27FC236}">
                <a16:creationId xmlns:a16="http://schemas.microsoft.com/office/drawing/2014/main" id="{DD9D52C0-4D04-41EA-A79C-7B53FB814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2CB7036C-1573-4636-8D5D-94C070FDAE7D}"/>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242208</xdr:colOff>
      <xdr:row>2</xdr:row>
      <xdr:rowOff>295275</xdr:rowOff>
    </xdr:to>
    <xdr:grpSp>
      <xdr:nvGrpSpPr>
        <xdr:cNvPr id="5" name="Grupo 4">
          <a:extLst>
            <a:ext uri="{FF2B5EF4-FFF2-40B4-BE49-F238E27FC236}">
              <a16:creationId xmlns:a16="http://schemas.microsoft.com/office/drawing/2014/main" id="{4E13E131-07A9-49E8-950B-11C2206D1A09}"/>
            </a:ext>
          </a:extLst>
        </xdr:cNvPr>
        <xdr:cNvGrpSpPr/>
      </xdr:nvGrpSpPr>
      <xdr:grpSpPr>
        <a:xfrm>
          <a:off x="0" y="0"/>
          <a:ext cx="3520813" cy="876801"/>
          <a:chOff x="228600" y="47625"/>
          <a:chExt cx="2680608" cy="981075"/>
        </a:xfrm>
      </xdr:grpSpPr>
      <xdr:pic>
        <xdr:nvPicPr>
          <xdr:cNvPr id="6" name="Picture 5">
            <a:extLst>
              <a:ext uri="{FF2B5EF4-FFF2-40B4-BE49-F238E27FC236}">
                <a16:creationId xmlns:a16="http://schemas.microsoft.com/office/drawing/2014/main" id="{C6E555AB-E0C8-4F9C-830B-A39AC746219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04C70903-DDB7-4BF1-87FE-1BA7984FE5D3}"/>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0</xdr:row>
      <xdr:rowOff>76200</xdr:rowOff>
    </xdr:from>
    <xdr:to>
      <xdr:col>2</xdr:col>
      <xdr:colOff>223158</xdr:colOff>
      <xdr:row>3</xdr:row>
      <xdr:rowOff>0</xdr:rowOff>
    </xdr:to>
    <xdr:grpSp>
      <xdr:nvGrpSpPr>
        <xdr:cNvPr id="2" name="Grupo 1">
          <a:extLst>
            <a:ext uri="{FF2B5EF4-FFF2-40B4-BE49-F238E27FC236}">
              <a16:creationId xmlns:a16="http://schemas.microsoft.com/office/drawing/2014/main" id="{B2213057-AD8E-449B-8758-912C0BC2435A}"/>
            </a:ext>
          </a:extLst>
        </xdr:cNvPr>
        <xdr:cNvGrpSpPr/>
      </xdr:nvGrpSpPr>
      <xdr:grpSpPr>
        <a:xfrm>
          <a:off x="9525" y="76200"/>
          <a:ext cx="3518808" cy="876300"/>
          <a:chOff x="228600" y="47625"/>
          <a:chExt cx="2680608" cy="981075"/>
        </a:xfrm>
      </xdr:grpSpPr>
      <xdr:pic>
        <xdr:nvPicPr>
          <xdr:cNvPr id="3" name="Picture 5">
            <a:extLst>
              <a:ext uri="{FF2B5EF4-FFF2-40B4-BE49-F238E27FC236}">
                <a16:creationId xmlns:a16="http://schemas.microsoft.com/office/drawing/2014/main" id="{BFEE878F-DEEC-482B-8955-FCB2949027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B97CD546-7173-44EA-B005-1BA442EEBFFA}"/>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213633</xdr:colOff>
      <xdr:row>3</xdr:row>
      <xdr:rowOff>0</xdr:rowOff>
    </xdr:to>
    <xdr:grpSp>
      <xdr:nvGrpSpPr>
        <xdr:cNvPr id="2" name="Grupo 1">
          <a:extLst>
            <a:ext uri="{FF2B5EF4-FFF2-40B4-BE49-F238E27FC236}">
              <a16:creationId xmlns:a16="http://schemas.microsoft.com/office/drawing/2014/main" id="{1D62DF74-12BC-49E5-B88C-49D074822AED}"/>
            </a:ext>
          </a:extLst>
        </xdr:cNvPr>
        <xdr:cNvGrpSpPr/>
      </xdr:nvGrpSpPr>
      <xdr:grpSpPr>
        <a:xfrm>
          <a:off x="0" y="0"/>
          <a:ext cx="2404383" cy="952500"/>
          <a:chOff x="228600" y="47625"/>
          <a:chExt cx="2680608" cy="981075"/>
        </a:xfrm>
      </xdr:grpSpPr>
      <xdr:pic>
        <xdr:nvPicPr>
          <xdr:cNvPr id="3" name="Picture 5">
            <a:extLst>
              <a:ext uri="{FF2B5EF4-FFF2-40B4-BE49-F238E27FC236}">
                <a16:creationId xmlns:a16="http://schemas.microsoft.com/office/drawing/2014/main" id="{998A3458-25E0-43FE-A46B-7227DC26E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4" name="5 CuadroTexto">
            <a:extLst>
              <a:ext uri="{FF2B5EF4-FFF2-40B4-BE49-F238E27FC236}">
                <a16:creationId xmlns:a16="http://schemas.microsoft.com/office/drawing/2014/main" id="{81BEE988-69EC-47C9-A25F-3145175D69BF}"/>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213633</xdr:colOff>
      <xdr:row>3</xdr:row>
      <xdr:rowOff>0</xdr:rowOff>
    </xdr:to>
    <xdr:grpSp>
      <xdr:nvGrpSpPr>
        <xdr:cNvPr id="5" name="Grupo 4">
          <a:extLst>
            <a:ext uri="{FF2B5EF4-FFF2-40B4-BE49-F238E27FC236}">
              <a16:creationId xmlns:a16="http://schemas.microsoft.com/office/drawing/2014/main" id="{96637202-B44C-4CEE-8B82-F22DAEE4F739}"/>
            </a:ext>
          </a:extLst>
        </xdr:cNvPr>
        <xdr:cNvGrpSpPr/>
      </xdr:nvGrpSpPr>
      <xdr:grpSpPr>
        <a:xfrm>
          <a:off x="0" y="0"/>
          <a:ext cx="2404383" cy="952500"/>
          <a:chOff x="228600" y="47625"/>
          <a:chExt cx="2680608" cy="981075"/>
        </a:xfrm>
      </xdr:grpSpPr>
      <xdr:pic>
        <xdr:nvPicPr>
          <xdr:cNvPr id="6" name="Picture 5">
            <a:extLst>
              <a:ext uri="{FF2B5EF4-FFF2-40B4-BE49-F238E27FC236}">
                <a16:creationId xmlns:a16="http://schemas.microsoft.com/office/drawing/2014/main" id="{BA3A7EFF-E252-436B-BDF8-831A68C5E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7" name="5 CuadroTexto">
            <a:extLst>
              <a:ext uri="{FF2B5EF4-FFF2-40B4-BE49-F238E27FC236}">
                <a16:creationId xmlns:a16="http://schemas.microsoft.com/office/drawing/2014/main" id="{6B3A16F4-19F9-40E5-BBAD-4B93405C73CE}"/>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twoCellAnchor>
    <xdr:from>
      <xdr:col>0</xdr:col>
      <xdr:colOff>0</xdr:colOff>
      <xdr:row>0</xdr:row>
      <xdr:rowOff>0</xdr:rowOff>
    </xdr:from>
    <xdr:to>
      <xdr:col>2</xdr:col>
      <xdr:colOff>213633</xdr:colOff>
      <xdr:row>3</xdr:row>
      <xdr:rowOff>0</xdr:rowOff>
    </xdr:to>
    <xdr:grpSp>
      <xdr:nvGrpSpPr>
        <xdr:cNvPr id="8" name="Grupo 7">
          <a:extLst>
            <a:ext uri="{FF2B5EF4-FFF2-40B4-BE49-F238E27FC236}">
              <a16:creationId xmlns:a16="http://schemas.microsoft.com/office/drawing/2014/main" id="{811D1E65-37B5-4377-A3C8-8EA3EC981215}"/>
            </a:ext>
          </a:extLst>
        </xdr:cNvPr>
        <xdr:cNvGrpSpPr/>
      </xdr:nvGrpSpPr>
      <xdr:grpSpPr>
        <a:xfrm>
          <a:off x="0" y="0"/>
          <a:ext cx="2404383" cy="952500"/>
          <a:chOff x="228600" y="47625"/>
          <a:chExt cx="2680608" cy="981075"/>
        </a:xfrm>
      </xdr:grpSpPr>
      <xdr:pic>
        <xdr:nvPicPr>
          <xdr:cNvPr id="9" name="Picture 5">
            <a:extLst>
              <a:ext uri="{FF2B5EF4-FFF2-40B4-BE49-F238E27FC236}">
                <a16:creationId xmlns:a16="http://schemas.microsoft.com/office/drawing/2014/main" id="{4E6114DE-E305-4027-B50F-E91209C657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3924" y="47625"/>
            <a:ext cx="1401683" cy="725207"/>
          </a:xfrm>
          <a:prstGeom prst="rect">
            <a:avLst/>
          </a:prstGeom>
          <a:solidFill>
            <a:srgbClr val="FFFFFF"/>
          </a:solidFill>
          <a:ln w="9525">
            <a:solidFill>
              <a:srgbClr val="FFFFFF"/>
            </a:solidFill>
            <a:miter lim="800000"/>
            <a:headEnd/>
            <a:tailEnd/>
          </a:ln>
        </xdr:spPr>
      </xdr:pic>
      <xdr:sp macro="" textlink="">
        <xdr:nvSpPr>
          <xdr:cNvPr id="10" name="5 CuadroTexto">
            <a:extLst>
              <a:ext uri="{FF2B5EF4-FFF2-40B4-BE49-F238E27FC236}">
                <a16:creationId xmlns:a16="http://schemas.microsoft.com/office/drawing/2014/main" id="{85800936-27A2-4217-95DD-C4FF10FC0971}"/>
              </a:ext>
            </a:extLst>
          </xdr:cNvPr>
          <xdr:cNvSpPr txBox="1">
            <a:spLocks noChangeArrowheads="1"/>
          </xdr:cNvSpPr>
        </xdr:nvSpPr>
        <xdr:spPr bwMode="auto">
          <a:xfrm>
            <a:off x="228600" y="836839"/>
            <a:ext cx="2680608" cy="1918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ctr" rtl="0">
              <a:defRPr sz="1000"/>
            </a:pPr>
            <a:r>
              <a:rPr lang="es-CO" sz="800" b="0" i="0" u="none" strike="noStrike" baseline="0">
                <a:solidFill>
                  <a:srgbClr val="000000"/>
                </a:solidFill>
                <a:latin typeface="Arial Narrow"/>
              </a:rPr>
              <a:t>Ministerio de Ambiente y Desarrollo Sostenible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Drive\ANLA\PT%20Control%20Seguimientos%2029-Dic-17.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7\Seguimiento%202017\ABRIL\SES\Copia%20de%20Control%20T&#233;rminos%20Abril_2017%20REV2_EVALUACI&#211;N_DefJaz.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Users\larcila\AppData\Local\Microsoft\Windows\INetCache\Content.Outlook\XHN05ZOW\PT%20Control%20T&#233;rminos%20ENERO%202017%2019012017.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d.docs.live.net/Users/chris/Desktop/FORMATO%20PAI%20-%20SES%20-MARZ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6.%20Junio_/Anexos/Obligacion7/7.6%20Reunion_comentarios/Avance-PAI-SSLA-MAYO.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PAI%20SSLA/PAI-CONSOLIDADO-SSLA.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chris/Downloads/FORMATO%20PAI_Regali&#769;as.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chris/Downloads/Informe%20PAI_Regali&#769;as_Febrero2020_.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jazmi/Downloads/Informe%20PAI_Regal&#237;as_Abril202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jazmi/Downloads/Informe%20PAI_Regal&#237;as_Mayo202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jazmi/Downloads/Informe%20PAI_Regal&#237;as_Junio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8\Seguimiento%202018\Cierre%202017\Control%20de%20SEGUIMIENTO%202017_defintivo_RevLore_22en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arcila\AppData\Local\Microsoft\Windows\INetCache\Content.Outlook\XHN05ZOW\PT%20Control%20Seguimientos%202016%20ENERO%202017%20AG.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20SUBDIRECCION%20DE%20EYS\2017\CONTROL%20DE%20TERMINOS\0%20DICIEMBRE%2031%202016\Control%20de%20Terminos%20SIGOV%202016%20V5%20con%20corte%20al%2010-11-201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inambiente4\SGC-SILA\Indicadores\Informes%20Evaluaci&#242;n\IND.%20PERMISOS\Indicadores%202008\Octubre%2008-0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7\Seguimiento%202017\Balance%202016\PT%20Control%20T&#233;rminos%20DICIEMBRE%202016%20FINAL%2011012017.xlsm"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Sectorial"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0%20SUBDIRECCION%20DE%20EYS\2016\CONTROL%20TERMINOS%20SIGOV\ENERGIA-MINERIA\2016-09-30\SIGOV%202016%20V5%2030Sep2016%20_Martha%20rev%20SES%20051020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NBOGVIEWFSS04\Perfiles\larcila\Docs\Plan%20de%20Accion%20Institucional\PAI%202017\Seguimiento%202017\MAYO\SES%20-%20ANEXOS\Copia%20de%20Control%20T&#233;rminos%20mayo%202017%20Evaluaci&#243;n_EVALUACI&#211;N_defintiivo_V10jun.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trol de Calidad"/>
      <sheetName val="Indicador estrategico"/>
      <sheetName val="Graficos Tiempo Promedio"/>
      <sheetName val="Solicitudes por estado"/>
      <sheetName val="Hoja1"/>
      <sheetName val="ESTADO DE TRAMITE"/>
      <sheetName val="Esta. Informe Seguimiento"/>
      <sheetName val="Hoja7"/>
      <sheetName val="Registro Control Tiempos"/>
      <sheetName val="29 Dic"/>
      <sheetName val="27-29 Dic"/>
      <sheetName val="Infome Plan de Accion SES 2017"/>
      <sheetName val="Productividad por sector"/>
      <sheetName val="Info Agroquímicos"/>
      <sheetName val="Resumen Estadisticas"/>
      <sheetName val="Resumen estadístico"/>
      <sheetName val="Info Minería"/>
      <sheetName val="Info Hidrocarburos"/>
      <sheetName val="Info Infraestructura"/>
      <sheetName val="Info Energía"/>
      <sheetName val="Anexo 1 de Pago"/>
      <sheetName val="Estado de Proyectos"/>
      <sheetName val="Hoja4"/>
      <sheetName val="Grafico LA Nueva"/>
      <sheetName val="Grafico LA Modificacion"/>
      <sheetName val="Decreto aplicable"/>
      <sheetName val="Proyectos PINES"/>
      <sheetName val="Bd Resoluciones"/>
      <sheetName val="Tiempos Años anteriores"/>
      <sheetName val="Informes de gestión"/>
      <sheetName val="Semaforos"/>
      <sheetName val="Hoja2"/>
      <sheetName val="PT Control Seguimientos 29-Dic-"/>
      <sheetName val="VIG. ANT - X GESTIO"/>
      <sheetName val="Vig. Ant"/>
      <sheetName val="VIG. 2017 - X GESTI"/>
      <sheetName val="2017"/>
      <sheetName val="SIN GESTIÓN BD"/>
      <sheetName val="REV. REZAGOS"/>
    </sheetNames>
    <sheetDataSet>
      <sheetData sheetId="0">
        <row r="2">
          <cell r="G2" t="str">
            <v>Enero</v>
          </cell>
          <cell r="H2" t="str">
            <v>Octubre</v>
          </cell>
        </row>
        <row r="5">
          <cell r="G5">
            <v>0.13417999999999999</v>
          </cell>
        </row>
        <row r="11">
          <cell r="R11" t="str">
            <v>Audiencia pública</v>
          </cell>
          <cell r="AB11" t="str">
            <v>Levantamiento de Veda</v>
          </cell>
        </row>
        <row r="12">
          <cell r="R12" t="str">
            <v>Solicitud del usuario</v>
          </cell>
          <cell r="AB12" t="str">
            <v>Sustracción de reservas</v>
          </cell>
        </row>
        <row r="13">
          <cell r="R13" t="str">
            <v>Consulta previa</v>
          </cell>
          <cell r="AB13" t="str">
            <v>Parques</v>
          </cell>
        </row>
        <row r="14">
          <cell r="R14" t="str">
            <v>Visita Aplazada (Seguimiento)</v>
          </cell>
        </row>
      </sheetData>
      <sheetData sheetId="1"/>
      <sheetData sheetId="2">
        <row r="2">
          <cell r="I2" t="str">
            <v>*</v>
          </cell>
        </row>
        <row r="5">
          <cell r="AV5">
            <v>0.85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trol de Calidad"/>
      <sheetName val="Indicador estrategico"/>
      <sheetName val="Graficos Tiempo Promedio"/>
      <sheetName val="Solicitudes por estado"/>
      <sheetName val="Estado Empalme"/>
      <sheetName val="Hoja4"/>
      <sheetName val="Hoja3"/>
      <sheetName val="Hoja2"/>
      <sheetName val="Registro Control Tiempos"/>
      <sheetName val="Resumen Estadisticas"/>
      <sheetName val="Resumen estadístico"/>
      <sheetName val="Estado de Proyectos"/>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 val="Semaforos"/>
    </sheetNames>
    <sheetDataSet>
      <sheetData sheetId="0">
        <row r="11">
          <cell r="V11" t="str">
            <v>Archiva</v>
          </cell>
        </row>
        <row r="12">
          <cell r="V12" t="str">
            <v>Desiste</v>
          </cell>
        </row>
        <row r="13">
          <cell r="V13" t="str">
            <v>Niega</v>
          </cell>
        </row>
        <row r="14">
          <cell r="V14" t="str">
            <v>Otorga</v>
          </cell>
        </row>
        <row r="15">
          <cell r="V15" t="str">
            <v>Revoca</v>
          </cell>
        </row>
        <row r="16">
          <cell r="V16" t="str">
            <v>Define DAA</v>
          </cell>
        </row>
        <row r="17">
          <cell r="V17" t="str">
            <v>Requiere DAA</v>
          </cell>
        </row>
        <row r="18">
          <cell r="V18" t="str">
            <v>No requiere DAA</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1">
          <cell r="L11" t="str">
            <v>Nuevo</v>
          </cell>
        </row>
        <row r="12">
          <cell r="L12" t="str">
            <v>Modificación</v>
          </cell>
        </row>
        <row r="13">
          <cell r="L13" t="str">
            <v>Mod. Fuente Materiales</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Homologado Tiempo Transcurrido"/>
      <sheetName val="Gráfica Evaluación %"/>
      <sheetName val="Gráfica Evaluación #"/>
      <sheetName val="Gráfica Seguimientos"/>
      <sheetName val="Gráfica Rezagos"/>
      <sheetName val="Gráfica RASP"/>
      <sheetName val="COMP1%"/>
      <sheetName val="CONT "/>
      <sheetName val="GEOMÁTICA"/>
      <sheetName val="V.E."/>
      <sheetName val="Indicadores para informe"/>
      <sheetName val="Graf. presupuesto"/>
      <sheetName val="GR-F-2 Cadena de Valor (2)"/>
      <sheetName val="PAI REGALÍAS"/>
    </sheetNames>
    <sheetDataSet>
      <sheetData sheetId="0"/>
      <sheetData sheetId="1" refreshError="1"/>
      <sheetData sheetId="2" refreshError="1"/>
      <sheetData sheetId="3" refreshError="1"/>
      <sheetData sheetId="4" refreshError="1"/>
      <sheetData sheetId="5" refreshError="1"/>
      <sheetData sheetId="6" refreshError="1"/>
      <sheetData sheetId="7">
        <row r="9">
          <cell r="C9">
            <v>38</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SLA"/>
      <sheetName val="Homologado tiempo transcurrido"/>
      <sheetName val="Gráfica Seguimientos"/>
      <sheetName val="Gráfica Rezagos"/>
      <sheetName val="COMP1%"/>
      <sheetName val="CONT "/>
      <sheetName val="GEOMÁTICA"/>
      <sheetName val="V.E."/>
      <sheetName val="Indicadores para informe"/>
      <sheetName val="Graf. presupuesto"/>
    </sheetNames>
    <sheetDataSet>
      <sheetData sheetId="0">
        <row r="7">
          <cell r="P7">
            <v>2488</v>
          </cell>
          <cell r="U7">
            <v>989</v>
          </cell>
        </row>
        <row r="8">
          <cell r="U8">
            <v>2355</v>
          </cell>
        </row>
        <row r="9">
          <cell r="U9">
            <v>0.75</v>
          </cell>
        </row>
        <row r="11">
          <cell r="P11">
            <v>215</v>
          </cell>
          <cell r="U11">
            <v>176</v>
          </cell>
        </row>
        <row r="12">
          <cell r="U12">
            <v>176</v>
          </cell>
        </row>
        <row r="13">
          <cell r="U13">
            <v>26</v>
          </cell>
        </row>
        <row r="15">
          <cell r="P15">
            <v>434</v>
          </cell>
          <cell r="U15">
            <v>324</v>
          </cell>
        </row>
        <row r="16">
          <cell r="U16">
            <v>324</v>
          </cell>
        </row>
        <row r="17">
          <cell r="U17">
            <v>74</v>
          </cell>
        </row>
        <row r="19">
          <cell r="P19">
            <v>268</v>
          </cell>
          <cell r="U19">
            <v>219</v>
          </cell>
        </row>
        <row r="20">
          <cell r="U20">
            <v>219</v>
          </cell>
        </row>
        <row r="21">
          <cell r="U21">
            <v>27</v>
          </cell>
        </row>
        <row r="23">
          <cell r="P23">
            <v>370</v>
          </cell>
          <cell r="U23">
            <v>270</v>
          </cell>
        </row>
        <row r="24">
          <cell r="U24">
            <v>270</v>
          </cell>
        </row>
        <row r="25">
          <cell r="U25">
            <v>23</v>
          </cell>
        </row>
        <row r="27">
          <cell r="P27">
            <v>1205</v>
          </cell>
          <cell r="U27">
            <v>1205</v>
          </cell>
        </row>
        <row r="29">
          <cell r="P29">
            <v>747</v>
          </cell>
        </row>
        <row r="30">
          <cell r="P30">
            <v>1</v>
          </cell>
        </row>
        <row r="31">
          <cell r="P31">
            <v>171</v>
          </cell>
        </row>
        <row r="33">
          <cell r="U33">
            <v>359</v>
          </cell>
        </row>
        <row r="36">
          <cell r="P36">
            <v>2800</v>
          </cell>
        </row>
        <row r="37">
          <cell r="P37">
            <v>1365</v>
          </cell>
        </row>
        <row r="38">
          <cell r="P38">
            <v>1365</v>
          </cell>
        </row>
      </sheetData>
      <sheetData sheetId="1"/>
      <sheetData sheetId="2"/>
      <sheetData sheetId="3"/>
      <sheetData sheetId="4"/>
      <sheetData sheetId="5"/>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SLA"/>
    </sheetNames>
    <sheetDataSet>
      <sheetData sheetId="0">
        <row r="7">
          <cell r="P7">
            <v>2488</v>
          </cell>
          <cell r="U7">
            <v>989</v>
          </cell>
        </row>
        <row r="8">
          <cell r="U8">
            <v>2355</v>
          </cell>
        </row>
        <row r="9">
          <cell r="U9">
            <v>0.75</v>
          </cell>
        </row>
        <row r="11">
          <cell r="P11">
            <v>215</v>
          </cell>
          <cell r="U11">
            <v>176</v>
          </cell>
        </row>
        <row r="12">
          <cell r="U12">
            <v>176</v>
          </cell>
        </row>
        <row r="13">
          <cell r="U13">
            <v>26</v>
          </cell>
        </row>
        <row r="15">
          <cell r="P15">
            <v>434</v>
          </cell>
          <cell r="U15">
            <v>324</v>
          </cell>
        </row>
        <row r="16">
          <cell r="U16">
            <v>324</v>
          </cell>
        </row>
        <row r="17">
          <cell r="U17">
            <v>74</v>
          </cell>
        </row>
        <row r="19">
          <cell r="P19">
            <v>268</v>
          </cell>
          <cell r="U19">
            <v>219</v>
          </cell>
        </row>
        <row r="20">
          <cell r="U20">
            <v>219</v>
          </cell>
        </row>
        <row r="21">
          <cell r="U21">
            <v>27</v>
          </cell>
        </row>
        <row r="23">
          <cell r="P23">
            <v>370</v>
          </cell>
          <cell r="U23">
            <v>270</v>
          </cell>
        </row>
        <row r="24">
          <cell r="U24">
            <v>270</v>
          </cell>
        </row>
        <row r="25">
          <cell r="U25">
            <v>23</v>
          </cell>
        </row>
        <row r="27">
          <cell r="P27">
            <v>1205</v>
          </cell>
          <cell r="U27">
            <v>1205</v>
          </cell>
        </row>
        <row r="29">
          <cell r="P29">
            <v>747</v>
          </cell>
        </row>
        <row r="30">
          <cell r="P30">
            <v>1</v>
          </cell>
        </row>
        <row r="31">
          <cell r="P31">
            <v>171</v>
          </cell>
        </row>
        <row r="33">
          <cell r="P33">
            <v>100</v>
          </cell>
          <cell r="U33">
            <v>359</v>
          </cell>
        </row>
        <row r="34">
          <cell r="P34">
            <v>14</v>
          </cell>
        </row>
        <row r="36">
          <cell r="P36">
            <v>2800</v>
          </cell>
        </row>
        <row r="37">
          <cell r="P37">
            <v>1365</v>
          </cell>
        </row>
        <row r="38">
          <cell r="P38">
            <v>1365</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s>
    <sheetDataSet>
      <sheetData sheetId="0"/>
      <sheetData sheetId="1">
        <row r="7">
          <cell r="P7">
            <v>0.75</v>
          </cell>
        </row>
        <row r="8">
          <cell r="P8">
            <v>0.95</v>
          </cell>
        </row>
        <row r="9">
          <cell r="P9">
            <v>0.8</v>
          </cell>
        </row>
        <row r="10">
          <cell r="P10">
            <v>0.75</v>
          </cell>
        </row>
        <row r="11">
          <cell r="P11">
            <v>0.95</v>
          </cell>
        </row>
        <row r="12">
          <cell r="P12">
            <v>0.8</v>
          </cell>
        </row>
        <row r="13">
          <cell r="P13">
            <v>0.9</v>
          </cell>
        </row>
        <row r="14">
          <cell r="P14">
            <v>0.55000000000000004</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 val="Hoja1"/>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 sheetId="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 val="Hoja1"/>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 sheetId="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SES"/>
      <sheetName val="PAI REGALÍAS"/>
    </sheetNames>
    <sheetDataSet>
      <sheetData sheetId="0"/>
      <sheetData sheetId="1">
        <row r="7">
          <cell r="P7">
            <v>0.75</v>
          </cell>
        </row>
        <row r="8">
          <cell r="P8">
            <v>95</v>
          </cell>
        </row>
        <row r="9">
          <cell r="P9">
            <v>0.8</v>
          </cell>
        </row>
        <row r="10">
          <cell r="P10">
            <v>0.75</v>
          </cell>
        </row>
        <row r="11">
          <cell r="P11">
            <v>95</v>
          </cell>
        </row>
        <row r="12">
          <cell r="P12">
            <v>0.8</v>
          </cell>
        </row>
        <row r="13">
          <cell r="P13">
            <v>0.9</v>
          </cell>
        </row>
        <row r="14">
          <cell r="P14">
            <v>0.55000000000000004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 Control Tiempos"/>
      <sheetName val="Hidrocarburos"/>
      <sheetName val="Infraestructura"/>
      <sheetName val="Minería"/>
      <sheetName val="Energía"/>
      <sheetName val="Agroquímicos"/>
    </sheetNames>
    <sheetDataSet>
      <sheetData sheetId="0">
        <row r="7">
          <cell r="C7">
            <v>42978</v>
          </cell>
        </row>
        <row r="9">
          <cell r="C9">
            <v>42978</v>
          </cell>
        </row>
      </sheetData>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Control de Calidad"/>
      <sheetName val="Indicador estrategico"/>
      <sheetName val="Graficos Tiempo Promedio"/>
      <sheetName val="Solicitudes por estado"/>
      <sheetName val="Hoja1"/>
      <sheetName val="ESTADO DE TRAMITE"/>
      <sheetName val="Registro Control Tiempos"/>
      <sheetName val="Resumen Estadisticas"/>
      <sheetName val="Resumen estadístico"/>
      <sheetName val="Anexo 1 de Pago"/>
      <sheetName val="Estado de Proyectos"/>
      <sheetName val="Grafico LA Nueva"/>
      <sheetName val="Grafico LA Modificacion"/>
      <sheetName val="Decreto aplicable"/>
      <sheetName val="Proyectos PINES"/>
      <sheetName val="Bd Resoluciones"/>
      <sheetName val="Tiempos Años anteriores"/>
      <sheetName val="Informes de gestión"/>
      <sheetName val="Semaforos"/>
    </sheetNames>
    <sheetDataSet>
      <sheetData sheetId="0">
        <row r="11">
          <cell r="F11" t="str">
            <v>LA</v>
          </cell>
        </row>
        <row r="12">
          <cell r="F12" t="str">
            <v>PMA</v>
          </cell>
        </row>
        <row r="13">
          <cell r="F13" t="str">
            <v>MMA</v>
          </cell>
        </row>
        <row r="14">
          <cell r="F14" t="str">
            <v>NDA</v>
          </cell>
        </row>
        <row r="15">
          <cell r="F15" t="str">
            <v>DAA</v>
          </cell>
        </row>
        <row r="16">
          <cell r="F16" t="str">
            <v>PMRA</v>
          </cell>
        </row>
        <row r="17">
          <cell r="F17" t="str">
            <v>DTA</v>
          </cell>
        </row>
        <row r="18">
          <cell r="F18" t="str">
            <v>POSC</v>
          </cell>
        </row>
        <row r="19">
          <cell r="F19" t="str">
            <v>P.E.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s"/>
      <sheetName val="S"/>
      <sheetName val="H"/>
      <sheetName val="I"/>
      <sheetName val="E"/>
      <sheetName val="M"/>
      <sheetName val="A"/>
      <sheetName val="Anexo1"/>
      <sheetName val="R-2015"/>
      <sheetName val="1"/>
      <sheetName val="2"/>
      <sheetName val="Parametros"/>
      <sheetName val="BPH"/>
      <sheetName val="BPI"/>
      <sheetName val="BIE"/>
      <sheetName val="BPM"/>
      <sheetName val="Hoja1"/>
      <sheetName val="Contratistas"/>
      <sheetName val="Control de Terminos SIGOV 2016 "/>
      <sheetName val="Control%20de%20Terminos%20SIGOV"/>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ow r="12">
          <cell r="BI12" t="str">
            <v>Si</v>
          </cell>
        </row>
        <row r="15">
          <cell r="BI15" t="str">
            <v>Dec. 1310 de 2005</v>
          </cell>
        </row>
        <row r="16">
          <cell r="BI16" t="str">
            <v>Res. 1442 de 2008</v>
          </cell>
        </row>
        <row r="17">
          <cell r="BI17" t="str">
            <v>Dec. 2820 de 2010</v>
          </cell>
        </row>
        <row r="18">
          <cell r="BI18" t="str">
            <v>Dec. 2041 de 2014</v>
          </cell>
        </row>
        <row r="19">
          <cell r="BI19" t="str">
            <v>Dec. 1076 de 2015</v>
          </cell>
        </row>
      </sheetData>
      <sheetData sheetId="12" refreshError="1"/>
      <sheetData sheetId="13" refreshError="1"/>
      <sheetData sheetId="14" refreshError="1"/>
      <sheetData sheetId="15" refreshError="1"/>
      <sheetData sheetId="16" refreshError="1"/>
      <sheetData sheetId="17"/>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2008"/>
      <sheetName val="MOV. TRANFRONTERIZO"/>
      <sheetName val="INVESTIGACION"/>
      <sheetName val="CITES"/>
      <sheetName val="SUSTRACCION DE RESERVA"/>
      <sheetName val="PERMISO FUERA LICENCIAS AMBIENT"/>
      <sheetName val="pendientes CITES"/>
      <sheetName val="Octubre"/>
      <sheetName val="% Evaluaciones Resueltas"/>
      <sheetName val="Tiempo de evaluación PROPUESTO"/>
      <sheetName val="Eficiencia_terminos"/>
      <sheetName val="Eficiencia_terminos (2)"/>
      <sheetName val="Tiempo de evaluación"/>
      <sheetName val="Hoja1"/>
      <sheetName val="Pendientes"/>
      <sheetName val="datoa paula"/>
      <sheetName val="% Evaluaciones Resueltas (2)"/>
      <sheetName val="Octubre 08-02(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4">
          <cell r="C24" t="str">
            <v>Dentro de Término</v>
          </cell>
        </row>
      </sheetData>
      <sheetData sheetId="13"/>
      <sheetData sheetId="14">
        <row r="49">
          <cell r="B49">
            <v>1</v>
          </cell>
          <cell r="C49">
            <v>0</v>
          </cell>
          <cell r="D49">
            <v>12</v>
          </cell>
          <cell r="E49">
            <v>48</v>
          </cell>
        </row>
      </sheetData>
      <sheetData sheetId="15"/>
      <sheetData sheetId="16"/>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sheetData sheetId="1"/>
      <sheetData sheetId="2"/>
      <sheetData sheetId="3"/>
      <sheetData sheetId="4"/>
      <sheetData sheetId="5"/>
      <sheetData sheetId="6"/>
      <sheetData sheetId="7"/>
      <sheetData sheetId="8">
        <row r="11">
          <cell r="N11" t="str">
            <v>AGROQUÍMICOS</v>
          </cell>
        </row>
        <row r="12">
          <cell r="N12" t="str">
            <v>ENERGÍA</v>
          </cell>
        </row>
        <row r="13">
          <cell r="N13" t="str">
            <v>ESPECIALES</v>
          </cell>
        </row>
        <row r="14">
          <cell r="N14" t="str">
            <v>HIDROCARBUROS</v>
          </cell>
        </row>
        <row r="15">
          <cell r="N15" t="str">
            <v>INFRAESTRUCTURA</v>
          </cell>
        </row>
        <row r="16">
          <cell r="N16" t="str">
            <v>MINERÍA</v>
          </cell>
        </row>
        <row r="17">
          <cell r="N17" t="str">
            <v>POSCONSUMO</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ctorial"/>
      <sheetName val="Parametro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stros"/>
      <sheetName val="S"/>
      <sheetName val="H"/>
      <sheetName val="I"/>
      <sheetName val="E"/>
      <sheetName val="M"/>
      <sheetName val="A"/>
      <sheetName val="Anexo1"/>
      <sheetName val="R-2015"/>
      <sheetName val="1"/>
      <sheetName val="2"/>
      <sheetName val="Parametros"/>
      <sheetName val="BPH"/>
      <sheetName val="BPI"/>
      <sheetName val="BIE"/>
      <sheetName val="BPM"/>
      <sheetName val="Hoja1"/>
      <sheetName val="Contratistas"/>
    </sheetNames>
    <sheetDataSet>
      <sheetData sheetId="0"/>
      <sheetData sheetId="1"/>
      <sheetData sheetId="2"/>
      <sheetData sheetId="3"/>
      <sheetData sheetId="4"/>
      <sheetData sheetId="5"/>
      <sheetData sheetId="6"/>
      <sheetData sheetId="7"/>
      <sheetData sheetId="8"/>
      <sheetData sheetId="9"/>
      <sheetData sheetId="10"/>
      <sheetData sheetId="11">
        <row r="12">
          <cell r="BI12" t="str">
            <v>Si</v>
          </cell>
        </row>
        <row r="13">
          <cell r="BI13" t="str">
            <v>No</v>
          </cell>
        </row>
      </sheetData>
      <sheetData sheetId="12"/>
      <sheetData sheetId="13"/>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o de Proyectos"/>
      <sheetName val="Control de Calidad"/>
      <sheetName val="Indicador estrategico"/>
      <sheetName val="Graficos Tiempo Promedio"/>
      <sheetName val="Solicitudes por estado"/>
      <sheetName val="Estado Empalme"/>
      <sheetName val="Estadisticas AI 2016"/>
      <sheetName val="Hoja1"/>
      <sheetName val="Parametros"/>
      <sheetName val="Semaforos"/>
      <sheetName val="Hoja4"/>
      <sheetName val="Hoja5"/>
      <sheetName val="ESTADO SOLICITUDES"/>
      <sheetName val="Registro Control Tiempos"/>
      <sheetName val="Resumen Estadisticas"/>
      <sheetName val="Resumen estadístico"/>
      <sheetName val="Grafico LA Nueva"/>
      <sheetName val="Grafico LA Modificacion"/>
      <sheetName val="Grafico LA Nueva 2820"/>
      <sheetName val="Tiempos Año Anteriror"/>
      <sheetName val="Grafico LA Modificacion 2820"/>
      <sheetName val="Decreto aplicable"/>
      <sheetName val="Proyectos PINES"/>
      <sheetName val="Bd Resoluciones"/>
      <sheetName val="Tiempos Años anteriores"/>
      <sheetName val="Informes de gestión"/>
    </sheetNames>
    <sheetDataSet>
      <sheetData sheetId="0"/>
      <sheetData sheetId="1"/>
      <sheetData sheetId="2"/>
      <sheetData sheetId="3"/>
      <sheetData sheetId="4"/>
      <sheetData sheetId="5"/>
      <sheetData sheetId="6"/>
      <sheetData sheetId="7"/>
      <sheetData sheetId="8">
        <row r="11">
          <cell r="T11" t="str">
            <v>Resolución</v>
          </cell>
        </row>
        <row r="12">
          <cell r="T12" t="str">
            <v>Auto</v>
          </cell>
        </row>
        <row r="13">
          <cell r="T13" t="str">
            <v>Oficio</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J45"/>
  <sheetViews>
    <sheetView topLeftCell="A16" workbookViewId="0">
      <selection activeCell="A34" sqref="A34:I37"/>
    </sheetView>
  </sheetViews>
  <sheetFormatPr baseColWidth="10" defaultColWidth="11.42578125" defaultRowHeight="15" x14ac:dyDescent="0.25"/>
  <cols>
    <col min="1" max="1" width="19.140625" style="292" bestFit="1" customWidth="1"/>
    <col min="2" max="2" width="27.7109375" style="292" customWidth="1"/>
    <col min="3" max="3" width="12" style="292" hidden="1" customWidth="1"/>
    <col min="4" max="6" width="11.42578125" style="292" hidden="1" customWidth="1"/>
    <col min="7" max="16384" width="11.42578125" style="292"/>
  </cols>
  <sheetData>
    <row r="1" spans="1:10" s="314" customFormat="1" x14ac:dyDescent="0.25">
      <c r="A1" s="618" t="s">
        <v>17</v>
      </c>
      <c r="B1" s="618" t="s">
        <v>18</v>
      </c>
      <c r="C1" s="613" t="s">
        <v>871</v>
      </c>
      <c r="D1" s="614"/>
      <c r="E1" s="613" t="s">
        <v>872</v>
      </c>
      <c r="F1" s="614"/>
      <c r="G1" s="613" t="s">
        <v>873</v>
      </c>
      <c r="H1" s="614"/>
      <c r="I1" s="292"/>
      <c r="J1" s="292"/>
    </row>
    <row r="2" spans="1:10" s="317" customFormat="1" ht="30" x14ac:dyDescent="0.25">
      <c r="A2" s="619"/>
      <c r="B2" s="619"/>
      <c r="C2" s="315" t="s">
        <v>874</v>
      </c>
      <c r="D2" s="316" t="s">
        <v>875</v>
      </c>
      <c r="E2" s="315" t="s">
        <v>874</v>
      </c>
      <c r="F2" s="316" t="s">
        <v>875</v>
      </c>
      <c r="G2" s="315" t="s">
        <v>874</v>
      </c>
      <c r="H2" s="316" t="s">
        <v>875</v>
      </c>
      <c r="I2" s="292"/>
      <c r="J2" s="292"/>
    </row>
    <row r="3" spans="1:10" x14ac:dyDescent="0.25">
      <c r="A3" s="318" t="s">
        <v>876</v>
      </c>
      <c r="B3" s="319"/>
      <c r="C3" s="320">
        <v>7.0000000000000007E-2</v>
      </c>
      <c r="D3" s="321">
        <v>0.11</v>
      </c>
      <c r="E3" s="320">
        <v>0.14000000000000001</v>
      </c>
      <c r="F3" s="321">
        <v>0.18</v>
      </c>
      <c r="G3" s="322">
        <v>0.28000000000000003</v>
      </c>
      <c r="H3" s="323">
        <v>0.31</v>
      </c>
    </row>
    <row r="4" spans="1:10" x14ac:dyDescent="0.25">
      <c r="A4" s="318" t="s">
        <v>877</v>
      </c>
      <c r="B4" s="319"/>
      <c r="C4" s="320">
        <v>0.16900000000000001</v>
      </c>
      <c r="D4" s="321">
        <v>0.19700000000000001</v>
      </c>
      <c r="E4" s="320">
        <v>0.18099999999999999</v>
      </c>
      <c r="F4" s="321">
        <v>0.17399999999999999</v>
      </c>
      <c r="G4" s="322">
        <v>0.27</v>
      </c>
      <c r="H4" s="323">
        <v>0.28599999999999998</v>
      </c>
    </row>
    <row r="5" spans="1:10" x14ac:dyDescent="0.25">
      <c r="A5" s="318" t="s">
        <v>878</v>
      </c>
      <c r="B5" s="319"/>
      <c r="C5" s="320">
        <v>0.125</v>
      </c>
      <c r="D5" s="321">
        <v>0.158</v>
      </c>
      <c r="E5" s="320">
        <v>0.16</v>
      </c>
      <c r="F5" s="321">
        <v>7.6999999999999999E-2</v>
      </c>
      <c r="G5" s="322">
        <v>0.34699999999999998</v>
      </c>
      <c r="H5" s="323">
        <v>0.28199999999999997</v>
      </c>
      <c r="I5" s="324"/>
    </row>
    <row r="6" spans="1:10" x14ac:dyDescent="0.25">
      <c r="A6" s="325" t="s">
        <v>879</v>
      </c>
      <c r="B6" s="319"/>
      <c r="C6" s="320">
        <v>0.17</v>
      </c>
      <c r="D6" s="326" t="s">
        <v>283</v>
      </c>
      <c r="E6" s="320">
        <v>0.20599999999999999</v>
      </c>
      <c r="F6" s="321">
        <v>0.20799999999999999</v>
      </c>
      <c r="G6" s="322">
        <v>0.28999999999999998</v>
      </c>
      <c r="H6" s="327" t="s">
        <v>283</v>
      </c>
    </row>
    <row r="7" spans="1:10" x14ac:dyDescent="0.25">
      <c r="A7" s="328" t="s">
        <v>543</v>
      </c>
      <c r="B7" s="329"/>
      <c r="C7" s="330">
        <v>4.4999999999999998E-2</v>
      </c>
      <c r="D7" s="331">
        <v>5.6000000000000001E-2</v>
      </c>
      <c r="E7" s="330">
        <v>0.27700000000000002</v>
      </c>
      <c r="F7" s="331">
        <v>0.20200000000000001</v>
      </c>
      <c r="G7" s="332">
        <v>0.53300000000000003</v>
      </c>
      <c r="H7" s="333">
        <v>0.27700000000000002</v>
      </c>
    </row>
    <row r="8" spans="1:10" x14ac:dyDescent="0.25">
      <c r="A8" s="328" t="s">
        <v>880</v>
      </c>
      <c r="B8" s="329"/>
      <c r="C8" s="330">
        <v>9.2999999999999999E-2</v>
      </c>
      <c r="D8" s="331">
        <v>9.2999999999999999E-2</v>
      </c>
      <c r="E8" s="330">
        <v>0.186</v>
      </c>
      <c r="F8" s="331">
        <v>0.17599999999999999</v>
      </c>
      <c r="G8" s="332">
        <v>0.28000000000000003</v>
      </c>
      <c r="H8" s="333">
        <v>0.27100000000000002</v>
      </c>
    </row>
    <row r="9" spans="1:10" x14ac:dyDescent="0.25">
      <c r="A9" s="615" t="s">
        <v>726</v>
      </c>
      <c r="B9" s="334" t="s">
        <v>759</v>
      </c>
      <c r="C9" s="335">
        <v>8.3000000000000004E-2</v>
      </c>
      <c r="D9" s="336" t="s">
        <v>283</v>
      </c>
      <c r="E9" s="337">
        <v>0.16700000000000001</v>
      </c>
      <c r="F9" s="336" t="s">
        <v>283</v>
      </c>
      <c r="G9" s="339">
        <v>0.33100000000000002</v>
      </c>
      <c r="H9" s="340" t="s">
        <v>283</v>
      </c>
    </row>
    <row r="10" spans="1:10" x14ac:dyDescent="0.25">
      <c r="A10" s="616"/>
      <c r="B10" s="334" t="s">
        <v>775</v>
      </c>
      <c r="C10" s="335">
        <v>0.22</v>
      </c>
      <c r="D10" s="341">
        <v>0.05</v>
      </c>
      <c r="E10" s="337">
        <v>0.23100000000000001</v>
      </c>
      <c r="F10" s="338" t="s">
        <v>283</v>
      </c>
      <c r="G10" s="339">
        <v>0.35699999999999998</v>
      </c>
      <c r="H10" s="342">
        <v>0.18</v>
      </c>
    </row>
    <row r="11" spans="1:10" x14ac:dyDescent="0.25">
      <c r="A11" s="616"/>
      <c r="B11" s="334" t="s">
        <v>350</v>
      </c>
      <c r="C11" s="335">
        <v>0.05</v>
      </c>
      <c r="D11" s="341">
        <v>0</v>
      </c>
      <c r="E11" s="337">
        <v>0.28000000000000003</v>
      </c>
      <c r="F11" s="338">
        <v>0.09</v>
      </c>
      <c r="G11" s="339">
        <v>0.13100000000000001</v>
      </c>
      <c r="H11" s="342">
        <v>0.17699999999999999</v>
      </c>
    </row>
    <row r="12" spans="1:10" x14ac:dyDescent="0.25">
      <c r="A12" s="616"/>
      <c r="B12" s="334" t="s">
        <v>827</v>
      </c>
      <c r="C12" s="335">
        <v>7.9000000000000001E-2</v>
      </c>
      <c r="D12" s="338" t="s">
        <v>283</v>
      </c>
      <c r="E12" s="337">
        <v>0.113</v>
      </c>
      <c r="F12" s="338">
        <v>0.16500000000000001</v>
      </c>
      <c r="G12" s="339">
        <v>0.377</v>
      </c>
      <c r="H12" s="342" t="s">
        <v>283</v>
      </c>
    </row>
    <row r="13" spans="1:10" x14ac:dyDescent="0.25">
      <c r="A13" s="616"/>
      <c r="B13" s="334" t="s">
        <v>843</v>
      </c>
      <c r="C13" s="335">
        <v>0.08</v>
      </c>
      <c r="D13" s="341">
        <v>0</v>
      </c>
      <c r="E13" s="337">
        <v>0.248</v>
      </c>
      <c r="F13" s="338" t="s">
        <v>283</v>
      </c>
      <c r="G13" s="339">
        <v>0.23400000000000001</v>
      </c>
      <c r="H13" s="342">
        <v>0.2</v>
      </c>
    </row>
    <row r="14" spans="1:10" s="314" customFormat="1" x14ac:dyDescent="0.25">
      <c r="A14" s="617"/>
      <c r="B14" s="343" t="s">
        <v>881</v>
      </c>
      <c r="C14" s="344">
        <f>AVERAGE(C9:C13)</f>
        <v>0.1024</v>
      </c>
      <c r="D14" s="344">
        <f t="shared" ref="D14:F14" si="0">AVERAGE(D9:D13)</f>
        <v>1.6666666666666666E-2</v>
      </c>
      <c r="E14" s="344">
        <f t="shared" si="0"/>
        <v>0.20780000000000004</v>
      </c>
      <c r="F14" s="344">
        <f t="shared" si="0"/>
        <v>0.1275</v>
      </c>
      <c r="G14" s="345">
        <v>0.28599999999999998</v>
      </c>
      <c r="H14" s="345">
        <v>0.186</v>
      </c>
    </row>
    <row r="15" spans="1:10" x14ac:dyDescent="0.25">
      <c r="A15" s="621" t="s">
        <v>882</v>
      </c>
      <c r="B15" s="334" t="s">
        <v>725</v>
      </c>
      <c r="C15" s="335">
        <v>0.27800000000000002</v>
      </c>
      <c r="D15" s="341">
        <v>0.377</v>
      </c>
      <c r="E15" s="337">
        <v>0.30499999999999999</v>
      </c>
      <c r="F15" s="338">
        <v>0.41799999999999998</v>
      </c>
      <c r="G15" s="337">
        <v>0.249</v>
      </c>
      <c r="H15" s="338">
        <v>0.39</v>
      </c>
    </row>
    <row r="16" spans="1:10" x14ac:dyDescent="0.25">
      <c r="A16" s="622"/>
      <c r="B16" s="346" t="s">
        <v>327</v>
      </c>
      <c r="C16" s="335">
        <v>0.09</v>
      </c>
      <c r="D16" s="338" t="s">
        <v>283</v>
      </c>
      <c r="E16" s="337">
        <v>0.192</v>
      </c>
      <c r="F16" s="338" t="s">
        <v>283</v>
      </c>
      <c r="G16" s="337">
        <v>0.30659999999999998</v>
      </c>
      <c r="H16" s="338" t="s">
        <v>283</v>
      </c>
    </row>
    <row r="17" spans="1:8" s="314" customFormat="1" x14ac:dyDescent="0.25">
      <c r="A17" s="623"/>
      <c r="B17" s="343" t="s">
        <v>883</v>
      </c>
      <c r="C17" s="344">
        <f>AVERAGE(C15:C16)</f>
        <v>0.184</v>
      </c>
      <c r="D17" s="344">
        <f t="shared" ref="D17:H17" si="1">AVERAGE(D15:D16)</f>
        <v>0.377</v>
      </c>
      <c r="E17" s="344">
        <f t="shared" si="1"/>
        <v>0.2485</v>
      </c>
      <c r="F17" s="344">
        <f t="shared" si="1"/>
        <v>0.41799999999999998</v>
      </c>
      <c r="G17" s="344">
        <f t="shared" si="1"/>
        <v>0.27779999999999999</v>
      </c>
      <c r="H17" s="344">
        <f t="shared" si="1"/>
        <v>0.39</v>
      </c>
    </row>
    <row r="18" spans="1:8" x14ac:dyDescent="0.25">
      <c r="A18" s="615" t="s">
        <v>52</v>
      </c>
      <c r="B18" s="292" t="s">
        <v>52</v>
      </c>
      <c r="C18" s="347">
        <v>6.6000000000000003E-2</v>
      </c>
      <c r="D18" s="336">
        <v>4.2999999999999997E-2</v>
      </c>
      <c r="E18" s="347">
        <v>0.14099999999999999</v>
      </c>
      <c r="F18" s="336">
        <v>0.309</v>
      </c>
      <c r="G18" s="347">
        <v>0.21381040981731037</v>
      </c>
      <c r="H18" s="336">
        <v>0.30772414439430207</v>
      </c>
    </row>
    <row r="19" spans="1:8" x14ac:dyDescent="0.25">
      <c r="A19" s="616"/>
      <c r="B19" s="346" t="s">
        <v>101</v>
      </c>
      <c r="C19" s="348">
        <v>5.8000000000000003E-2</v>
      </c>
      <c r="D19" s="349">
        <v>4.8000000000000001E-2</v>
      </c>
      <c r="E19" s="348">
        <v>0.11899999999999999</v>
      </c>
      <c r="F19" s="349">
        <v>0.10199999999999999</v>
      </c>
      <c r="G19" s="348">
        <v>0.17796101825015551</v>
      </c>
      <c r="H19" s="349">
        <v>0.15739265440816538</v>
      </c>
    </row>
    <row r="20" spans="1:8" x14ac:dyDescent="0.25">
      <c r="A20" s="616"/>
      <c r="B20" s="346" t="s">
        <v>143</v>
      </c>
      <c r="C20" s="348">
        <v>5.2999999999999999E-2</v>
      </c>
      <c r="D20" s="349">
        <v>0.04</v>
      </c>
      <c r="E20" s="348">
        <v>0.11700000000000001</v>
      </c>
      <c r="F20" s="349">
        <v>0.13</v>
      </c>
      <c r="G20" s="348">
        <v>0.1751297719955319</v>
      </c>
      <c r="H20" s="349">
        <v>0.18796330118845775</v>
      </c>
    </row>
    <row r="21" spans="1:8" x14ac:dyDescent="0.25">
      <c r="A21" s="616"/>
      <c r="B21" s="346" t="s">
        <v>175</v>
      </c>
      <c r="C21" s="348">
        <v>6.2E-2</v>
      </c>
      <c r="D21" s="349">
        <v>3.9E-2</v>
      </c>
      <c r="E21" s="348">
        <v>0.13800000000000001</v>
      </c>
      <c r="F21" s="349">
        <v>0.112</v>
      </c>
      <c r="G21" s="348">
        <v>0.19205324916536967</v>
      </c>
      <c r="H21" s="349">
        <v>0.16432466949708327</v>
      </c>
    </row>
    <row r="22" spans="1:8" x14ac:dyDescent="0.25">
      <c r="A22" s="616"/>
      <c r="B22" s="346" t="s">
        <v>206</v>
      </c>
      <c r="C22" s="348">
        <v>8.7999999999999995E-2</v>
      </c>
      <c r="D22" s="349">
        <v>2.7E-2</v>
      </c>
      <c r="E22" s="348">
        <v>0.129</v>
      </c>
      <c r="F22" s="349">
        <v>9.8000000000000004E-2</v>
      </c>
      <c r="G22" s="348">
        <v>0.2119064456143108</v>
      </c>
      <c r="H22" s="349">
        <v>0.15796857463524128</v>
      </c>
    </row>
    <row r="23" spans="1:8" x14ac:dyDescent="0.25">
      <c r="A23" s="616"/>
      <c r="B23" s="346" t="s">
        <v>235</v>
      </c>
      <c r="C23" s="348">
        <v>6.9000000000000006E-2</v>
      </c>
      <c r="D23" s="349">
        <v>0.107</v>
      </c>
      <c r="E23" s="348">
        <v>0.155</v>
      </c>
      <c r="F23" s="349">
        <v>0.17599999999999999</v>
      </c>
      <c r="G23" s="348">
        <v>0.23713199351388434</v>
      </c>
      <c r="H23" s="349">
        <v>0.24954029479253645</v>
      </c>
    </row>
    <row r="24" spans="1:8" x14ac:dyDescent="0.25">
      <c r="A24" s="616"/>
      <c r="B24" s="346" t="s">
        <v>266</v>
      </c>
      <c r="C24" s="348">
        <v>4.4999999999999998E-2</v>
      </c>
      <c r="D24" s="336" t="s">
        <v>283</v>
      </c>
      <c r="E24" s="348">
        <v>6.5000000000000002E-2</v>
      </c>
      <c r="F24" s="336" t="s">
        <v>283</v>
      </c>
      <c r="G24" s="348">
        <v>0.10975320899303144</v>
      </c>
      <c r="H24" s="336" t="s">
        <v>283</v>
      </c>
    </row>
    <row r="25" spans="1:8" x14ac:dyDescent="0.25">
      <c r="A25" s="616"/>
      <c r="B25" s="346" t="s">
        <v>284</v>
      </c>
      <c r="C25" s="348">
        <v>2E-3</v>
      </c>
      <c r="D25" s="336">
        <v>0</v>
      </c>
      <c r="E25" s="348">
        <v>3.4000000000000002E-2</v>
      </c>
      <c r="F25" s="336">
        <v>4.7E-2</v>
      </c>
      <c r="G25" s="348">
        <v>5.7739130434782605E-2</v>
      </c>
      <c r="H25" s="336">
        <v>0.2116991643454039</v>
      </c>
    </row>
    <row r="26" spans="1:8" x14ac:dyDescent="0.25">
      <c r="A26" s="616"/>
      <c r="B26" s="346" t="s">
        <v>884</v>
      </c>
      <c r="C26" s="335">
        <v>7.1999999999999995E-2</v>
      </c>
      <c r="D26" s="338" t="s">
        <v>283</v>
      </c>
      <c r="E26" s="335">
        <v>0.16200000000000001</v>
      </c>
      <c r="F26" s="338" t="s">
        <v>283</v>
      </c>
      <c r="G26" s="335">
        <v>0.24082112332112335</v>
      </c>
      <c r="H26" s="338" t="s">
        <v>283</v>
      </c>
    </row>
    <row r="27" spans="1:8" x14ac:dyDescent="0.25">
      <c r="A27" s="616"/>
      <c r="B27" s="346" t="s">
        <v>361</v>
      </c>
      <c r="C27" s="335">
        <v>1.0999999999999999E-2</v>
      </c>
      <c r="D27" s="338" t="s">
        <v>283</v>
      </c>
      <c r="E27" s="335">
        <v>0.11899999999999999</v>
      </c>
      <c r="F27" s="338" t="s">
        <v>283</v>
      </c>
      <c r="G27" s="335">
        <v>0.18954609929078015</v>
      </c>
      <c r="H27" s="338" t="s">
        <v>283</v>
      </c>
    </row>
    <row r="28" spans="1:8" s="314" customFormat="1" x14ac:dyDescent="0.25">
      <c r="A28" s="617"/>
      <c r="B28" s="343" t="s">
        <v>885</v>
      </c>
      <c r="C28" s="344">
        <f>AVERAGE(C18:C27)</f>
        <v>5.2599999999999994E-2</v>
      </c>
      <c r="D28" s="344">
        <f>AVERAGE(D18:D25)</f>
        <v>4.3428571428571427E-2</v>
      </c>
      <c r="E28" s="344">
        <f>AVERAGE(E18:E27)</f>
        <v>0.1179</v>
      </c>
      <c r="F28" s="344">
        <f>AVERAGE(F18:F25)</f>
        <v>0.13914285714285712</v>
      </c>
      <c r="G28" s="344">
        <f>AVERAGE(G18:G27)</f>
        <v>0.180585245039628</v>
      </c>
      <c r="H28" s="344">
        <f>AVERAGE(H18:H25)</f>
        <v>0.20523040046588428</v>
      </c>
    </row>
    <row r="29" spans="1:8" x14ac:dyDescent="0.25">
      <c r="A29" s="615" t="s">
        <v>886</v>
      </c>
      <c r="B29" s="351" t="s">
        <v>887</v>
      </c>
      <c r="C29" s="350">
        <v>6.4000000000000001E-2</v>
      </c>
      <c r="D29" s="352">
        <v>0.04</v>
      </c>
      <c r="E29" s="350">
        <v>0.128</v>
      </c>
      <c r="F29" s="352">
        <v>0.105</v>
      </c>
      <c r="G29" s="350">
        <v>0.17899999999999999</v>
      </c>
      <c r="H29" s="352">
        <v>0.192</v>
      </c>
    </row>
    <row r="30" spans="1:8" x14ac:dyDescent="0.25">
      <c r="A30" s="616"/>
      <c r="B30" s="346" t="s">
        <v>491</v>
      </c>
      <c r="C30" s="348">
        <v>0.09</v>
      </c>
      <c r="D30" s="349">
        <v>0.16</v>
      </c>
      <c r="E30" s="348">
        <v>0.14000000000000001</v>
      </c>
      <c r="F30" s="349">
        <v>0.20499999999999999</v>
      </c>
      <c r="G30" s="348">
        <v>0.3</v>
      </c>
      <c r="H30" s="349">
        <v>8.4000000000000005E-2</v>
      </c>
    </row>
    <row r="31" spans="1:8" s="314" customFormat="1" x14ac:dyDescent="0.25">
      <c r="A31" s="624"/>
      <c r="B31" s="343" t="s">
        <v>888</v>
      </c>
      <c r="C31" s="344">
        <f t="shared" ref="C31:H31" si="2">AVERAGE(C29:C30)</f>
        <v>7.6999999999999999E-2</v>
      </c>
      <c r="D31" s="344">
        <f t="shared" si="2"/>
        <v>0.1</v>
      </c>
      <c r="E31" s="344">
        <f t="shared" si="2"/>
        <v>0.13400000000000001</v>
      </c>
      <c r="F31" s="344">
        <f t="shared" si="2"/>
        <v>0.155</v>
      </c>
      <c r="G31" s="344">
        <f t="shared" si="2"/>
        <v>0.23949999999999999</v>
      </c>
      <c r="H31" s="344">
        <f t="shared" si="2"/>
        <v>0.13800000000000001</v>
      </c>
    </row>
    <row r="32" spans="1:8" ht="15.75" x14ac:dyDescent="0.25">
      <c r="A32" s="353" t="s">
        <v>889</v>
      </c>
      <c r="B32" s="353"/>
      <c r="C32" s="354">
        <f>AVERAGE(C28,C31,C14,C8,C7,C4,C3)</f>
        <v>8.6999999999999994E-2</v>
      </c>
      <c r="D32" s="354">
        <f>AVERAGE(D31,D28,D14,D8,D7,D4,D3)</f>
        <v>8.8013605442176873E-2</v>
      </c>
      <c r="E32" s="354">
        <f>AVERAGE(E3,E4,E7,E8,E14,E28,E31)</f>
        <v>0.17767142857142856</v>
      </c>
      <c r="F32" s="354">
        <f>AVERAGE(F3,F4,F7,F8,F14,F28,F31)</f>
        <v>0.16480612244897958</v>
      </c>
      <c r="G32" s="354">
        <f>AVERAGE(G3,G4,G7,G8,G14,G28,G31,G5,G6,G17)</f>
        <v>0.2983885245039628</v>
      </c>
      <c r="H32" s="354">
        <f>AVERAGE(H3,H4,H7,H8,H14,H28,H31,H5,H17)</f>
        <v>0.26058115560732048</v>
      </c>
    </row>
    <row r="33" spans="1:9" ht="15.75" thickBot="1" x14ac:dyDescent="0.3"/>
    <row r="34" spans="1:9" x14ac:dyDescent="0.25">
      <c r="A34" s="625" t="s">
        <v>890</v>
      </c>
      <c r="B34" s="626"/>
      <c r="C34" s="626"/>
      <c r="D34" s="626"/>
      <c r="E34" s="626"/>
      <c r="F34" s="626"/>
      <c r="G34" s="626"/>
      <c r="H34" s="626"/>
      <c r="I34" s="627"/>
    </row>
    <row r="35" spans="1:9" x14ac:dyDescent="0.25">
      <c r="A35" s="628"/>
      <c r="B35" s="629"/>
      <c r="C35" s="629"/>
      <c r="D35" s="629"/>
      <c r="E35" s="629"/>
      <c r="F35" s="629"/>
      <c r="G35" s="629"/>
      <c r="H35" s="629"/>
      <c r="I35" s="630"/>
    </row>
    <row r="36" spans="1:9" x14ac:dyDescent="0.25">
      <c r="A36" s="628"/>
      <c r="B36" s="629"/>
      <c r="C36" s="629"/>
      <c r="D36" s="629"/>
      <c r="E36" s="629"/>
      <c r="F36" s="629"/>
      <c r="G36" s="629"/>
      <c r="H36" s="629"/>
      <c r="I36" s="630"/>
    </row>
    <row r="37" spans="1:9" ht="15.75" thickBot="1" x14ac:dyDescent="0.3">
      <c r="A37" s="631"/>
      <c r="B37" s="632"/>
      <c r="C37" s="632"/>
      <c r="D37" s="632"/>
      <c r="E37" s="632"/>
      <c r="F37" s="632"/>
      <c r="G37" s="632"/>
      <c r="H37" s="632"/>
      <c r="I37" s="633"/>
    </row>
    <row r="38" spans="1:9" x14ac:dyDescent="0.25">
      <c r="A38" s="620"/>
      <c r="B38" s="620"/>
      <c r="C38" s="620"/>
      <c r="D38" s="620"/>
      <c r="E38" s="620"/>
      <c r="F38" s="620"/>
      <c r="G38" s="620"/>
      <c r="H38" s="620"/>
      <c r="I38" s="620"/>
    </row>
    <row r="39" spans="1:9" x14ac:dyDescent="0.25">
      <c r="C39" s="356"/>
    </row>
    <row r="41" spans="1:9" x14ac:dyDescent="0.25">
      <c r="C41" s="357"/>
    </row>
    <row r="43" spans="1:9" x14ac:dyDescent="0.25">
      <c r="B43" s="356"/>
    </row>
    <row r="44" spans="1:9" x14ac:dyDescent="0.25">
      <c r="C44" s="355"/>
    </row>
    <row r="45" spans="1:9" x14ac:dyDescent="0.25">
      <c r="C45" s="356"/>
    </row>
  </sheetData>
  <sheetProtection algorithmName="SHA-512" hashValue="KblfsFb1gXWjZl6KYT+sLoTmu9t31ReOD5A8Tt6VgZSSaA0Zyn+5BG3EO4JUUTG3xbyqClmIXr1S147ztlH/Uw==" saltValue="BUeaO5SUDq/fWZD+NOU13w==" spinCount="100000" sheet="1" objects="1" scenarios="1" selectLockedCells="1" selectUnlockedCells="1"/>
  <mergeCells count="11">
    <mergeCell ref="A38:I38"/>
    <mergeCell ref="A15:A17"/>
    <mergeCell ref="A18:A28"/>
    <mergeCell ref="A29:A31"/>
    <mergeCell ref="A34:I37"/>
    <mergeCell ref="E1:F1"/>
    <mergeCell ref="G1:H1"/>
    <mergeCell ref="A9:A14"/>
    <mergeCell ref="A1:A2"/>
    <mergeCell ref="B1:B2"/>
    <mergeCell ref="C1:D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249977111117893"/>
  </sheetPr>
  <dimension ref="A1:DD27"/>
  <sheetViews>
    <sheetView workbookViewId="0"/>
  </sheetViews>
  <sheetFormatPr baseColWidth="10" defaultColWidth="11.42578125" defaultRowHeight="22.5" customHeight="1" x14ac:dyDescent="0.25"/>
  <cols>
    <col min="1" max="1" width="22.42578125" style="88" customWidth="1"/>
    <col min="2" max="2" width="27.140625" style="88" customWidth="1"/>
    <col min="3" max="3" width="30.7109375" style="88" customWidth="1"/>
    <col min="4" max="4" width="27.140625" style="88" customWidth="1"/>
    <col min="5" max="5" width="43.42578125" style="88" customWidth="1"/>
    <col min="6" max="6" width="29.28515625" style="88" customWidth="1"/>
    <col min="7" max="7" width="21.140625" style="88" customWidth="1"/>
    <col min="8" max="8" width="18.7109375" style="88" customWidth="1"/>
    <col min="9" max="9" width="17.28515625" style="134" customWidth="1"/>
    <col min="10" max="10" width="16.85546875" style="88" customWidth="1"/>
    <col min="11" max="11" width="31.28515625" style="88" customWidth="1"/>
    <col min="12" max="12" width="58.42578125" style="88" customWidth="1"/>
    <col min="13" max="13" width="53.42578125" style="88" customWidth="1"/>
    <col min="14" max="14" width="15.85546875" style="88" customWidth="1"/>
    <col min="15" max="15" width="9.28515625" style="88" customWidth="1"/>
    <col min="16" max="16" width="16.28515625" style="88" customWidth="1"/>
    <col min="17" max="17" width="49.140625" style="88" customWidth="1"/>
    <col min="18" max="18" width="50.28515625" style="193" customWidth="1"/>
    <col min="19" max="19" width="17.140625" style="88" customWidth="1"/>
    <col min="20" max="20" width="10.28515625" style="88" customWidth="1"/>
    <col min="21" max="21" width="14.42578125" style="88" bestFit="1" customWidth="1"/>
    <col min="22" max="22" width="19.85546875" style="88" customWidth="1"/>
    <col min="23" max="23" width="21" style="88" customWidth="1"/>
    <col min="24" max="24" width="20.28515625" style="88" customWidth="1"/>
    <col min="25" max="26" width="11.42578125" style="88" customWidth="1"/>
    <col min="27" max="27" width="16.7109375" style="88" customWidth="1"/>
    <col min="28" max="28" width="50.140625" style="88" customWidth="1"/>
    <col min="29" max="30" width="11.42578125" style="88" customWidth="1"/>
    <col min="31" max="31" width="20" style="88" customWidth="1"/>
    <col min="32" max="32" width="44.85546875" style="88" customWidth="1"/>
    <col min="33" max="35" width="11.42578125" style="88" customWidth="1"/>
    <col min="36" max="36" width="87.140625" style="88" customWidth="1"/>
    <col min="37" max="39" width="11.42578125" style="88" customWidth="1"/>
    <col min="40" max="40" width="78.140625" style="88" customWidth="1"/>
    <col min="41" max="43" width="11.42578125" style="88"/>
    <col min="44" max="44" width="87.140625" style="88" customWidth="1"/>
    <col min="45" max="47" width="11.42578125" style="88"/>
    <col min="48" max="48" width="78.140625" style="88" customWidth="1"/>
    <col min="49" max="51" width="11.42578125" style="88"/>
    <col min="52" max="52" width="87.140625" style="88" customWidth="1"/>
    <col min="53" max="55" width="11.42578125" style="88"/>
    <col min="56" max="56" width="78.140625" style="88" customWidth="1"/>
    <col min="57" max="59" width="11.42578125" style="88"/>
    <col min="60" max="60" width="87.140625" style="88" customWidth="1"/>
    <col min="61" max="62" width="11.42578125" style="88"/>
    <col min="63" max="63" width="15.140625" style="88" bestFit="1" customWidth="1"/>
    <col min="64" max="64" width="78.140625" style="88" customWidth="1"/>
    <col min="65" max="66" width="11.42578125" style="88"/>
    <col min="67" max="67" width="14.28515625" style="88" customWidth="1"/>
    <col min="68" max="68" width="64.85546875" style="88" customWidth="1"/>
    <col min="69" max="70" width="11.42578125" style="88"/>
    <col min="71" max="71" width="15.140625" style="88" bestFit="1" customWidth="1"/>
    <col min="72" max="72" width="78.140625" style="88" customWidth="1"/>
    <col min="73" max="16384" width="11.42578125" style="88"/>
  </cols>
  <sheetData>
    <row r="1" spans="1:108" s="1" customFormat="1" ht="15.75" x14ac:dyDescent="0.25">
      <c r="C1" s="769" t="s">
        <v>0</v>
      </c>
      <c r="D1" s="769"/>
      <c r="E1" s="769"/>
      <c r="F1" s="769"/>
      <c r="G1" s="769"/>
      <c r="H1" s="769"/>
      <c r="I1" s="769"/>
      <c r="J1" s="769"/>
      <c r="K1" s="769"/>
      <c r="L1" s="769"/>
      <c r="M1" s="769"/>
      <c r="N1" s="769"/>
      <c r="O1" s="769"/>
      <c r="P1" s="769"/>
      <c r="Q1" s="769"/>
      <c r="R1" s="769"/>
      <c r="S1" s="769"/>
      <c r="T1" s="769"/>
      <c r="U1" s="769"/>
      <c r="V1" s="769"/>
      <c r="W1" s="769"/>
      <c r="X1" s="769"/>
      <c r="AE1" s="2"/>
      <c r="AF1" s="3"/>
      <c r="AM1" s="2"/>
      <c r="AN1" s="3"/>
      <c r="AW1" s="53"/>
      <c r="AX1" s="53"/>
      <c r="AY1" s="53"/>
      <c r="AZ1" s="53"/>
      <c r="BA1" s="53"/>
      <c r="BB1" s="53"/>
      <c r="BC1" s="53"/>
      <c r="BD1" s="53"/>
      <c r="BE1" s="53"/>
      <c r="BF1" s="53"/>
      <c r="BG1" s="53"/>
      <c r="BH1" s="53"/>
      <c r="BI1" s="53"/>
      <c r="BJ1" s="53"/>
      <c r="BK1" s="53"/>
      <c r="BL1" s="53"/>
      <c r="BM1" s="53"/>
      <c r="BN1" s="53"/>
      <c r="BO1" s="53"/>
      <c r="BP1" s="53"/>
      <c r="BQ1" s="53"/>
      <c r="BR1" s="53"/>
      <c r="BS1" s="4" t="s">
        <v>1</v>
      </c>
      <c r="BT1" s="5">
        <v>43458</v>
      </c>
    </row>
    <row r="2" spans="1:108" s="1" customFormat="1" ht="30" customHeight="1" x14ac:dyDescent="0.25">
      <c r="C2" s="769"/>
      <c r="D2" s="769"/>
      <c r="E2" s="769"/>
      <c r="F2" s="769"/>
      <c r="G2" s="769"/>
      <c r="H2" s="769"/>
      <c r="I2" s="769"/>
      <c r="J2" s="769"/>
      <c r="K2" s="769"/>
      <c r="L2" s="769"/>
      <c r="M2" s="769"/>
      <c r="N2" s="769"/>
      <c r="O2" s="769"/>
      <c r="P2" s="769"/>
      <c r="Q2" s="769"/>
      <c r="R2" s="769"/>
      <c r="S2" s="769"/>
      <c r="T2" s="769"/>
      <c r="U2" s="769"/>
      <c r="V2" s="769"/>
      <c r="W2" s="769"/>
      <c r="X2" s="769"/>
      <c r="AE2" s="2"/>
      <c r="AF2" s="2"/>
      <c r="AM2" s="2"/>
      <c r="AN2" s="2"/>
      <c r="AW2" s="53"/>
      <c r="AX2" s="53"/>
      <c r="AY2" s="53"/>
      <c r="AZ2" s="53"/>
      <c r="BA2" s="53"/>
      <c r="BB2" s="53"/>
      <c r="BC2" s="53"/>
      <c r="BD2" s="53"/>
      <c r="BE2" s="53"/>
      <c r="BF2" s="53"/>
      <c r="BG2" s="53"/>
      <c r="BH2" s="53"/>
      <c r="BI2" s="53"/>
      <c r="BJ2" s="53"/>
      <c r="BK2" s="53"/>
      <c r="BL2" s="53"/>
      <c r="BM2" s="53"/>
      <c r="BN2" s="53"/>
      <c r="BO2" s="53"/>
      <c r="BP2" s="53"/>
      <c r="BQ2" s="53"/>
      <c r="BR2" s="53"/>
      <c r="BS2" s="4" t="s">
        <v>2</v>
      </c>
      <c r="BT2" s="4">
        <v>5</v>
      </c>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row>
    <row r="3" spans="1:108" s="1" customFormat="1" ht="29.25" customHeight="1" x14ac:dyDescent="0.25">
      <c r="C3" s="769"/>
      <c r="D3" s="769"/>
      <c r="E3" s="769"/>
      <c r="F3" s="769"/>
      <c r="G3" s="769"/>
      <c r="H3" s="769"/>
      <c r="I3" s="769"/>
      <c r="J3" s="769"/>
      <c r="K3" s="769"/>
      <c r="L3" s="769"/>
      <c r="M3" s="769"/>
      <c r="N3" s="769"/>
      <c r="O3" s="769"/>
      <c r="P3" s="769"/>
      <c r="Q3" s="769"/>
      <c r="R3" s="769"/>
      <c r="S3" s="769"/>
      <c r="T3" s="769"/>
      <c r="U3" s="769"/>
      <c r="V3" s="769"/>
      <c r="W3" s="769"/>
      <c r="X3" s="769"/>
      <c r="AE3" s="2"/>
      <c r="AF3" s="2"/>
      <c r="AM3" s="2"/>
      <c r="AN3" s="2"/>
      <c r="AW3" s="53"/>
      <c r="AX3" s="53"/>
      <c r="AY3" s="53"/>
      <c r="AZ3" s="53"/>
      <c r="BA3" s="53"/>
      <c r="BB3" s="53"/>
      <c r="BC3" s="53"/>
      <c r="BD3" s="53"/>
      <c r="BE3" s="53"/>
      <c r="BF3" s="53"/>
      <c r="BG3" s="53"/>
      <c r="BH3" s="53"/>
      <c r="BI3" s="53"/>
      <c r="BJ3" s="53"/>
      <c r="BK3" s="53"/>
      <c r="BL3" s="53"/>
      <c r="BM3" s="53"/>
      <c r="BN3" s="53"/>
      <c r="BO3" s="53"/>
      <c r="BP3" s="53"/>
      <c r="BQ3" s="53"/>
      <c r="BR3" s="53"/>
      <c r="BS3" s="4" t="s">
        <v>3</v>
      </c>
      <c r="BT3" s="4" t="s">
        <v>4</v>
      </c>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row>
    <row r="4" spans="1:108" s="7" customFormat="1" ht="15" x14ac:dyDescent="0.25">
      <c r="A4" s="770" t="s">
        <v>5</v>
      </c>
      <c r="B4" s="771"/>
      <c r="C4" s="771"/>
      <c r="D4" s="771"/>
      <c r="E4" s="771"/>
      <c r="F4" s="771"/>
      <c r="G4" s="771"/>
      <c r="H4" s="771"/>
      <c r="I4" s="771"/>
      <c r="J4" s="771"/>
      <c r="K4" s="772"/>
      <c r="L4" s="773" t="s">
        <v>6</v>
      </c>
      <c r="M4" s="774"/>
      <c r="N4" s="774"/>
      <c r="O4" s="774"/>
      <c r="P4" s="775"/>
      <c r="Q4" s="773" t="s">
        <v>7</v>
      </c>
      <c r="R4" s="774"/>
      <c r="S4" s="774"/>
      <c r="T4" s="774"/>
      <c r="U4" s="775"/>
      <c r="V4" s="845" t="s">
        <v>8</v>
      </c>
      <c r="W4" s="846"/>
      <c r="X4" s="783" t="s">
        <v>9</v>
      </c>
      <c r="Y4" s="776" t="s">
        <v>10</v>
      </c>
      <c r="Z4" s="777"/>
      <c r="AA4" s="777"/>
      <c r="AB4" s="777"/>
      <c r="AC4" s="777"/>
      <c r="AD4" s="777"/>
      <c r="AE4" s="777"/>
      <c r="AF4" s="778"/>
      <c r="AG4" s="776" t="s">
        <v>11</v>
      </c>
      <c r="AH4" s="777"/>
      <c r="AI4" s="777"/>
      <c r="AJ4" s="777"/>
      <c r="AK4" s="777"/>
      <c r="AL4" s="777"/>
      <c r="AM4" s="777"/>
      <c r="AN4" s="778"/>
      <c r="AO4" s="776" t="s">
        <v>12</v>
      </c>
      <c r="AP4" s="777"/>
      <c r="AQ4" s="777"/>
      <c r="AR4" s="777"/>
      <c r="AS4" s="777"/>
      <c r="AT4" s="777"/>
      <c r="AU4" s="777"/>
      <c r="AV4" s="778"/>
      <c r="AW4" s="776" t="s">
        <v>892</v>
      </c>
      <c r="AX4" s="777"/>
      <c r="AY4" s="777"/>
      <c r="AZ4" s="777"/>
      <c r="BA4" s="777"/>
      <c r="BB4" s="777"/>
      <c r="BC4" s="777"/>
      <c r="BD4" s="778"/>
      <c r="BE4" s="776" t="s">
        <v>893</v>
      </c>
      <c r="BF4" s="777"/>
      <c r="BG4" s="777"/>
      <c r="BH4" s="777"/>
      <c r="BI4" s="777"/>
      <c r="BJ4" s="777"/>
      <c r="BK4" s="777"/>
      <c r="BL4" s="778"/>
      <c r="BM4" s="776" t="s">
        <v>894</v>
      </c>
      <c r="BN4" s="777"/>
      <c r="BO4" s="777"/>
      <c r="BP4" s="777"/>
      <c r="BQ4" s="777"/>
      <c r="BR4" s="777"/>
      <c r="BS4" s="777"/>
      <c r="BT4" s="778"/>
      <c r="BU4" s="88"/>
      <c r="BV4" s="88"/>
      <c r="BW4" s="88"/>
      <c r="BX4" s="88"/>
      <c r="BY4" s="88"/>
      <c r="BZ4" s="88"/>
      <c r="CA4" s="88"/>
      <c r="CB4" s="88"/>
      <c r="CC4" s="88"/>
      <c r="CD4" s="88"/>
      <c r="CE4" s="88"/>
      <c r="CF4" s="88"/>
      <c r="CG4" s="88"/>
      <c r="CH4" s="88"/>
      <c r="CI4" s="88"/>
      <c r="CJ4" s="88"/>
      <c r="CK4" s="88"/>
      <c r="CL4" s="88"/>
      <c r="CM4" s="88"/>
      <c r="CN4" s="88"/>
      <c r="CO4" s="88"/>
      <c r="CP4" s="88"/>
      <c r="CQ4" s="88"/>
      <c r="CR4" s="88"/>
      <c r="CS4" s="88"/>
      <c r="CT4" s="88"/>
      <c r="CU4" s="88"/>
      <c r="CV4" s="88"/>
      <c r="CW4" s="88"/>
      <c r="CX4" s="88"/>
      <c r="CY4" s="88"/>
      <c r="CZ4" s="88"/>
      <c r="DA4" s="88"/>
      <c r="DB4" s="88"/>
      <c r="DC4" s="88"/>
      <c r="DD4" s="88"/>
    </row>
    <row r="5" spans="1:108" s="9" customFormat="1" ht="15" x14ac:dyDescent="0.25">
      <c r="A5" s="785" t="s">
        <v>13</v>
      </c>
      <c r="B5" s="786"/>
      <c r="C5" s="787"/>
      <c r="D5" s="8" t="s">
        <v>14</v>
      </c>
      <c r="E5" s="785" t="s">
        <v>15</v>
      </c>
      <c r="F5" s="787"/>
      <c r="G5" s="785" t="s">
        <v>16</v>
      </c>
      <c r="H5" s="786"/>
      <c r="I5" s="787"/>
      <c r="J5" s="788" t="s">
        <v>17</v>
      </c>
      <c r="K5" s="788" t="s">
        <v>18</v>
      </c>
      <c r="L5" s="776"/>
      <c r="M5" s="777"/>
      <c r="N5" s="777"/>
      <c r="O5" s="777"/>
      <c r="P5" s="778"/>
      <c r="Q5" s="776"/>
      <c r="R5" s="777"/>
      <c r="S5" s="777"/>
      <c r="T5" s="777"/>
      <c r="U5" s="778"/>
      <c r="V5" s="847"/>
      <c r="W5" s="848"/>
      <c r="X5" s="784"/>
      <c r="Y5" s="785" t="s">
        <v>19</v>
      </c>
      <c r="Z5" s="786"/>
      <c r="AA5" s="786"/>
      <c r="AB5" s="790"/>
      <c r="AC5" s="791" t="s">
        <v>20</v>
      </c>
      <c r="AD5" s="786"/>
      <c r="AE5" s="786"/>
      <c r="AF5" s="787"/>
      <c r="AG5" s="785" t="s">
        <v>19</v>
      </c>
      <c r="AH5" s="786"/>
      <c r="AI5" s="786"/>
      <c r="AJ5" s="790"/>
      <c r="AK5" s="791" t="s">
        <v>20</v>
      </c>
      <c r="AL5" s="786"/>
      <c r="AM5" s="786"/>
      <c r="AN5" s="787"/>
      <c r="AO5" s="785" t="s">
        <v>19</v>
      </c>
      <c r="AP5" s="786"/>
      <c r="AQ5" s="786"/>
      <c r="AR5" s="790"/>
      <c r="AS5" s="791" t="s">
        <v>20</v>
      </c>
      <c r="AT5" s="786"/>
      <c r="AU5" s="786"/>
      <c r="AV5" s="787"/>
      <c r="AW5" s="785" t="s">
        <v>19</v>
      </c>
      <c r="AX5" s="786"/>
      <c r="AY5" s="786"/>
      <c r="AZ5" s="790"/>
      <c r="BA5" s="791" t="s">
        <v>20</v>
      </c>
      <c r="BB5" s="786"/>
      <c r="BC5" s="786"/>
      <c r="BD5" s="787"/>
      <c r="BE5" s="785" t="s">
        <v>19</v>
      </c>
      <c r="BF5" s="786"/>
      <c r="BG5" s="786"/>
      <c r="BH5" s="790"/>
      <c r="BI5" s="791" t="s">
        <v>20</v>
      </c>
      <c r="BJ5" s="786"/>
      <c r="BK5" s="786"/>
      <c r="BL5" s="787"/>
      <c r="BM5" s="785" t="s">
        <v>19</v>
      </c>
      <c r="BN5" s="786"/>
      <c r="BO5" s="786"/>
      <c r="BP5" s="790"/>
      <c r="BQ5" s="791" t="s">
        <v>20</v>
      </c>
      <c r="BR5" s="786"/>
      <c r="BS5" s="786"/>
      <c r="BT5" s="787"/>
      <c r="BU5" s="88"/>
      <c r="BV5" s="88"/>
      <c r="BW5" s="88"/>
      <c r="BX5" s="88"/>
      <c r="BY5" s="88"/>
      <c r="BZ5" s="88"/>
      <c r="CA5" s="88"/>
      <c r="CB5" s="88"/>
      <c r="CC5" s="88"/>
      <c r="CD5" s="88"/>
      <c r="CE5" s="88"/>
      <c r="CF5" s="88"/>
      <c r="CG5" s="88"/>
      <c r="CH5" s="88"/>
      <c r="CI5" s="88"/>
      <c r="CJ5" s="88"/>
      <c r="CK5" s="88"/>
      <c r="CL5" s="88"/>
      <c r="CM5" s="88"/>
      <c r="CN5" s="88"/>
      <c r="CO5" s="88"/>
      <c r="CP5" s="88"/>
      <c r="CQ5" s="88"/>
      <c r="CR5" s="88"/>
      <c r="CS5" s="88"/>
      <c r="CT5" s="88"/>
      <c r="CU5" s="88"/>
      <c r="CV5" s="88"/>
      <c r="CW5" s="88"/>
      <c r="CX5" s="88"/>
      <c r="CY5" s="88"/>
      <c r="CZ5" s="88"/>
      <c r="DA5" s="88"/>
      <c r="DB5" s="88"/>
      <c r="DC5" s="88"/>
      <c r="DD5" s="88"/>
    </row>
    <row r="6" spans="1:108" s="7" customFormat="1" ht="15" x14ac:dyDescent="0.25">
      <c r="A6" s="10" t="s">
        <v>21</v>
      </c>
      <c r="B6" s="10" t="s">
        <v>22</v>
      </c>
      <c r="C6" s="10" t="s">
        <v>23</v>
      </c>
      <c r="D6" s="10" t="s">
        <v>24</v>
      </c>
      <c r="E6" s="10" t="s">
        <v>25</v>
      </c>
      <c r="F6" s="10" t="s">
        <v>26</v>
      </c>
      <c r="G6" s="10" t="s">
        <v>27</v>
      </c>
      <c r="H6" s="10" t="s">
        <v>28</v>
      </c>
      <c r="I6" s="10" t="s">
        <v>29</v>
      </c>
      <c r="J6" s="849"/>
      <c r="K6" s="849"/>
      <c r="L6" s="10" t="s">
        <v>6</v>
      </c>
      <c r="M6" s="10" t="s">
        <v>30</v>
      </c>
      <c r="N6" s="10" t="s">
        <v>31</v>
      </c>
      <c r="O6" s="10" t="s">
        <v>32</v>
      </c>
      <c r="P6" s="10" t="s">
        <v>33</v>
      </c>
      <c r="Q6" s="10" t="s">
        <v>7</v>
      </c>
      <c r="R6" s="10" t="s">
        <v>34</v>
      </c>
      <c r="S6" s="10" t="s">
        <v>31</v>
      </c>
      <c r="T6" s="10" t="s">
        <v>32</v>
      </c>
      <c r="U6" s="10" t="s">
        <v>35</v>
      </c>
      <c r="V6" s="140" t="s">
        <v>36</v>
      </c>
      <c r="W6" s="140" t="s">
        <v>37</v>
      </c>
      <c r="X6" s="10" t="s">
        <v>38</v>
      </c>
      <c r="Y6" s="10" t="s">
        <v>39</v>
      </c>
      <c r="Z6" s="10" t="s">
        <v>40</v>
      </c>
      <c r="AA6" s="10" t="s">
        <v>41</v>
      </c>
      <c r="AB6" s="10" t="s">
        <v>42</v>
      </c>
      <c r="AC6" s="10" t="s">
        <v>39</v>
      </c>
      <c r="AD6" s="10" t="s">
        <v>40</v>
      </c>
      <c r="AE6" s="10" t="s">
        <v>41</v>
      </c>
      <c r="AF6" s="10" t="s">
        <v>42</v>
      </c>
      <c r="AG6" s="10" t="s">
        <v>39</v>
      </c>
      <c r="AH6" s="10" t="s">
        <v>40</v>
      </c>
      <c r="AI6" s="10" t="s">
        <v>41</v>
      </c>
      <c r="AJ6" s="10" t="s">
        <v>42</v>
      </c>
      <c r="AK6" s="10" t="s">
        <v>39</v>
      </c>
      <c r="AL6" s="10" t="s">
        <v>40</v>
      </c>
      <c r="AM6" s="10" t="s">
        <v>41</v>
      </c>
      <c r="AN6" s="10"/>
      <c r="AO6" s="10" t="s">
        <v>39</v>
      </c>
      <c r="AP6" s="10" t="s">
        <v>40</v>
      </c>
      <c r="AQ6" s="10" t="s">
        <v>41</v>
      </c>
      <c r="AR6" s="10" t="s">
        <v>42</v>
      </c>
      <c r="AS6" s="10" t="s">
        <v>39</v>
      </c>
      <c r="AT6" s="10" t="s">
        <v>40</v>
      </c>
      <c r="AU6" s="10" t="s">
        <v>41</v>
      </c>
      <c r="AV6" s="10" t="s">
        <v>42</v>
      </c>
      <c r="AW6" s="10" t="s">
        <v>39</v>
      </c>
      <c r="AX6" s="10" t="s">
        <v>40</v>
      </c>
      <c r="AY6" s="10" t="s">
        <v>41</v>
      </c>
      <c r="AZ6" s="10" t="s">
        <v>42</v>
      </c>
      <c r="BA6" s="10" t="s">
        <v>39</v>
      </c>
      <c r="BB6" s="10" t="s">
        <v>40</v>
      </c>
      <c r="BC6" s="10" t="s">
        <v>41</v>
      </c>
      <c r="BD6" s="10" t="s">
        <v>42</v>
      </c>
      <c r="BE6" s="10" t="s">
        <v>39</v>
      </c>
      <c r="BF6" s="10" t="s">
        <v>40</v>
      </c>
      <c r="BG6" s="10" t="s">
        <v>41</v>
      </c>
      <c r="BH6" s="10" t="s">
        <v>42</v>
      </c>
      <c r="BI6" s="10" t="s">
        <v>39</v>
      </c>
      <c r="BJ6" s="10" t="s">
        <v>40</v>
      </c>
      <c r="BK6" s="10" t="s">
        <v>41</v>
      </c>
      <c r="BL6" s="10" t="s">
        <v>42</v>
      </c>
      <c r="BM6" s="10" t="s">
        <v>39</v>
      </c>
      <c r="BN6" s="10" t="s">
        <v>40</v>
      </c>
      <c r="BO6" s="10" t="s">
        <v>41</v>
      </c>
      <c r="BP6" s="10" t="s">
        <v>42</v>
      </c>
      <c r="BQ6" s="10" t="s">
        <v>39</v>
      </c>
      <c r="BR6" s="10" t="s">
        <v>40</v>
      </c>
      <c r="BS6" s="10" t="s">
        <v>41</v>
      </c>
      <c r="BT6" s="10" t="s">
        <v>42</v>
      </c>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D6" s="88"/>
    </row>
    <row r="7" spans="1:108" s="21" customFormat="1" ht="120" x14ac:dyDescent="0.25">
      <c r="A7" s="706" t="s">
        <v>43</v>
      </c>
      <c r="B7" s="706" t="s">
        <v>44</v>
      </c>
      <c r="C7" s="706" t="s">
        <v>45</v>
      </c>
      <c r="D7" s="706" t="s">
        <v>46</v>
      </c>
      <c r="E7" s="836" t="s">
        <v>435</v>
      </c>
      <c r="F7" s="706" t="s">
        <v>48</v>
      </c>
      <c r="G7" s="947" t="s">
        <v>49</v>
      </c>
      <c r="H7" s="949" t="s">
        <v>436</v>
      </c>
      <c r="I7" s="706" t="s">
        <v>51</v>
      </c>
      <c r="J7" s="694" t="s">
        <v>437</v>
      </c>
      <c r="K7" s="706" t="s">
        <v>438</v>
      </c>
      <c r="L7" s="706" t="s">
        <v>439</v>
      </c>
      <c r="M7" s="706" t="s">
        <v>440</v>
      </c>
      <c r="N7" s="836" t="s">
        <v>56</v>
      </c>
      <c r="O7" s="836">
        <v>0</v>
      </c>
      <c r="P7" s="836">
        <v>21422</v>
      </c>
      <c r="Q7" s="76" t="s">
        <v>441</v>
      </c>
      <c r="R7" s="99" t="s">
        <v>442</v>
      </c>
      <c r="S7" s="156" t="s">
        <v>56</v>
      </c>
      <c r="T7" s="156">
        <v>0</v>
      </c>
      <c r="U7" s="156">
        <v>2700</v>
      </c>
      <c r="V7" s="842">
        <v>5547112474</v>
      </c>
      <c r="W7" s="943">
        <v>12419404538</v>
      </c>
      <c r="X7" s="768" t="s">
        <v>443</v>
      </c>
      <c r="Y7" s="938">
        <v>1752</v>
      </c>
      <c r="Z7" s="938">
        <v>21422</v>
      </c>
      <c r="AA7" s="939">
        <f>Y7/Z7</f>
        <v>8.1785080758099149E-2</v>
      </c>
      <c r="AB7" s="937" t="s">
        <v>444</v>
      </c>
      <c r="AC7" s="157">
        <v>140</v>
      </c>
      <c r="AD7" s="158">
        <v>2700</v>
      </c>
      <c r="AE7" s="159">
        <f>AC7/AD7</f>
        <v>5.185185185185185E-2</v>
      </c>
      <c r="AF7" s="160" t="s">
        <v>445</v>
      </c>
      <c r="AG7" s="938">
        <v>3515</v>
      </c>
      <c r="AH7" s="938">
        <v>21422</v>
      </c>
      <c r="AI7" s="939">
        <f>AG7/AH7</f>
        <v>0.16408365232004482</v>
      </c>
      <c r="AJ7" s="937" t="s">
        <v>446</v>
      </c>
      <c r="AK7" s="158">
        <v>394</v>
      </c>
      <c r="AL7" s="158">
        <v>2700</v>
      </c>
      <c r="AM7" s="159">
        <f>AK7/AL7</f>
        <v>0.14592592592592593</v>
      </c>
      <c r="AN7" s="160" t="s">
        <v>447</v>
      </c>
      <c r="AO7" s="938">
        <v>5007</v>
      </c>
      <c r="AP7" s="938">
        <v>21422</v>
      </c>
      <c r="AQ7" s="939">
        <f>AO7/AP7</f>
        <v>0.23373167771449913</v>
      </c>
      <c r="AR7" s="937" t="s">
        <v>448</v>
      </c>
      <c r="AS7" s="158">
        <v>647</v>
      </c>
      <c r="AT7" s="158">
        <v>2700</v>
      </c>
      <c r="AU7" s="159">
        <f>AS7/AT7</f>
        <v>0.23962962962962964</v>
      </c>
      <c r="AV7" s="160" t="s">
        <v>449</v>
      </c>
      <c r="AW7" s="938">
        <v>6290</v>
      </c>
      <c r="AX7" s="938">
        <v>21422</v>
      </c>
      <c r="AY7" s="939">
        <f>AW7/AX7</f>
        <v>0.29362337783586967</v>
      </c>
      <c r="AZ7" s="937" t="s">
        <v>895</v>
      </c>
      <c r="BA7" s="300">
        <v>840</v>
      </c>
      <c r="BB7" s="300">
        <v>2700</v>
      </c>
      <c r="BC7" s="301">
        <f>BA7/BB7</f>
        <v>0.31111111111111112</v>
      </c>
      <c r="BD7" s="295" t="s">
        <v>896</v>
      </c>
      <c r="BE7" s="938">
        <v>7215</v>
      </c>
      <c r="BF7" s="938">
        <v>21422</v>
      </c>
      <c r="BG7" s="939">
        <f>BE7/BF7</f>
        <v>0.33680328634114459</v>
      </c>
      <c r="BH7" s="937" t="s">
        <v>897</v>
      </c>
      <c r="BI7" s="300">
        <v>1003</v>
      </c>
      <c r="BJ7" s="300">
        <v>2700</v>
      </c>
      <c r="BK7" s="301">
        <f>BI7/BJ7</f>
        <v>0.37148148148148147</v>
      </c>
      <c r="BL7" s="295" t="s">
        <v>898</v>
      </c>
      <c r="BM7" s="938">
        <v>8296</v>
      </c>
      <c r="BN7" s="938">
        <v>21422</v>
      </c>
      <c r="BO7" s="939">
        <f>BM7/BN7</f>
        <v>0.38726542806460645</v>
      </c>
      <c r="BP7" s="937" t="s">
        <v>899</v>
      </c>
      <c r="BQ7" s="300">
        <v>1201</v>
      </c>
      <c r="BR7" s="300">
        <v>2700</v>
      </c>
      <c r="BS7" s="301">
        <f>BQ7/BR7</f>
        <v>0.44481481481481483</v>
      </c>
      <c r="BT7" s="295" t="s">
        <v>900</v>
      </c>
      <c r="BU7" s="88"/>
      <c r="BV7" s="88"/>
      <c r="BW7" s="88"/>
      <c r="BX7" s="88"/>
      <c r="BY7" s="88"/>
      <c r="BZ7" s="88"/>
      <c r="CA7" s="88"/>
      <c r="CB7" s="88"/>
      <c r="CC7" s="88"/>
      <c r="CD7" s="88"/>
      <c r="CE7" s="88"/>
      <c r="CF7" s="88"/>
      <c r="CG7" s="88"/>
      <c r="CH7" s="88"/>
      <c r="CI7" s="88"/>
      <c r="CJ7" s="88"/>
      <c r="CK7" s="88"/>
      <c r="CL7" s="88"/>
      <c r="CM7" s="88"/>
      <c r="CN7" s="88"/>
      <c r="CO7" s="88"/>
      <c r="CP7" s="88"/>
      <c r="CQ7" s="88"/>
      <c r="CR7" s="88"/>
      <c r="CS7" s="88"/>
      <c r="CT7" s="88"/>
      <c r="CU7" s="88"/>
      <c r="CV7" s="88"/>
      <c r="CW7" s="88"/>
      <c r="CX7" s="88"/>
      <c r="CY7" s="88"/>
      <c r="CZ7" s="88"/>
      <c r="DA7" s="88"/>
      <c r="DB7" s="88"/>
      <c r="DC7" s="88"/>
      <c r="DD7" s="88"/>
    </row>
    <row r="8" spans="1:108" s="31" customFormat="1" ht="48" x14ac:dyDescent="0.25">
      <c r="A8" s="707"/>
      <c r="B8" s="707"/>
      <c r="C8" s="707"/>
      <c r="D8" s="707"/>
      <c r="E8" s="837"/>
      <c r="F8" s="707"/>
      <c r="G8" s="948"/>
      <c r="H8" s="950"/>
      <c r="I8" s="707"/>
      <c r="J8" s="695"/>
      <c r="K8" s="707"/>
      <c r="L8" s="851"/>
      <c r="M8" s="851"/>
      <c r="N8" s="838"/>
      <c r="O8" s="838"/>
      <c r="P8" s="838"/>
      <c r="Q8" s="146" t="s">
        <v>450</v>
      </c>
      <c r="R8" s="147" t="s">
        <v>451</v>
      </c>
      <c r="S8" s="148" t="s">
        <v>56</v>
      </c>
      <c r="T8" s="148">
        <v>0</v>
      </c>
      <c r="U8" s="161">
        <v>44</v>
      </c>
      <c r="V8" s="843"/>
      <c r="W8" s="944"/>
      <c r="X8" s="693"/>
      <c r="Y8" s="938"/>
      <c r="Z8" s="938"/>
      <c r="AA8" s="939"/>
      <c r="AB8" s="937"/>
      <c r="AC8" s="162">
        <v>3</v>
      </c>
      <c r="AD8" s="162">
        <v>44</v>
      </c>
      <c r="AE8" s="163">
        <f>AC8/AD8</f>
        <v>6.8181818181818177E-2</v>
      </c>
      <c r="AF8" s="162" t="s">
        <v>452</v>
      </c>
      <c r="AG8" s="938"/>
      <c r="AH8" s="938"/>
      <c r="AI8" s="939"/>
      <c r="AJ8" s="937"/>
      <c r="AK8" s="162">
        <v>6</v>
      </c>
      <c r="AL8" s="162">
        <v>44</v>
      </c>
      <c r="AM8" s="163">
        <f>AK8/AL8</f>
        <v>0.13636363636363635</v>
      </c>
      <c r="AN8" s="24" t="s">
        <v>453</v>
      </c>
      <c r="AO8" s="938"/>
      <c r="AP8" s="938"/>
      <c r="AQ8" s="939"/>
      <c r="AR8" s="937"/>
      <c r="AS8" s="162">
        <v>8</v>
      </c>
      <c r="AT8" s="162">
        <v>44</v>
      </c>
      <c r="AU8" s="163">
        <f>AS8/AT8</f>
        <v>0.18181818181818182</v>
      </c>
      <c r="AV8" s="24" t="s">
        <v>454</v>
      </c>
      <c r="AW8" s="938"/>
      <c r="AX8" s="938"/>
      <c r="AY8" s="939"/>
      <c r="AZ8" s="937"/>
      <c r="BA8" s="296">
        <v>8</v>
      </c>
      <c r="BB8" s="296">
        <v>44</v>
      </c>
      <c r="BC8" s="304">
        <f>BA8/BB8</f>
        <v>0.18181818181818182</v>
      </c>
      <c r="BD8" s="294" t="s">
        <v>901</v>
      </c>
      <c r="BE8" s="938"/>
      <c r="BF8" s="938"/>
      <c r="BG8" s="939"/>
      <c r="BH8" s="937"/>
      <c r="BI8" s="296">
        <v>8</v>
      </c>
      <c r="BJ8" s="296">
        <v>44</v>
      </c>
      <c r="BK8" s="304">
        <f>BI8/BJ8</f>
        <v>0.18181818181818182</v>
      </c>
      <c r="BL8" s="294" t="s">
        <v>902</v>
      </c>
      <c r="BM8" s="938"/>
      <c r="BN8" s="938"/>
      <c r="BO8" s="939"/>
      <c r="BP8" s="937"/>
      <c r="BQ8" s="296">
        <v>8</v>
      </c>
      <c r="BR8" s="296">
        <v>44</v>
      </c>
      <c r="BS8" s="304">
        <f>BQ8/BR8</f>
        <v>0.18181818181818182</v>
      </c>
      <c r="BT8" s="294" t="s">
        <v>903</v>
      </c>
      <c r="BU8" s="88"/>
      <c r="BV8" s="88"/>
      <c r="BW8" s="88"/>
      <c r="BX8" s="88"/>
      <c r="BY8" s="88"/>
      <c r="BZ8" s="88"/>
      <c r="CA8" s="88"/>
      <c r="CB8" s="88"/>
      <c r="CC8" s="88"/>
      <c r="CD8" s="88"/>
      <c r="CE8" s="88"/>
      <c r="CF8" s="88"/>
      <c r="CG8" s="88"/>
      <c r="CH8" s="88"/>
      <c r="CI8" s="88"/>
      <c r="CJ8" s="88"/>
      <c r="CK8" s="88"/>
      <c r="CL8" s="88"/>
      <c r="CM8" s="88"/>
      <c r="CN8" s="88"/>
      <c r="CO8" s="88"/>
      <c r="CP8" s="88"/>
      <c r="CQ8" s="88"/>
      <c r="CR8" s="88"/>
      <c r="CS8" s="88"/>
      <c r="CT8" s="88"/>
      <c r="CU8" s="88"/>
      <c r="CV8" s="88"/>
      <c r="CW8" s="88"/>
      <c r="CX8" s="88"/>
      <c r="CY8" s="88"/>
      <c r="CZ8" s="88"/>
      <c r="DA8" s="88"/>
      <c r="DB8" s="88"/>
      <c r="DC8" s="88"/>
      <c r="DD8" s="88"/>
    </row>
    <row r="9" spans="1:108" s="21" customFormat="1" ht="96" x14ac:dyDescent="0.25">
      <c r="A9" s="707"/>
      <c r="B9" s="707"/>
      <c r="C9" s="707"/>
      <c r="D9" s="707"/>
      <c r="E9" s="837"/>
      <c r="F9" s="707"/>
      <c r="G9" s="948"/>
      <c r="H9" s="950"/>
      <c r="I9" s="707" t="s">
        <v>78</v>
      </c>
      <c r="J9" s="695"/>
      <c r="K9" s="707"/>
      <c r="L9" s="706" t="s">
        <v>455</v>
      </c>
      <c r="M9" s="706" t="s">
        <v>456</v>
      </c>
      <c r="N9" s="836" t="s">
        <v>56</v>
      </c>
      <c r="O9" s="836">
        <v>0</v>
      </c>
      <c r="P9" s="836">
        <v>816</v>
      </c>
      <c r="Q9" s="141" t="s">
        <v>457</v>
      </c>
      <c r="R9" s="141" t="s">
        <v>458</v>
      </c>
      <c r="S9" s="143" t="s">
        <v>56</v>
      </c>
      <c r="T9" s="143">
        <v>0</v>
      </c>
      <c r="U9" s="164">
        <v>816</v>
      </c>
      <c r="V9" s="843"/>
      <c r="W9" s="944"/>
      <c r="X9" s="693"/>
      <c r="Y9" s="162">
        <v>14</v>
      </c>
      <c r="Z9" s="162">
        <v>816</v>
      </c>
      <c r="AA9" s="163">
        <f>Y9/Z9</f>
        <v>1.7156862745098041E-2</v>
      </c>
      <c r="AB9" s="165" t="s">
        <v>459</v>
      </c>
      <c r="AC9" s="158">
        <v>27</v>
      </c>
      <c r="AD9" s="158">
        <v>816</v>
      </c>
      <c r="AE9" s="166">
        <f>AC9/AD9</f>
        <v>3.3088235294117647E-2</v>
      </c>
      <c r="AF9" s="160" t="s">
        <v>460</v>
      </c>
      <c r="AG9" s="928">
        <v>40</v>
      </c>
      <c r="AH9" s="928">
        <v>816</v>
      </c>
      <c r="AI9" s="936">
        <f>AG9/AH9</f>
        <v>4.9019607843137254E-2</v>
      </c>
      <c r="AJ9" s="935" t="s">
        <v>461</v>
      </c>
      <c r="AK9" s="158">
        <v>59</v>
      </c>
      <c r="AL9" s="158">
        <v>816</v>
      </c>
      <c r="AM9" s="166">
        <f>AK9/AL9</f>
        <v>7.2303921568627458E-2</v>
      </c>
      <c r="AN9" s="160" t="s">
        <v>462</v>
      </c>
      <c r="AO9" s="928">
        <v>93</v>
      </c>
      <c r="AP9" s="928">
        <v>816</v>
      </c>
      <c r="AQ9" s="936">
        <f>AO9/AP9</f>
        <v>0.11397058823529412</v>
      </c>
      <c r="AR9" s="935" t="s">
        <v>463</v>
      </c>
      <c r="AS9" s="158">
        <v>123</v>
      </c>
      <c r="AT9" s="158">
        <v>816</v>
      </c>
      <c r="AU9" s="166">
        <f>AS9/AT9</f>
        <v>0.15073529411764705</v>
      </c>
      <c r="AV9" s="160" t="s">
        <v>464</v>
      </c>
      <c r="AW9" s="928">
        <v>173</v>
      </c>
      <c r="AX9" s="928">
        <v>816</v>
      </c>
      <c r="AY9" s="936">
        <f>AW9/AX9</f>
        <v>0.21200980392156862</v>
      </c>
      <c r="AZ9" s="935" t="s">
        <v>904</v>
      </c>
      <c r="BA9" s="300">
        <v>213</v>
      </c>
      <c r="BB9" s="300">
        <v>816</v>
      </c>
      <c r="BC9" s="166">
        <f>BA9/BB9</f>
        <v>0.2610294117647059</v>
      </c>
      <c r="BD9" s="295" t="s">
        <v>905</v>
      </c>
      <c r="BE9" s="928">
        <v>247</v>
      </c>
      <c r="BF9" s="928">
        <v>816</v>
      </c>
      <c r="BG9" s="936">
        <f>BE9/BF9</f>
        <v>0.30269607843137253</v>
      </c>
      <c r="BH9" s="935" t="s">
        <v>906</v>
      </c>
      <c r="BI9" s="300">
        <v>275</v>
      </c>
      <c r="BJ9" s="300">
        <v>816</v>
      </c>
      <c r="BK9" s="166">
        <f>BI9/BJ9</f>
        <v>0.33700980392156865</v>
      </c>
      <c r="BL9" s="295" t="s">
        <v>907</v>
      </c>
      <c r="BM9" s="928">
        <v>322</v>
      </c>
      <c r="BN9" s="928">
        <v>816</v>
      </c>
      <c r="BO9" s="936">
        <f>BM9/BN9</f>
        <v>0.39460784313725489</v>
      </c>
      <c r="BP9" s="935" t="s">
        <v>908</v>
      </c>
      <c r="BQ9" s="300">
        <v>360</v>
      </c>
      <c r="BR9" s="300">
        <v>816</v>
      </c>
      <c r="BS9" s="166">
        <f>BQ9/BR9</f>
        <v>0.44117647058823528</v>
      </c>
      <c r="BT9" s="295" t="s">
        <v>909</v>
      </c>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row>
    <row r="10" spans="1:108" s="21" customFormat="1" ht="84" x14ac:dyDescent="0.25">
      <c r="A10" s="707"/>
      <c r="B10" s="707"/>
      <c r="C10" s="707"/>
      <c r="D10" s="707"/>
      <c r="E10" s="837"/>
      <c r="F10" s="707"/>
      <c r="G10" s="948"/>
      <c r="H10" s="950"/>
      <c r="I10" s="851"/>
      <c r="J10" s="695"/>
      <c r="K10" s="707"/>
      <c r="L10" s="851"/>
      <c r="M10" s="851"/>
      <c r="N10" s="838"/>
      <c r="O10" s="838"/>
      <c r="P10" s="838"/>
      <c r="Q10" s="146" t="s">
        <v>465</v>
      </c>
      <c r="R10" s="147" t="s">
        <v>466</v>
      </c>
      <c r="S10" s="148" t="s">
        <v>56</v>
      </c>
      <c r="T10" s="148">
        <v>0</v>
      </c>
      <c r="U10" s="161">
        <v>359</v>
      </c>
      <c r="V10" s="843"/>
      <c r="W10" s="944"/>
      <c r="X10" s="693"/>
      <c r="Y10" s="158"/>
      <c r="Z10" s="158"/>
      <c r="AA10" s="159"/>
      <c r="AB10" s="167"/>
      <c r="AC10" s="158">
        <v>3</v>
      </c>
      <c r="AD10" s="158">
        <v>359</v>
      </c>
      <c r="AE10" s="163">
        <f>AC10/AD10</f>
        <v>8.356545961002786E-3</v>
      </c>
      <c r="AF10" s="160" t="s">
        <v>467</v>
      </c>
      <c r="AG10" s="928"/>
      <c r="AH10" s="928"/>
      <c r="AI10" s="936"/>
      <c r="AJ10" s="935"/>
      <c r="AK10" s="158">
        <v>24</v>
      </c>
      <c r="AL10" s="158">
        <v>359</v>
      </c>
      <c r="AM10" s="163">
        <f>AK10/AL10</f>
        <v>6.6852367688022288E-2</v>
      </c>
      <c r="AN10" s="160" t="s">
        <v>468</v>
      </c>
      <c r="AO10" s="928"/>
      <c r="AP10" s="928"/>
      <c r="AQ10" s="936"/>
      <c r="AR10" s="935"/>
      <c r="AS10" s="158">
        <v>83</v>
      </c>
      <c r="AT10" s="158">
        <v>359</v>
      </c>
      <c r="AU10" s="163">
        <f>AS10/AT10</f>
        <v>0.23119777158774374</v>
      </c>
      <c r="AV10" s="160" t="s">
        <v>469</v>
      </c>
      <c r="AW10" s="928"/>
      <c r="AX10" s="928"/>
      <c r="AY10" s="936"/>
      <c r="AZ10" s="935"/>
      <c r="BA10" s="300">
        <v>83</v>
      </c>
      <c r="BB10" s="300">
        <v>359</v>
      </c>
      <c r="BC10" s="304">
        <f>BA10/BB10</f>
        <v>0.23119777158774374</v>
      </c>
      <c r="BD10" s="295" t="s">
        <v>901</v>
      </c>
      <c r="BE10" s="928"/>
      <c r="BF10" s="928"/>
      <c r="BG10" s="936"/>
      <c r="BH10" s="935"/>
      <c r="BI10" s="300">
        <v>83</v>
      </c>
      <c r="BJ10" s="300">
        <v>359</v>
      </c>
      <c r="BK10" s="304">
        <f>BI10/BJ10</f>
        <v>0.23119777158774374</v>
      </c>
      <c r="BL10" s="295" t="s">
        <v>910</v>
      </c>
      <c r="BM10" s="928"/>
      <c r="BN10" s="928"/>
      <c r="BO10" s="936"/>
      <c r="BP10" s="935"/>
      <c r="BQ10" s="300">
        <v>83</v>
      </c>
      <c r="BR10" s="300">
        <v>359</v>
      </c>
      <c r="BS10" s="304">
        <f>BQ10/BR10</f>
        <v>0.23119777158774374</v>
      </c>
      <c r="BT10" s="295" t="s">
        <v>911</v>
      </c>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row>
    <row r="11" spans="1:108" s="31" customFormat="1" ht="288" x14ac:dyDescent="0.25">
      <c r="A11" s="707"/>
      <c r="B11" s="707"/>
      <c r="C11" s="707"/>
      <c r="D11" s="707"/>
      <c r="E11" s="837"/>
      <c r="F11" s="707"/>
      <c r="G11" s="948"/>
      <c r="H11" s="950"/>
      <c r="I11" s="953" t="s">
        <v>51</v>
      </c>
      <c r="J11" s="695"/>
      <c r="K11" s="707"/>
      <c r="L11" s="150" t="s">
        <v>470</v>
      </c>
      <c r="M11" s="150" t="s">
        <v>471</v>
      </c>
      <c r="N11" s="152" t="s">
        <v>74</v>
      </c>
      <c r="O11" s="153">
        <v>0.83</v>
      </c>
      <c r="P11" s="152" t="s">
        <v>472</v>
      </c>
      <c r="Q11" s="168"/>
      <c r="R11" s="147"/>
      <c r="S11" s="146"/>
      <c r="T11" s="148"/>
      <c r="U11" s="148"/>
      <c r="V11" s="843"/>
      <c r="W11" s="944"/>
      <c r="X11" s="693"/>
      <c r="Y11" s="162"/>
      <c r="Z11" s="162"/>
      <c r="AA11" s="169"/>
      <c r="AB11" s="165"/>
      <c r="AC11" s="24"/>
      <c r="AD11" s="24"/>
      <c r="AE11" s="24"/>
      <c r="AF11" s="24"/>
      <c r="AG11" s="162"/>
      <c r="AH11" s="162"/>
      <c r="AI11" s="169"/>
      <c r="AJ11" s="165"/>
      <c r="AK11" s="24"/>
      <c r="AL11" s="24"/>
      <c r="AM11" s="24"/>
      <c r="AN11" s="24"/>
      <c r="AO11" s="162"/>
      <c r="AP11" s="162"/>
      <c r="AQ11" s="169"/>
      <c r="AR11" s="165"/>
      <c r="AS11" s="24"/>
      <c r="AT11" s="24"/>
      <c r="AU11" s="24"/>
      <c r="AV11" s="24"/>
      <c r="AW11" s="296"/>
      <c r="AX11" s="296"/>
      <c r="AY11" s="302"/>
      <c r="AZ11" s="303"/>
      <c r="BA11" s="294"/>
      <c r="BB11" s="294"/>
      <c r="BC11" s="294"/>
      <c r="BD11" s="294"/>
      <c r="BE11" s="296"/>
      <c r="BF11" s="296"/>
      <c r="BG11" s="302"/>
      <c r="BH11" s="303"/>
      <c r="BI11" s="294"/>
      <c r="BJ11" s="294"/>
      <c r="BK11" s="294"/>
      <c r="BL11" s="294"/>
      <c r="BM11" s="176">
        <v>0.87</v>
      </c>
      <c r="BN11" s="296" t="s">
        <v>912</v>
      </c>
      <c r="BO11" s="296"/>
      <c r="BP11" s="384" t="s">
        <v>913</v>
      </c>
      <c r="BQ11" s="294"/>
      <c r="BR11" s="294"/>
      <c r="BS11" s="294"/>
      <c r="BT11" s="294"/>
      <c r="BU11" s="88"/>
      <c r="BV11" s="88"/>
      <c r="BW11" s="88"/>
      <c r="BX11" s="88"/>
      <c r="BY11" s="88"/>
      <c r="BZ11" s="88"/>
      <c r="CA11" s="88"/>
      <c r="CB11" s="88"/>
      <c r="CC11" s="88"/>
      <c r="CD11" s="88"/>
      <c r="CE11" s="88"/>
      <c r="CF11" s="88"/>
      <c r="CG11" s="88"/>
      <c r="CH11" s="88"/>
      <c r="CI11" s="88"/>
      <c r="CJ11" s="88"/>
      <c r="CK11" s="88"/>
      <c r="CL11" s="88"/>
      <c r="CM11" s="88"/>
      <c r="CN11" s="88"/>
      <c r="CO11" s="88"/>
      <c r="CP11" s="88"/>
      <c r="CQ11" s="88"/>
      <c r="CR11" s="88"/>
      <c r="CS11" s="88"/>
      <c r="CT11" s="88"/>
      <c r="CU11" s="88"/>
      <c r="CV11" s="88"/>
      <c r="CW11" s="88"/>
      <c r="CX11" s="88"/>
      <c r="CY11" s="88"/>
      <c r="CZ11" s="88"/>
      <c r="DA11" s="88"/>
      <c r="DB11" s="88"/>
      <c r="DC11" s="88"/>
      <c r="DD11" s="88"/>
    </row>
    <row r="12" spans="1:108" s="21" customFormat="1" ht="276" x14ac:dyDescent="0.25">
      <c r="A12" s="707"/>
      <c r="B12" s="707"/>
      <c r="C12" s="707"/>
      <c r="D12" s="707"/>
      <c r="E12" s="837"/>
      <c r="F12" s="707"/>
      <c r="G12" s="948"/>
      <c r="H12" s="950"/>
      <c r="I12" s="954"/>
      <c r="J12" s="695"/>
      <c r="K12" s="707"/>
      <c r="L12" s="170" t="s">
        <v>473</v>
      </c>
      <c r="M12" s="171" t="s">
        <v>474</v>
      </c>
      <c r="N12" s="172" t="s">
        <v>74</v>
      </c>
      <c r="O12" s="173">
        <v>0.79</v>
      </c>
      <c r="P12" s="173" t="s">
        <v>472</v>
      </c>
      <c r="Q12" s="142"/>
      <c r="R12" s="141"/>
      <c r="S12" s="142"/>
      <c r="T12" s="143"/>
      <c r="U12" s="174"/>
      <c r="V12" s="843"/>
      <c r="W12" s="944"/>
      <c r="X12" s="693"/>
      <c r="Y12" s="158"/>
      <c r="Z12" s="175"/>
      <c r="AA12" s="159"/>
      <c r="AB12" s="167"/>
      <c r="AC12" s="158"/>
      <c r="AD12" s="158"/>
      <c r="AE12" s="158"/>
      <c r="AF12" s="158"/>
      <c r="AG12" s="158"/>
      <c r="AH12" s="175"/>
      <c r="AI12" s="159"/>
      <c r="AJ12" s="167"/>
      <c r="AK12" s="158"/>
      <c r="AL12" s="158"/>
      <c r="AM12" s="158"/>
      <c r="AN12" s="158"/>
      <c r="AO12" s="158"/>
      <c r="AP12" s="175"/>
      <c r="AQ12" s="159"/>
      <c r="AR12" s="167"/>
      <c r="AS12" s="158"/>
      <c r="AT12" s="158"/>
      <c r="AU12" s="158"/>
      <c r="AV12" s="158"/>
      <c r="AW12" s="300"/>
      <c r="AX12" s="175"/>
      <c r="AY12" s="301"/>
      <c r="AZ12" s="167"/>
      <c r="BA12" s="300"/>
      <c r="BB12" s="300"/>
      <c r="BC12" s="300"/>
      <c r="BD12" s="300"/>
      <c r="BE12" s="300"/>
      <c r="BF12" s="175"/>
      <c r="BG12" s="301"/>
      <c r="BH12" s="167"/>
      <c r="BI12" s="300"/>
      <c r="BJ12" s="300"/>
      <c r="BK12" s="300"/>
      <c r="BL12" s="300"/>
      <c r="BM12" s="385">
        <v>0.77</v>
      </c>
      <c r="BN12" s="385" t="s">
        <v>912</v>
      </c>
      <c r="BO12" s="386"/>
      <c r="BP12" s="387" t="s">
        <v>914</v>
      </c>
      <c r="BQ12" s="300"/>
      <c r="BR12" s="300"/>
      <c r="BS12" s="300"/>
      <c r="BT12" s="300"/>
      <c r="BU12" s="88"/>
      <c r="BV12" s="88"/>
      <c r="BW12" s="88"/>
      <c r="BX12" s="88"/>
      <c r="BY12" s="88"/>
      <c r="BZ12" s="88"/>
      <c r="CA12" s="88"/>
      <c r="CB12" s="88"/>
      <c r="CC12" s="88"/>
      <c r="CD12" s="88"/>
      <c r="CE12" s="88"/>
      <c r="CF12" s="88"/>
      <c r="CG12" s="88"/>
      <c r="CH12" s="88"/>
      <c r="CI12" s="88"/>
      <c r="CJ12" s="88"/>
      <c r="CK12" s="88"/>
      <c r="CL12" s="88"/>
      <c r="CM12" s="88"/>
      <c r="CN12" s="88"/>
      <c r="CO12" s="88"/>
      <c r="CP12" s="88"/>
      <c r="CQ12" s="88"/>
      <c r="CR12" s="88"/>
      <c r="CS12" s="88"/>
      <c r="CT12" s="88"/>
      <c r="CU12" s="88"/>
      <c r="CV12" s="88"/>
      <c r="CW12" s="88"/>
      <c r="CX12" s="88"/>
      <c r="CY12" s="88"/>
      <c r="CZ12" s="88"/>
      <c r="DA12" s="88"/>
      <c r="DB12" s="88"/>
      <c r="DC12" s="88"/>
      <c r="DD12" s="88"/>
    </row>
    <row r="13" spans="1:108" s="31" customFormat="1" ht="24" x14ac:dyDescent="0.25">
      <c r="A13" s="707"/>
      <c r="B13" s="707"/>
      <c r="C13" s="707"/>
      <c r="D13" s="707"/>
      <c r="E13" s="837"/>
      <c r="F13" s="707"/>
      <c r="G13" s="948"/>
      <c r="H13" s="950"/>
      <c r="I13" s="940" t="s">
        <v>78</v>
      </c>
      <c r="J13" s="695"/>
      <c r="K13" s="707"/>
      <c r="L13" s="147" t="s">
        <v>475</v>
      </c>
      <c r="M13" s="154" t="s">
        <v>476</v>
      </c>
      <c r="N13" s="148" t="s">
        <v>56</v>
      </c>
      <c r="O13" s="148">
        <v>0</v>
      </c>
      <c r="P13" s="149">
        <v>1</v>
      </c>
      <c r="Q13" s="146"/>
      <c r="R13" s="147"/>
      <c r="S13" s="146"/>
      <c r="T13" s="148"/>
      <c r="U13" s="151"/>
      <c r="V13" s="843"/>
      <c r="W13" s="944"/>
      <c r="X13" s="693"/>
      <c r="Y13" s="162"/>
      <c r="Z13" s="176"/>
      <c r="AA13" s="169"/>
      <c r="AB13" s="177"/>
      <c r="AC13" s="162"/>
      <c r="AD13" s="162"/>
      <c r="AE13" s="162"/>
      <c r="AF13" s="162"/>
      <c r="AG13" s="162"/>
      <c r="AH13" s="176"/>
      <c r="AI13" s="169"/>
      <c r="AJ13" s="177"/>
      <c r="AK13" s="162"/>
      <c r="AL13" s="162"/>
      <c r="AM13" s="162"/>
      <c r="AN13" s="162"/>
      <c r="AO13" s="162"/>
      <c r="AP13" s="176"/>
      <c r="AQ13" s="169"/>
      <c r="AR13" s="177"/>
      <c r="AS13" s="162"/>
      <c r="AT13" s="162"/>
      <c r="AU13" s="162"/>
      <c r="AV13" s="162"/>
      <c r="AW13" s="296"/>
      <c r="AX13" s="176"/>
      <c r="AY13" s="302"/>
      <c r="AZ13" s="177"/>
      <c r="BA13" s="296"/>
      <c r="BB13" s="296"/>
      <c r="BC13" s="296"/>
      <c r="BD13" s="296"/>
      <c r="BE13" s="296"/>
      <c r="BF13" s="176"/>
      <c r="BG13" s="302"/>
      <c r="BH13" s="177"/>
      <c r="BI13" s="296"/>
      <c r="BJ13" s="296"/>
      <c r="BK13" s="296"/>
      <c r="BL13" s="296"/>
      <c r="BM13" s="296"/>
      <c r="BN13" s="176"/>
      <c r="BO13" s="302"/>
      <c r="BP13" s="177"/>
      <c r="BQ13" s="296"/>
      <c r="BR13" s="296"/>
      <c r="BS13" s="296"/>
      <c r="BT13" s="296"/>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row>
    <row r="14" spans="1:108" s="21" customFormat="1" ht="24" x14ac:dyDescent="0.25">
      <c r="A14" s="707"/>
      <c r="B14" s="707"/>
      <c r="C14" s="707"/>
      <c r="D14" s="707"/>
      <c r="E14" s="837"/>
      <c r="F14" s="707"/>
      <c r="G14" s="948"/>
      <c r="H14" s="950"/>
      <c r="I14" s="941"/>
      <c r="J14" s="695"/>
      <c r="K14" s="707"/>
      <c r="L14" s="141" t="s">
        <v>477</v>
      </c>
      <c r="M14" s="141" t="s">
        <v>478</v>
      </c>
      <c r="N14" s="143" t="s">
        <v>74</v>
      </c>
      <c r="O14" s="178">
        <v>0</v>
      </c>
      <c r="P14" s="179">
        <v>1</v>
      </c>
      <c r="Q14" s="142"/>
      <c r="R14" s="141"/>
      <c r="S14" s="142"/>
      <c r="T14" s="143"/>
      <c r="U14" s="174"/>
      <c r="V14" s="843"/>
      <c r="W14" s="944"/>
      <c r="X14" s="693"/>
      <c r="Y14" s="158"/>
      <c r="Z14" s="159"/>
      <c r="AA14" s="159"/>
      <c r="AB14" s="167"/>
      <c r="AC14" s="158"/>
      <c r="AD14" s="158"/>
      <c r="AE14" s="158"/>
      <c r="AF14" s="158"/>
      <c r="AG14" s="158"/>
      <c r="AH14" s="159"/>
      <c r="AI14" s="159"/>
      <c r="AJ14" s="167"/>
      <c r="AK14" s="158"/>
      <c r="AL14" s="158"/>
      <c r="AM14" s="158"/>
      <c r="AN14" s="158"/>
      <c r="AO14" s="158"/>
      <c r="AP14" s="159"/>
      <c r="AQ14" s="159"/>
      <c r="AR14" s="167"/>
      <c r="AS14" s="158"/>
      <c r="AT14" s="158"/>
      <c r="AU14" s="158"/>
      <c r="AV14" s="158"/>
      <c r="AW14" s="300"/>
      <c r="AX14" s="301"/>
      <c r="AY14" s="301"/>
      <c r="AZ14" s="167"/>
      <c r="BA14" s="300"/>
      <c r="BB14" s="300"/>
      <c r="BC14" s="300"/>
      <c r="BD14" s="300"/>
      <c r="BE14" s="300"/>
      <c r="BF14" s="301"/>
      <c r="BG14" s="301"/>
      <c r="BH14" s="167"/>
      <c r="BI14" s="300"/>
      <c r="BJ14" s="300"/>
      <c r="BK14" s="300"/>
      <c r="BL14" s="300"/>
      <c r="BM14" s="300"/>
      <c r="BN14" s="301"/>
      <c r="BO14" s="301"/>
      <c r="BP14" s="167"/>
      <c r="BQ14" s="300"/>
      <c r="BR14" s="300"/>
      <c r="BS14" s="300"/>
      <c r="BT14" s="300"/>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row>
    <row r="15" spans="1:108" s="31" customFormat="1" ht="24" x14ac:dyDescent="0.25">
      <c r="A15" s="707"/>
      <c r="B15" s="707"/>
      <c r="C15" s="707"/>
      <c r="D15" s="707"/>
      <c r="E15" s="837"/>
      <c r="F15" s="707"/>
      <c r="G15" s="948"/>
      <c r="H15" s="950"/>
      <c r="I15" s="941"/>
      <c r="J15" s="695"/>
      <c r="K15" s="707"/>
      <c r="L15" s="147" t="s">
        <v>479</v>
      </c>
      <c r="M15" s="154" t="s">
        <v>480</v>
      </c>
      <c r="N15" s="148" t="s">
        <v>74</v>
      </c>
      <c r="O15" s="152">
        <v>0</v>
      </c>
      <c r="P15" s="153">
        <v>1</v>
      </c>
      <c r="Q15" s="146"/>
      <c r="R15" s="147"/>
      <c r="S15" s="146"/>
      <c r="T15" s="148"/>
      <c r="U15" s="151"/>
      <c r="V15" s="843"/>
      <c r="W15" s="944"/>
      <c r="X15" s="693"/>
      <c r="Y15" s="162"/>
      <c r="Z15" s="169"/>
      <c r="AA15" s="169"/>
      <c r="AB15" s="177"/>
      <c r="AC15" s="162"/>
      <c r="AD15" s="162"/>
      <c r="AE15" s="162"/>
      <c r="AF15" s="162"/>
      <c r="AG15" s="162"/>
      <c r="AH15" s="169"/>
      <c r="AI15" s="169"/>
      <c r="AJ15" s="177"/>
      <c r="AK15" s="162"/>
      <c r="AL15" s="162"/>
      <c r="AM15" s="162"/>
      <c r="AN15" s="162"/>
      <c r="AO15" s="162"/>
      <c r="AP15" s="169"/>
      <c r="AQ15" s="169"/>
      <c r="AR15" s="177"/>
      <c r="AS15" s="162"/>
      <c r="AT15" s="162"/>
      <c r="AU15" s="162"/>
      <c r="AV15" s="162"/>
      <c r="AW15" s="296"/>
      <c r="AX15" s="302"/>
      <c r="AY15" s="302"/>
      <c r="AZ15" s="177"/>
      <c r="BA15" s="296"/>
      <c r="BB15" s="296"/>
      <c r="BC15" s="296"/>
      <c r="BD15" s="296"/>
      <c r="BE15" s="296"/>
      <c r="BF15" s="302"/>
      <c r="BG15" s="302"/>
      <c r="BH15" s="177"/>
      <c r="BI15" s="296"/>
      <c r="BJ15" s="296"/>
      <c r="BK15" s="296"/>
      <c r="BL15" s="296"/>
      <c r="BM15" s="296"/>
      <c r="BN15" s="302"/>
      <c r="BO15" s="302"/>
      <c r="BP15" s="177"/>
      <c r="BQ15" s="296"/>
      <c r="BR15" s="296"/>
      <c r="BS15" s="296"/>
      <c r="BT15" s="296"/>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row>
    <row r="16" spans="1:108" s="31" customFormat="1" ht="24" x14ac:dyDescent="0.25">
      <c r="A16" s="707"/>
      <c r="B16" s="707"/>
      <c r="C16" s="707"/>
      <c r="D16" s="707"/>
      <c r="E16" s="837"/>
      <c r="F16" s="707"/>
      <c r="G16" s="948"/>
      <c r="H16" s="950"/>
      <c r="I16" s="941"/>
      <c r="J16" s="695"/>
      <c r="K16" s="707"/>
      <c r="L16" s="141" t="s">
        <v>481</v>
      </c>
      <c r="M16" s="155" t="s">
        <v>482</v>
      </c>
      <c r="N16" s="143" t="s">
        <v>74</v>
      </c>
      <c r="O16" s="178">
        <v>0</v>
      </c>
      <c r="P16" s="179">
        <v>1</v>
      </c>
      <c r="Q16" s="142"/>
      <c r="R16" s="141"/>
      <c r="S16" s="142"/>
      <c r="T16" s="143"/>
      <c r="U16" s="174"/>
      <c r="V16" s="843"/>
      <c r="W16" s="944"/>
      <c r="X16" s="693"/>
      <c r="Y16" s="158"/>
      <c r="Z16" s="159"/>
      <c r="AA16" s="159"/>
      <c r="AB16" s="167"/>
      <c r="AC16" s="158"/>
      <c r="AD16" s="158"/>
      <c r="AE16" s="158"/>
      <c r="AF16" s="158"/>
      <c r="AG16" s="158"/>
      <c r="AH16" s="159"/>
      <c r="AI16" s="159"/>
      <c r="AJ16" s="167"/>
      <c r="AK16" s="158"/>
      <c r="AL16" s="158"/>
      <c r="AM16" s="158"/>
      <c r="AN16" s="158"/>
      <c r="AO16" s="158"/>
      <c r="AP16" s="159"/>
      <c r="AQ16" s="159"/>
      <c r="AR16" s="167"/>
      <c r="AS16" s="158"/>
      <c r="AT16" s="158"/>
      <c r="AU16" s="158"/>
      <c r="AV16" s="158"/>
      <c r="AW16" s="300"/>
      <c r="AX16" s="301"/>
      <c r="AY16" s="301"/>
      <c r="AZ16" s="167"/>
      <c r="BA16" s="300"/>
      <c r="BB16" s="300"/>
      <c r="BC16" s="300"/>
      <c r="BD16" s="300"/>
      <c r="BE16" s="300"/>
      <c r="BF16" s="301"/>
      <c r="BG16" s="301"/>
      <c r="BH16" s="167"/>
      <c r="BI16" s="300"/>
      <c r="BJ16" s="300"/>
      <c r="BK16" s="300"/>
      <c r="BL16" s="300"/>
      <c r="BM16" s="300"/>
      <c r="BN16" s="301"/>
      <c r="BO16" s="301"/>
      <c r="BP16" s="167"/>
      <c r="BQ16" s="300"/>
      <c r="BR16" s="300"/>
      <c r="BS16" s="300"/>
      <c r="BT16" s="300"/>
      <c r="BU16" s="88"/>
      <c r="BV16" s="88"/>
      <c r="BW16" s="88"/>
      <c r="BX16" s="88"/>
      <c r="BY16" s="88"/>
      <c r="BZ16" s="88"/>
      <c r="CA16" s="88"/>
      <c r="CB16" s="88"/>
      <c r="CC16" s="88"/>
      <c r="CD16" s="88"/>
      <c r="CE16" s="88"/>
      <c r="CF16" s="88"/>
      <c r="CG16" s="88"/>
      <c r="CH16" s="88"/>
      <c r="CI16" s="88"/>
      <c r="CJ16" s="88"/>
      <c r="CK16" s="88"/>
      <c r="CL16" s="88"/>
      <c r="CM16" s="88"/>
      <c r="CN16" s="88"/>
      <c r="CO16" s="88"/>
      <c r="CP16" s="88"/>
      <c r="CQ16" s="88"/>
      <c r="CR16" s="88"/>
      <c r="CS16" s="88"/>
      <c r="CT16" s="88"/>
      <c r="CU16" s="88"/>
      <c r="CV16" s="88"/>
      <c r="CW16" s="88"/>
      <c r="CX16" s="88"/>
      <c r="CY16" s="88"/>
      <c r="CZ16" s="88"/>
      <c r="DA16" s="88"/>
      <c r="DB16" s="88"/>
      <c r="DC16" s="88"/>
      <c r="DD16" s="88"/>
    </row>
    <row r="17" spans="1:108" s="31" customFormat="1" ht="36" x14ac:dyDescent="0.25">
      <c r="A17" s="707"/>
      <c r="B17" s="707"/>
      <c r="C17" s="707"/>
      <c r="D17" s="707"/>
      <c r="E17" s="838"/>
      <c r="F17" s="851"/>
      <c r="G17" s="948"/>
      <c r="H17" s="950"/>
      <c r="I17" s="942"/>
      <c r="J17" s="695"/>
      <c r="K17" s="707"/>
      <c r="L17" s="147" t="s">
        <v>483</v>
      </c>
      <c r="M17" s="154" t="s">
        <v>484</v>
      </c>
      <c r="N17" s="148" t="s">
        <v>74</v>
      </c>
      <c r="O17" s="152">
        <v>0</v>
      </c>
      <c r="P17" s="153">
        <v>1</v>
      </c>
      <c r="Q17" s="146"/>
      <c r="R17" s="147"/>
      <c r="S17" s="146"/>
      <c r="T17" s="148"/>
      <c r="U17" s="148"/>
      <c r="V17" s="843"/>
      <c r="W17" s="944"/>
      <c r="X17" s="693"/>
      <c r="Y17" s="162"/>
      <c r="Z17" s="162"/>
      <c r="AA17" s="180"/>
      <c r="AB17" s="181"/>
      <c r="AC17" s="162"/>
      <c r="AD17" s="162"/>
      <c r="AE17" s="162"/>
      <c r="AF17" s="69"/>
      <c r="AG17" s="162"/>
      <c r="AH17" s="162"/>
      <c r="AI17" s="180"/>
      <c r="AJ17" s="181"/>
      <c r="AK17" s="162"/>
      <c r="AL17" s="162"/>
      <c r="AM17" s="162"/>
      <c r="AN17" s="69"/>
      <c r="AO17" s="162"/>
      <c r="AP17" s="162"/>
      <c r="AQ17" s="180"/>
      <c r="AR17" s="181"/>
      <c r="AS17" s="162"/>
      <c r="AT17" s="162"/>
      <c r="AU17" s="162"/>
      <c r="AV17" s="69"/>
      <c r="AW17" s="296"/>
      <c r="AX17" s="296"/>
      <c r="AY17" s="180"/>
      <c r="AZ17" s="181"/>
      <c r="BA17" s="296"/>
      <c r="BB17" s="296"/>
      <c r="BC17" s="296"/>
      <c r="BD17" s="69"/>
      <c r="BE17" s="296"/>
      <c r="BF17" s="296"/>
      <c r="BG17" s="180"/>
      <c r="BH17" s="181"/>
      <c r="BI17" s="296"/>
      <c r="BJ17" s="296"/>
      <c r="BK17" s="296"/>
      <c r="BL17" s="69"/>
      <c r="BM17" s="296"/>
      <c r="BN17" s="296"/>
      <c r="BO17" s="180"/>
      <c r="BP17" s="181"/>
      <c r="BQ17" s="296"/>
      <c r="BR17" s="296"/>
      <c r="BS17" s="296"/>
      <c r="BT17" s="69"/>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row>
    <row r="18" spans="1:108" s="21" customFormat="1" ht="36" x14ac:dyDescent="0.25">
      <c r="A18" s="707"/>
      <c r="B18" s="707"/>
      <c r="C18" s="707"/>
      <c r="D18" s="707"/>
      <c r="E18" s="142" t="s">
        <v>485</v>
      </c>
      <c r="F18" s="141" t="s">
        <v>326</v>
      </c>
      <c r="G18" s="948"/>
      <c r="H18" s="950"/>
      <c r="I18" s="93" t="s">
        <v>78</v>
      </c>
      <c r="J18" s="695"/>
      <c r="K18" s="707"/>
      <c r="L18" s="142" t="s">
        <v>486</v>
      </c>
      <c r="M18" s="155" t="s">
        <v>487</v>
      </c>
      <c r="N18" s="143" t="s">
        <v>74</v>
      </c>
      <c r="O18" s="143">
        <v>50</v>
      </c>
      <c r="P18" s="145">
        <v>0.4</v>
      </c>
      <c r="Q18" s="142"/>
      <c r="R18" s="141"/>
      <c r="S18" s="142"/>
      <c r="T18" s="143"/>
      <c r="U18" s="143"/>
      <c r="V18" s="844"/>
      <c r="W18" s="944"/>
      <c r="X18" s="693"/>
      <c r="Y18" s="182">
        <v>8.0799999999999997E-2</v>
      </c>
      <c r="Z18" s="175">
        <v>0.4</v>
      </c>
      <c r="AA18" s="159"/>
      <c r="AB18" s="183" t="s">
        <v>488</v>
      </c>
      <c r="AF18" s="76"/>
      <c r="AG18" s="182">
        <v>7.3099999999999998E-2</v>
      </c>
      <c r="AH18" s="175">
        <v>0.4</v>
      </c>
      <c r="AI18" s="159"/>
      <c r="AJ18" s="183" t="s">
        <v>489</v>
      </c>
      <c r="AN18" s="76"/>
      <c r="AO18" s="182">
        <v>7.9000000000000001E-2</v>
      </c>
      <c r="AP18" s="175">
        <v>0.4</v>
      </c>
      <c r="AQ18" s="159"/>
      <c r="AR18" s="183" t="s">
        <v>490</v>
      </c>
      <c r="AV18" s="76"/>
      <c r="AW18" s="182">
        <v>8.0799999999999997E-2</v>
      </c>
      <c r="AX18" s="175">
        <v>0.4</v>
      </c>
      <c r="AY18" s="301"/>
      <c r="AZ18" s="183" t="s">
        <v>915</v>
      </c>
      <c r="BD18" s="76"/>
      <c r="BE18" s="166">
        <v>8.2400000000000001E-2</v>
      </c>
      <c r="BF18" s="175">
        <v>0.4</v>
      </c>
      <c r="BG18" s="301"/>
      <c r="BH18" s="183" t="s">
        <v>916</v>
      </c>
      <c r="BL18" s="76"/>
      <c r="BM18" s="166" t="s">
        <v>917</v>
      </c>
      <c r="BN18" s="175">
        <v>0.4</v>
      </c>
      <c r="BO18" s="301"/>
      <c r="BP18" s="183" t="s">
        <v>918</v>
      </c>
      <c r="BT18" s="76"/>
      <c r="BU18" s="88"/>
      <c r="BV18" s="88"/>
      <c r="BW18" s="88"/>
      <c r="BX18" s="88"/>
      <c r="BY18" s="88"/>
      <c r="BZ18" s="88"/>
      <c r="CA18" s="88"/>
      <c r="CB18" s="88"/>
      <c r="CC18" s="88"/>
      <c r="CD18" s="88"/>
      <c r="CE18" s="88"/>
      <c r="CF18" s="88"/>
      <c r="CG18" s="88"/>
      <c r="CH18" s="88"/>
      <c r="CI18" s="88"/>
      <c r="CJ18" s="88"/>
      <c r="CK18" s="88"/>
      <c r="CL18" s="88"/>
      <c r="CM18" s="88"/>
      <c r="CN18" s="88"/>
      <c r="CO18" s="88"/>
      <c r="CP18" s="88"/>
      <c r="CQ18" s="88"/>
      <c r="CR18" s="88"/>
      <c r="CS18" s="88"/>
      <c r="CT18" s="88"/>
      <c r="CU18" s="88"/>
      <c r="CV18" s="88"/>
      <c r="CW18" s="88"/>
      <c r="CX18" s="88"/>
      <c r="CY18" s="88"/>
      <c r="CZ18" s="88"/>
      <c r="DA18" s="88"/>
      <c r="DB18" s="88"/>
      <c r="DC18" s="88"/>
      <c r="DD18" s="88"/>
    </row>
    <row r="19" spans="1:108" s="31" customFormat="1" ht="372" x14ac:dyDescent="0.25">
      <c r="A19" s="707"/>
      <c r="B19" s="707"/>
      <c r="C19" s="707"/>
      <c r="D19" s="707"/>
      <c r="E19" s="142" t="s">
        <v>485</v>
      </c>
      <c r="F19" s="141" t="s">
        <v>326</v>
      </c>
      <c r="G19" s="941"/>
      <c r="H19" s="951"/>
      <c r="I19" s="952"/>
      <c r="J19" s="695"/>
      <c r="K19" s="955" t="s">
        <v>491</v>
      </c>
      <c r="L19" s="933" t="s">
        <v>492</v>
      </c>
      <c r="M19" s="706" t="s">
        <v>492</v>
      </c>
      <c r="N19" s="836" t="s">
        <v>74</v>
      </c>
      <c r="O19" s="836">
        <v>0</v>
      </c>
      <c r="P19" s="839">
        <v>1</v>
      </c>
      <c r="Q19" s="141" t="s">
        <v>493</v>
      </c>
      <c r="R19" s="141" t="s">
        <v>494</v>
      </c>
      <c r="S19" s="142" t="s">
        <v>74</v>
      </c>
      <c r="T19" s="143">
        <v>0</v>
      </c>
      <c r="U19" s="145">
        <v>1</v>
      </c>
      <c r="V19" s="945">
        <v>2431029991</v>
      </c>
      <c r="W19" s="944"/>
      <c r="X19" s="693"/>
      <c r="Y19" s="932">
        <v>9</v>
      </c>
      <c r="Z19" s="928">
        <v>100</v>
      </c>
      <c r="AA19" s="931">
        <f>Y19/Z19</f>
        <v>0.09</v>
      </c>
      <c r="AB19" s="693" t="s">
        <v>495</v>
      </c>
      <c r="AC19" s="184">
        <v>32</v>
      </c>
      <c r="AD19" s="176">
        <v>1</v>
      </c>
      <c r="AE19" s="176">
        <v>0.32</v>
      </c>
      <c r="AF19" s="181" t="s">
        <v>496</v>
      </c>
      <c r="AG19" s="932">
        <v>14</v>
      </c>
      <c r="AH19" s="928">
        <v>100</v>
      </c>
      <c r="AI19" s="931">
        <f>AG19/AH19</f>
        <v>0.14000000000000001</v>
      </c>
      <c r="AJ19" s="693" t="s">
        <v>497</v>
      </c>
      <c r="AK19" s="185"/>
      <c r="AL19" s="176">
        <v>1</v>
      </c>
      <c r="AM19" s="176"/>
      <c r="AN19" s="181"/>
      <c r="AO19" s="932">
        <v>22</v>
      </c>
      <c r="AP19" s="928">
        <v>100</v>
      </c>
      <c r="AQ19" s="931">
        <v>0.22</v>
      </c>
      <c r="AR19" s="693" t="s">
        <v>498</v>
      </c>
      <c r="AS19" s="186">
        <v>0.42</v>
      </c>
      <c r="AT19" s="176">
        <v>1</v>
      </c>
      <c r="AU19" s="176">
        <v>0.42</v>
      </c>
      <c r="AV19" s="181" t="s">
        <v>499</v>
      </c>
      <c r="AW19" s="956">
        <v>29</v>
      </c>
      <c r="AX19" s="928">
        <v>100</v>
      </c>
      <c r="AY19" s="931">
        <v>0.28999999999999998</v>
      </c>
      <c r="AZ19" s="693" t="s">
        <v>919</v>
      </c>
      <c r="BA19" s="388">
        <v>0.51</v>
      </c>
      <c r="BB19" s="176">
        <v>1</v>
      </c>
      <c r="BC19" s="176">
        <v>0.51</v>
      </c>
      <c r="BD19" s="181" t="s">
        <v>920</v>
      </c>
      <c r="BE19" s="181">
        <v>0</v>
      </c>
      <c r="BF19" s="928">
        <v>100</v>
      </c>
      <c r="BG19" s="931">
        <v>0.41</v>
      </c>
      <c r="BH19" s="693" t="s">
        <v>921</v>
      </c>
      <c r="BI19" s="388">
        <v>0.52</v>
      </c>
      <c r="BJ19" s="176">
        <v>1</v>
      </c>
      <c r="BK19" s="176">
        <v>0.52</v>
      </c>
      <c r="BL19" s="181" t="s">
        <v>922</v>
      </c>
      <c r="BM19" s="957">
        <v>0.68</v>
      </c>
      <c r="BN19" s="928">
        <v>100</v>
      </c>
      <c r="BO19" s="931">
        <v>0.68</v>
      </c>
      <c r="BP19" s="693" t="s">
        <v>923</v>
      </c>
      <c r="BQ19" s="388">
        <v>0.54</v>
      </c>
      <c r="BR19" s="176">
        <v>1</v>
      </c>
      <c r="BS19" s="176">
        <v>0.54</v>
      </c>
      <c r="BT19" s="181" t="s">
        <v>924</v>
      </c>
      <c r="BU19" s="88"/>
      <c r="BV19" s="88"/>
      <c r="BW19" s="88"/>
      <c r="BX19" s="88"/>
      <c r="BY19" s="88"/>
      <c r="BZ19" s="88"/>
      <c r="CA19" s="88"/>
      <c r="CB19" s="88"/>
      <c r="CC19" s="88"/>
      <c r="CD19" s="88"/>
      <c r="CE19" s="88"/>
      <c r="CF19" s="88"/>
      <c r="CG19" s="88"/>
      <c r="CH19" s="88"/>
      <c r="CI19" s="88"/>
      <c r="CJ19" s="88"/>
      <c r="CK19" s="88"/>
      <c r="CL19" s="88"/>
      <c r="CM19" s="88"/>
      <c r="CN19" s="88"/>
      <c r="CO19" s="88"/>
      <c r="CP19" s="88"/>
      <c r="CQ19" s="88"/>
      <c r="CR19" s="88"/>
      <c r="CS19" s="88"/>
      <c r="CT19" s="88"/>
      <c r="CU19" s="88"/>
      <c r="CV19" s="88"/>
      <c r="CW19" s="88"/>
      <c r="CX19" s="88"/>
      <c r="CY19" s="88"/>
      <c r="CZ19" s="88"/>
      <c r="DA19" s="88"/>
      <c r="DB19" s="88"/>
      <c r="DC19" s="88"/>
      <c r="DD19" s="88"/>
    </row>
    <row r="20" spans="1:108" s="31" customFormat="1" ht="120" x14ac:dyDescent="0.25">
      <c r="A20" s="707"/>
      <c r="B20" s="707"/>
      <c r="C20" s="707"/>
      <c r="D20" s="707"/>
      <c r="E20" s="168" t="s">
        <v>485</v>
      </c>
      <c r="F20" s="168" t="s">
        <v>326</v>
      </c>
      <c r="G20" s="941"/>
      <c r="H20" s="951"/>
      <c r="I20" s="952"/>
      <c r="J20" s="695"/>
      <c r="K20" s="955"/>
      <c r="L20" s="934"/>
      <c r="M20" s="851"/>
      <c r="N20" s="838"/>
      <c r="O20" s="838"/>
      <c r="P20" s="841"/>
      <c r="Q20" s="168" t="s">
        <v>500</v>
      </c>
      <c r="R20" s="150" t="s">
        <v>501</v>
      </c>
      <c r="S20" s="187" t="s">
        <v>74</v>
      </c>
      <c r="T20" s="152">
        <v>0</v>
      </c>
      <c r="U20" s="153">
        <v>1</v>
      </c>
      <c r="V20" s="946"/>
      <c r="W20" s="944"/>
      <c r="X20" s="693"/>
      <c r="Y20" s="932"/>
      <c r="Z20" s="928"/>
      <c r="AA20" s="931"/>
      <c r="AB20" s="693"/>
      <c r="AC20" s="162">
        <v>0</v>
      </c>
      <c r="AD20" s="162">
        <v>100</v>
      </c>
      <c r="AE20" s="162">
        <f>+AC20/AD20</f>
        <v>0</v>
      </c>
      <c r="AF20" s="24" t="s">
        <v>502</v>
      </c>
      <c r="AG20" s="932"/>
      <c r="AH20" s="928"/>
      <c r="AI20" s="931"/>
      <c r="AJ20" s="693"/>
      <c r="AK20" s="185"/>
      <c r="AL20" s="162">
        <v>100</v>
      </c>
      <c r="AM20" s="185">
        <v>0</v>
      </c>
      <c r="AN20" s="188"/>
      <c r="AO20" s="932"/>
      <c r="AP20" s="928"/>
      <c r="AQ20" s="931"/>
      <c r="AR20" s="693"/>
      <c r="AS20" s="186">
        <v>0</v>
      </c>
      <c r="AT20" s="162">
        <v>100</v>
      </c>
      <c r="AU20" s="185">
        <v>0</v>
      </c>
      <c r="AV20" s="188" t="s">
        <v>503</v>
      </c>
      <c r="AW20" s="956"/>
      <c r="AX20" s="928"/>
      <c r="AY20" s="931"/>
      <c r="AZ20" s="693"/>
      <c r="BA20" s="388">
        <v>0</v>
      </c>
      <c r="BB20" s="296">
        <v>100</v>
      </c>
      <c r="BC20" s="388">
        <v>0</v>
      </c>
      <c r="BD20" s="389" t="s">
        <v>925</v>
      </c>
      <c r="BE20" s="181"/>
      <c r="BF20" s="928"/>
      <c r="BG20" s="931"/>
      <c r="BH20" s="693"/>
      <c r="BI20" s="388">
        <v>0</v>
      </c>
      <c r="BJ20" s="296">
        <v>100</v>
      </c>
      <c r="BK20" s="388">
        <v>0</v>
      </c>
      <c r="BL20" s="389" t="s">
        <v>925</v>
      </c>
      <c r="BM20" s="957"/>
      <c r="BN20" s="928"/>
      <c r="BO20" s="931"/>
      <c r="BP20" s="693"/>
      <c r="BQ20" s="388">
        <v>0</v>
      </c>
      <c r="BR20" s="296">
        <v>100</v>
      </c>
      <c r="BS20" s="388">
        <v>0</v>
      </c>
      <c r="BT20" s="389" t="s">
        <v>926</v>
      </c>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row>
    <row r="21" spans="1:108" s="31" customFormat="1" ht="300" x14ac:dyDescent="0.25">
      <c r="A21" s="707"/>
      <c r="B21" s="707"/>
      <c r="C21" s="707"/>
      <c r="D21" s="707"/>
      <c r="E21" s="168" t="s">
        <v>47</v>
      </c>
      <c r="F21" s="168" t="s">
        <v>504</v>
      </c>
      <c r="G21" s="941"/>
      <c r="H21" s="951"/>
      <c r="I21" s="952"/>
      <c r="J21" s="695"/>
      <c r="K21" s="955"/>
      <c r="L21" s="168" t="s">
        <v>505</v>
      </c>
      <c r="M21" s="150" t="s">
        <v>506</v>
      </c>
      <c r="N21" s="187" t="s">
        <v>56</v>
      </c>
      <c r="O21" s="152">
        <v>0</v>
      </c>
      <c r="P21" s="153">
        <v>1</v>
      </c>
      <c r="Q21" s="146"/>
      <c r="R21" s="147"/>
      <c r="S21" s="147"/>
      <c r="T21" s="148"/>
      <c r="U21" s="148"/>
      <c r="V21" s="946"/>
      <c r="W21" s="944"/>
      <c r="X21" s="693"/>
      <c r="Y21" s="176">
        <v>0.08</v>
      </c>
      <c r="Z21" s="176">
        <v>1</v>
      </c>
      <c r="AA21" s="180">
        <v>0.08</v>
      </c>
      <c r="AB21" s="181" t="s">
        <v>507</v>
      </c>
      <c r="AC21" s="162"/>
      <c r="AD21" s="162"/>
      <c r="AE21" s="162"/>
      <c r="AF21" s="69"/>
      <c r="AG21" s="176">
        <v>0.15</v>
      </c>
      <c r="AH21" s="176">
        <v>1</v>
      </c>
      <c r="AI21" s="180">
        <v>0.15</v>
      </c>
      <c r="AJ21" s="181" t="s">
        <v>508</v>
      </c>
      <c r="AK21" s="162"/>
      <c r="AL21" s="162"/>
      <c r="AM21" s="162"/>
      <c r="AN21" s="69"/>
      <c r="AO21" s="176">
        <v>0.31</v>
      </c>
      <c r="AP21" s="176">
        <v>1</v>
      </c>
      <c r="AQ21" s="180">
        <v>0.31</v>
      </c>
      <c r="AR21" s="181" t="s">
        <v>509</v>
      </c>
      <c r="AS21" s="162"/>
      <c r="AT21" s="162"/>
      <c r="AU21" s="162"/>
      <c r="AV21" s="69"/>
      <c r="AW21" s="176">
        <v>0.36</v>
      </c>
      <c r="AX21" s="176">
        <v>1</v>
      </c>
      <c r="AY21" s="180">
        <v>0.36</v>
      </c>
      <c r="AZ21" s="181" t="s">
        <v>927</v>
      </c>
      <c r="BA21" s="296"/>
      <c r="BB21" s="296"/>
      <c r="BC21" s="296"/>
      <c r="BD21" s="69"/>
      <c r="BE21" s="176">
        <v>0.33</v>
      </c>
      <c r="BF21" s="176">
        <v>1</v>
      </c>
      <c r="BG21" s="180">
        <v>0.33</v>
      </c>
      <c r="BH21" s="181" t="s">
        <v>928</v>
      </c>
      <c r="BI21" s="296"/>
      <c r="BJ21" s="296"/>
      <c r="BK21" s="296"/>
      <c r="BL21" s="69"/>
      <c r="BM21" s="176">
        <v>0.33</v>
      </c>
      <c r="BN21" s="176">
        <v>1</v>
      </c>
      <c r="BO21" s="180">
        <v>0.33</v>
      </c>
      <c r="BP21" s="181" t="s">
        <v>929</v>
      </c>
      <c r="BQ21" s="296"/>
      <c r="BR21" s="296"/>
      <c r="BS21" s="296"/>
      <c r="BT21" s="69"/>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8"/>
      <c r="CV21" s="88"/>
      <c r="CW21" s="88"/>
      <c r="CX21" s="88"/>
      <c r="CY21" s="88"/>
      <c r="CZ21" s="88"/>
      <c r="DA21" s="88"/>
      <c r="DB21" s="88"/>
      <c r="DC21" s="88"/>
      <c r="DD21" s="88"/>
    </row>
    <row r="22" spans="1:108" s="31" customFormat="1" ht="144" x14ac:dyDescent="0.25">
      <c r="A22" s="707"/>
      <c r="B22" s="707"/>
      <c r="C22" s="707"/>
      <c r="D22" s="707"/>
      <c r="E22" s="142" t="s">
        <v>47</v>
      </c>
      <c r="F22" s="141" t="s">
        <v>326</v>
      </c>
      <c r="G22" s="941"/>
      <c r="H22" s="951"/>
      <c r="I22" s="952"/>
      <c r="J22" s="695"/>
      <c r="K22" s="955"/>
      <c r="L22" s="141" t="s">
        <v>510</v>
      </c>
      <c r="M22" s="141" t="s">
        <v>511</v>
      </c>
      <c r="N22" s="142" t="s">
        <v>74</v>
      </c>
      <c r="O22" s="143">
        <v>0</v>
      </c>
      <c r="P22" s="145">
        <v>1</v>
      </c>
      <c r="Q22" s="141"/>
      <c r="R22" s="141"/>
      <c r="S22" s="141"/>
      <c r="T22" s="141"/>
      <c r="U22" s="141"/>
      <c r="V22" s="946"/>
      <c r="W22" s="944"/>
      <c r="X22" s="693"/>
      <c r="Y22" s="175">
        <v>0</v>
      </c>
      <c r="Z22" s="175">
        <v>1</v>
      </c>
      <c r="AA22" s="189">
        <v>0</v>
      </c>
      <c r="AB22" s="183" t="s">
        <v>512</v>
      </c>
      <c r="AC22" s="21"/>
      <c r="AD22" s="21"/>
      <c r="AE22" s="21"/>
      <c r="AF22" s="76"/>
      <c r="AG22" s="175">
        <v>0.33</v>
      </c>
      <c r="AH22" s="175">
        <v>1</v>
      </c>
      <c r="AI22" s="189">
        <v>0.33</v>
      </c>
      <c r="AJ22" s="183" t="s">
        <v>513</v>
      </c>
      <c r="AK22" s="21"/>
      <c r="AL22" s="21"/>
      <c r="AM22" s="21"/>
      <c r="AN22" s="76"/>
      <c r="AO22" s="175">
        <v>0.67</v>
      </c>
      <c r="AP22" s="175">
        <v>1</v>
      </c>
      <c r="AQ22" s="189">
        <v>0.67</v>
      </c>
      <c r="AR22" s="183" t="s">
        <v>514</v>
      </c>
      <c r="AS22" s="21"/>
      <c r="AT22" s="21"/>
      <c r="AU22" s="21"/>
      <c r="AV22" s="76"/>
      <c r="AW22" s="175">
        <v>0.5</v>
      </c>
      <c r="AX22" s="175">
        <v>1</v>
      </c>
      <c r="AY22" s="189">
        <v>0.5</v>
      </c>
      <c r="AZ22" s="183" t="s">
        <v>930</v>
      </c>
      <c r="BA22" s="21"/>
      <c r="BB22" s="21"/>
      <c r="BC22" s="21"/>
      <c r="BD22" s="76"/>
      <c r="BE22" s="175">
        <v>0.5</v>
      </c>
      <c r="BF22" s="175">
        <v>1</v>
      </c>
      <c r="BG22" s="189">
        <v>0.5</v>
      </c>
      <c r="BH22" s="183" t="s">
        <v>931</v>
      </c>
      <c r="BI22" s="21"/>
      <c r="BJ22" s="21"/>
      <c r="BK22" s="21"/>
      <c r="BL22" s="76"/>
      <c r="BM22" s="175">
        <v>0.71</v>
      </c>
      <c r="BN22" s="175">
        <v>1</v>
      </c>
      <c r="BO22" s="189">
        <v>0.71</v>
      </c>
      <c r="BP22" s="183" t="s">
        <v>932</v>
      </c>
      <c r="BQ22" s="21"/>
      <c r="BR22" s="21"/>
      <c r="BS22" s="21"/>
      <c r="BT22" s="76"/>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row>
    <row r="23" spans="1:108" s="31" customFormat="1" ht="108" x14ac:dyDescent="0.25">
      <c r="A23" s="707"/>
      <c r="B23" s="707"/>
      <c r="C23" s="707"/>
      <c r="D23" s="851"/>
      <c r="E23" s="168" t="s">
        <v>71</v>
      </c>
      <c r="F23" s="168" t="s">
        <v>48</v>
      </c>
      <c r="G23" s="941"/>
      <c r="H23" s="951"/>
      <c r="I23" s="952"/>
      <c r="J23" s="695"/>
      <c r="K23" s="955"/>
      <c r="L23" s="926" t="s">
        <v>515</v>
      </c>
      <c r="M23" s="768" t="s">
        <v>516</v>
      </c>
      <c r="N23" s="927" t="s">
        <v>56</v>
      </c>
      <c r="O23" s="927">
        <v>0</v>
      </c>
      <c r="P23" s="929">
        <v>3</v>
      </c>
      <c r="Q23" s="141" t="s">
        <v>517</v>
      </c>
      <c r="R23" s="141" t="s">
        <v>518</v>
      </c>
      <c r="S23" s="142" t="s">
        <v>56</v>
      </c>
      <c r="T23" s="143">
        <v>0</v>
      </c>
      <c r="U23" s="144">
        <v>5</v>
      </c>
      <c r="V23" s="946"/>
      <c r="W23" s="944"/>
      <c r="X23" s="693"/>
      <c r="Y23" s="928">
        <v>0</v>
      </c>
      <c r="Z23" s="928">
        <v>3</v>
      </c>
      <c r="AA23" s="931">
        <v>0</v>
      </c>
      <c r="AB23" s="935" t="s">
        <v>519</v>
      </c>
      <c r="AC23" s="162">
        <v>0</v>
      </c>
      <c r="AD23" s="162">
        <v>5</v>
      </c>
      <c r="AE23" s="162">
        <v>0</v>
      </c>
      <c r="AF23" s="69" t="s">
        <v>520</v>
      </c>
      <c r="AG23" s="928">
        <v>0</v>
      </c>
      <c r="AH23" s="928">
        <v>3</v>
      </c>
      <c r="AI23" s="931">
        <v>0</v>
      </c>
      <c r="AJ23" s="935" t="s">
        <v>521</v>
      </c>
      <c r="AK23" s="162">
        <v>0</v>
      </c>
      <c r="AL23" s="162">
        <v>5</v>
      </c>
      <c r="AM23" s="162">
        <v>0</v>
      </c>
      <c r="AN23" s="69" t="s">
        <v>522</v>
      </c>
      <c r="AO23" s="928">
        <v>0</v>
      </c>
      <c r="AP23" s="928">
        <v>3</v>
      </c>
      <c r="AQ23" s="931">
        <v>0</v>
      </c>
      <c r="AR23" s="935" t="s">
        <v>523</v>
      </c>
      <c r="AS23" s="162">
        <v>0</v>
      </c>
      <c r="AT23" s="162">
        <v>5</v>
      </c>
      <c r="AU23" s="162">
        <v>0</v>
      </c>
      <c r="AV23" s="69" t="s">
        <v>522</v>
      </c>
      <c r="AW23" s="928">
        <v>0</v>
      </c>
      <c r="AX23" s="928">
        <v>3</v>
      </c>
      <c r="AY23" s="931">
        <v>0</v>
      </c>
      <c r="AZ23" s="935" t="s">
        <v>523</v>
      </c>
      <c r="BA23" s="296">
        <v>2</v>
      </c>
      <c r="BB23" s="296">
        <v>5</v>
      </c>
      <c r="BC23" s="296">
        <v>2</v>
      </c>
      <c r="BD23" s="69" t="s">
        <v>933</v>
      </c>
      <c r="BE23" s="928">
        <v>1</v>
      </c>
      <c r="BF23" s="928">
        <v>3</v>
      </c>
      <c r="BG23" s="931">
        <f>BE23/BF23</f>
        <v>0.33333333333333331</v>
      </c>
      <c r="BH23" s="935" t="s">
        <v>523</v>
      </c>
      <c r="BI23" s="296">
        <v>5</v>
      </c>
      <c r="BJ23" s="296">
        <v>5</v>
      </c>
      <c r="BK23" s="296">
        <v>5</v>
      </c>
      <c r="BL23" s="69" t="s">
        <v>934</v>
      </c>
      <c r="BM23" s="928">
        <v>1</v>
      </c>
      <c r="BN23" s="928">
        <v>3</v>
      </c>
      <c r="BO23" s="931">
        <f>BM23/BN23</f>
        <v>0.33333333333333331</v>
      </c>
      <c r="BP23" s="935" t="s">
        <v>523</v>
      </c>
      <c r="BQ23" s="296">
        <v>5</v>
      </c>
      <c r="BR23" s="296">
        <v>5</v>
      </c>
      <c r="BS23" s="296">
        <v>5</v>
      </c>
      <c r="BT23" s="69" t="s">
        <v>934</v>
      </c>
      <c r="BU23" s="88"/>
      <c r="BV23" s="88"/>
      <c r="BW23" s="88"/>
      <c r="BX23" s="88"/>
      <c r="BY23" s="88"/>
      <c r="BZ23" s="88"/>
      <c r="CA23" s="88"/>
      <c r="CB23" s="88"/>
      <c r="CC23" s="88"/>
      <c r="CD23" s="88"/>
      <c r="CE23" s="88"/>
      <c r="CF23" s="88"/>
      <c r="CG23" s="88"/>
      <c r="CH23" s="88"/>
      <c r="CI23" s="88"/>
      <c r="CJ23" s="88"/>
      <c r="CK23" s="88"/>
      <c r="CL23" s="88"/>
      <c r="CM23" s="88"/>
      <c r="CN23" s="88"/>
      <c r="CO23" s="88"/>
      <c r="CP23" s="88"/>
      <c r="CQ23" s="88"/>
      <c r="CR23" s="88"/>
      <c r="CS23" s="88"/>
      <c r="CT23" s="88"/>
      <c r="CU23" s="88"/>
      <c r="CV23" s="88"/>
      <c r="CW23" s="88"/>
      <c r="CX23" s="88"/>
      <c r="CY23" s="88"/>
      <c r="CZ23" s="88"/>
      <c r="DA23" s="88"/>
      <c r="DB23" s="88"/>
      <c r="DC23" s="88"/>
      <c r="DD23" s="88"/>
    </row>
    <row r="24" spans="1:108" s="21" customFormat="1" ht="409.5" x14ac:dyDescent="0.25">
      <c r="A24" s="707"/>
      <c r="B24" s="707"/>
      <c r="C24" s="707"/>
      <c r="D24" s="706" t="s">
        <v>306</v>
      </c>
      <c r="E24" s="142" t="s">
        <v>524</v>
      </c>
      <c r="F24" s="141" t="s">
        <v>525</v>
      </c>
      <c r="G24" s="941"/>
      <c r="H24" s="951"/>
      <c r="I24" s="952"/>
      <c r="J24" s="695"/>
      <c r="K24" s="955"/>
      <c r="L24" s="708"/>
      <c r="M24" s="693"/>
      <c r="N24" s="928"/>
      <c r="O24" s="928"/>
      <c r="P24" s="930"/>
      <c r="Q24" s="168" t="s">
        <v>526</v>
      </c>
      <c r="R24" s="150" t="s">
        <v>527</v>
      </c>
      <c r="S24" s="187" t="s">
        <v>56</v>
      </c>
      <c r="T24" s="152">
        <v>0</v>
      </c>
      <c r="U24" s="190">
        <v>3</v>
      </c>
      <c r="V24" s="946"/>
      <c r="W24" s="944"/>
      <c r="X24" s="693"/>
      <c r="Y24" s="928"/>
      <c r="Z24" s="928"/>
      <c r="AA24" s="931"/>
      <c r="AB24" s="935"/>
      <c r="AC24" s="158">
        <v>0</v>
      </c>
      <c r="AD24" s="158">
        <v>3</v>
      </c>
      <c r="AE24" s="158">
        <v>0</v>
      </c>
      <c r="AF24" s="76" t="s">
        <v>519</v>
      </c>
      <c r="AG24" s="928"/>
      <c r="AH24" s="928"/>
      <c r="AI24" s="931"/>
      <c r="AJ24" s="935"/>
      <c r="AK24" s="158">
        <v>0</v>
      </c>
      <c r="AL24" s="158">
        <v>3</v>
      </c>
      <c r="AM24" s="158">
        <v>0</v>
      </c>
      <c r="AN24" s="76" t="s">
        <v>521</v>
      </c>
      <c r="AO24" s="928"/>
      <c r="AP24" s="928"/>
      <c r="AQ24" s="931"/>
      <c r="AR24" s="935"/>
      <c r="AS24" s="158">
        <v>0</v>
      </c>
      <c r="AT24" s="158">
        <v>3</v>
      </c>
      <c r="AU24" s="158">
        <v>0</v>
      </c>
      <c r="AV24" s="76" t="s">
        <v>523</v>
      </c>
      <c r="AW24" s="928"/>
      <c r="AX24" s="928"/>
      <c r="AY24" s="931"/>
      <c r="AZ24" s="935"/>
      <c r="BA24" s="300">
        <v>0</v>
      </c>
      <c r="BB24" s="300">
        <v>3</v>
      </c>
      <c r="BC24" s="300">
        <v>0</v>
      </c>
      <c r="BD24" s="76" t="s">
        <v>935</v>
      </c>
      <c r="BE24" s="928"/>
      <c r="BF24" s="928"/>
      <c r="BG24" s="931"/>
      <c r="BH24" s="935"/>
      <c r="BI24" s="300">
        <v>1</v>
      </c>
      <c r="BJ24" s="300">
        <v>3</v>
      </c>
      <c r="BK24" s="175">
        <v>0.33</v>
      </c>
      <c r="BL24" s="76" t="s">
        <v>936</v>
      </c>
      <c r="BM24" s="928"/>
      <c r="BN24" s="928"/>
      <c r="BO24" s="931"/>
      <c r="BP24" s="935"/>
      <c r="BQ24" s="300">
        <v>1</v>
      </c>
      <c r="BR24" s="300">
        <v>3</v>
      </c>
      <c r="BS24" s="175">
        <v>0.33</v>
      </c>
      <c r="BT24" s="76" t="s">
        <v>937</v>
      </c>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88"/>
      <c r="DA24" s="88"/>
      <c r="DB24" s="88"/>
      <c r="DC24" s="88"/>
      <c r="DD24" s="88"/>
    </row>
    <row r="25" spans="1:108" s="31" customFormat="1" ht="288" x14ac:dyDescent="0.25">
      <c r="A25" s="707"/>
      <c r="B25" s="707"/>
      <c r="C25" s="707"/>
      <c r="D25" s="707"/>
      <c r="E25" s="168" t="s">
        <v>71</v>
      </c>
      <c r="F25" s="168" t="s">
        <v>48</v>
      </c>
      <c r="G25" s="941"/>
      <c r="H25" s="951"/>
      <c r="I25" s="952"/>
      <c r="J25" s="695"/>
      <c r="K25" s="955"/>
      <c r="L25" s="708"/>
      <c r="M25" s="693"/>
      <c r="N25" s="928"/>
      <c r="O25" s="928"/>
      <c r="P25" s="930"/>
      <c r="Q25" s="141" t="s">
        <v>528</v>
      </c>
      <c r="R25" s="141" t="s">
        <v>529</v>
      </c>
      <c r="S25" s="142" t="s">
        <v>56</v>
      </c>
      <c r="T25" s="143">
        <v>0</v>
      </c>
      <c r="U25" s="144">
        <v>3</v>
      </c>
      <c r="V25" s="946"/>
      <c r="W25" s="944"/>
      <c r="X25" s="693"/>
      <c r="Y25" s="928"/>
      <c r="Z25" s="928"/>
      <c r="AA25" s="931"/>
      <c r="AB25" s="935"/>
      <c r="AC25" s="31">
        <v>0</v>
      </c>
      <c r="AD25" s="191">
        <v>3</v>
      </c>
      <c r="AE25" s="31">
        <v>0</v>
      </c>
      <c r="AF25" s="69" t="s">
        <v>530</v>
      </c>
      <c r="AG25" s="928"/>
      <c r="AH25" s="928"/>
      <c r="AI25" s="931"/>
      <c r="AJ25" s="935"/>
      <c r="AK25" s="31">
        <v>0</v>
      </c>
      <c r="AL25" s="191">
        <v>3</v>
      </c>
      <c r="AM25" s="31">
        <v>0</v>
      </c>
      <c r="AN25" s="69" t="s">
        <v>531</v>
      </c>
      <c r="AO25" s="928"/>
      <c r="AP25" s="928"/>
      <c r="AQ25" s="931"/>
      <c r="AR25" s="935"/>
      <c r="AS25" s="31">
        <v>0</v>
      </c>
      <c r="AT25" s="191">
        <v>3</v>
      </c>
      <c r="AU25" s="31">
        <v>0</v>
      </c>
      <c r="AV25" s="69" t="s">
        <v>532</v>
      </c>
      <c r="AW25" s="928"/>
      <c r="AX25" s="928"/>
      <c r="AY25" s="931"/>
      <c r="AZ25" s="935"/>
      <c r="BA25" s="31">
        <v>1</v>
      </c>
      <c r="BB25" s="191">
        <v>3</v>
      </c>
      <c r="BC25" s="31">
        <v>1</v>
      </c>
      <c r="BD25" s="69" t="s">
        <v>938</v>
      </c>
      <c r="BE25" s="928"/>
      <c r="BF25" s="928"/>
      <c r="BG25" s="931"/>
      <c r="BH25" s="935"/>
      <c r="BI25" s="31">
        <v>1</v>
      </c>
      <c r="BJ25" s="191">
        <v>3</v>
      </c>
      <c r="BK25" s="31">
        <v>1</v>
      </c>
      <c r="BL25" s="69" t="s">
        <v>939</v>
      </c>
      <c r="BM25" s="928"/>
      <c r="BN25" s="928"/>
      <c r="BO25" s="931"/>
      <c r="BP25" s="935"/>
      <c r="BQ25" s="31">
        <v>1</v>
      </c>
      <c r="BR25" s="191">
        <v>3</v>
      </c>
      <c r="BS25" s="31">
        <v>1</v>
      </c>
      <c r="BT25" s="69" t="s">
        <v>940</v>
      </c>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row>
    <row r="26" spans="1:108" ht="12" x14ac:dyDescent="0.25">
      <c r="P26" s="192"/>
    </row>
    <row r="27" spans="1:108" ht="51.75" customHeight="1" x14ac:dyDescent="0.25">
      <c r="AO27" s="657" t="s">
        <v>433</v>
      </c>
      <c r="AP27" s="657"/>
      <c r="AQ27" s="55">
        <v>0.24</v>
      </c>
      <c r="AS27" s="657" t="s">
        <v>434</v>
      </c>
      <c r="AT27" s="657"/>
      <c r="AU27" s="55">
        <v>0.13800000000000001</v>
      </c>
      <c r="BM27" s="657" t="s">
        <v>433</v>
      </c>
      <c r="BN27" s="657"/>
      <c r="BO27" s="55">
        <v>0.53700000000000003</v>
      </c>
      <c r="BQ27" s="657" t="s">
        <v>434</v>
      </c>
      <c r="BR27" s="657"/>
      <c r="BS27" s="55">
        <v>0.38100000000000001</v>
      </c>
    </row>
  </sheetData>
  <sheetProtection algorithmName="SHA-512" hashValue="dfYHW9FAnjvOf6moKpDsdrTIvr1Q7jKnEnhdTmrV7E5isika1wNa6RI2lh2krEbg8AXLQ64SUekHKNjhd8FEvQ==" saltValue="W2f5y7Utex8TJX6zhRWu6A==" spinCount="100000" sheet="1" objects="1" scenarios="1" selectLockedCells="1" selectUnlockedCells="1"/>
  <mergeCells count="167">
    <mergeCell ref="BM27:BN27"/>
    <mergeCell ref="BQ27:BR27"/>
    <mergeCell ref="BO19:BO20"/>
    <mergeCell ref="BP19:BP20"/>
    <mergeCell ref="AW23:AW25"/>
    <mergeCell ref="AX23:AX25"/>
    <mergeCell ref="AY23:AY25"/>
    <mergeCell ref="AZ23:AZ25"/>
    <mergeCell ref="BE23:BE25"/>
    <mergeCell ref="BF23:BF25"/>
    <mergeCell ref="BG23:BG25"/>
    <mergeCell ref="BH23:BH25"/>
    <mergeCell ref="BM23:BM25"/>
    <mergeCell ref="BN23:BN25"/>
    <mergeCell ref="BO23:BO25"/>
    <mergeCell ref="BP23:BP25"/>
    <mergeCell ref="AW19:AW20"/>
    <mergeCell ref="AX19:AX20"/>
    <mergeCell ref="AY19:AY20"/>
    <mergeCell ref="AZ19:AZ20"/>
    <mergeCell ref="BF19:BF20"/>
    <mergeCell ref="BG19:BG20"/>
    <mergeCell ref="BH19:BH20"/>
    <mergeCell ref="BM19:BM20"/>
    <mergeCell ref="BN19:BN20"/>
    <mergeCell ref="BN7:BN8"/>
    <mergeCell ref="BO7:BO8"/>
    <mergeCell ref="BP7:BP8"/>
    <mergeCell ref="AW9:AW10"/>
    <mergeCell ref="AX9:AX10"/>
    <mergeCell ref="AY9:AY10"/>
    <mergeCell ref="AZ9:AZ10"/>
    <mergeCell ref="BE9:BE10"/>
    <mergeCell ref="BF9:BF10"/>
    <mergeCell ref="BG9:BG10"/>
    <mergeCell ref="BH9:BH10"/>
    <mergeCell ref="BM9:BM10"/>
    <mergeCell ref="BN9:BN10"/>
    <mergeCell ref="BO9:BO10"/>
    <mergeCell ref="BP9:BP10"/>
    <mergeCell ref="AW7:AW8"/>
    <mergeCell ref="AX7:AX8"/>
    <mergeCell ref="AY7:AY8"/>
    <mergeCell ref="AZ7:AZ8"/>
    <mergeCell ref="BE7:BE8"/>
    <mergeCell ref="BF7:BF8"/>
    <mergeCell ref="BG7:BG8"/>
    <mergeCell ref="BH7:BH8"/>
    <mergeCell ref="BM7:BM8"/>
    <mergeCell ref="AW4:BD4"/>
    <mergeCell ref="BE4:BL4"/>
    <mergeCell ref="BM4:BT4"/>
    <mergeCell ref="AW5:AZ5"/>
    <mergeCell ref="BA5:BD5"/>
    <mergeCell ref="BE5:BH5"/>
    <mergeCell ref="BI5:BL5"/>
    <mergeCell ref="BM5:BP5"/>
    <mergeCell ref="BQ5:BT5"/>
    <mergeCell ref="C1:X3"/>
    <mergeCell ref="A4:K4"/>
    <mergeCell ref="L4:P5"/>
    <mergeCell ref="Q4:U5"/>
    <mergeCell ref="V4:W5"/>
    <mergeCell ref="X4:X5"/>
    <mergeCell ref="AS27:AT27"/>
    <mergeCell ref="AO27:AP27"/>
    <mergeCell ref="Y4:AF4"/>
    <mergeCell ref="AG4:AN4"/>
    <mergeCell ref="AO4:AV4"/>
    <mergeCell ref="A5:C5"/>
    <mergeCell ref="E5:F5"/>
    <mergeCell ref="G5:I5"/>
    <mergeCell ref="J5:J6"/>
    <mergeCell ref="K5:K6"/>
    <mergeCell ref="Y5:AB5"/>
    <mergeCell ref="AC5:AF5"/>
    <mergeCell ref="AG5:AJ5"/>
    <mergeCell ref="AK5:AN5"/>
    <mergeCell ref="AO5:AR5"/>
    <mergeCell ref="AS5:AV5"/>
    <mergeCell ref="A7:A25"/>
    <mergeCell ref="B7:B25"/>
    <mergeCell ref="C7:C25"/>
    <mergeCell ref="D7:D23"/>
    <mergeCell ref="E7:E17"/>
    <mergeCell ref="F7:F17"/>
    <mergeCell ref="G7:G18"/>
    <mergeCell ref="H7:H18"/>
    <mergeCell ref="I7:I8"/>
    <mergeCell ref="J7:J25"/>
    <mergeCell ref="K7:K18"/>
    <mergeCell ref="D24:D25"/>
    <mergeCell ref="G19:G25"/>
    <mergeCell ref="H19:H25"/>
    <mergeCell ref="I19:I25"/>
    <mergeCell ref="I11:I12"/>
    <mergeCell ref="K19:K25"/>
    <mergeCell ref="Z7:Z8"/>
    <mergeCell ref="AA7:AA8"/>
    <mergeCell ref="AB7:AB8"/>
    <mergeCell ref="AG7:AG8"/>
    <mergeCell ref="Y19:Y20"/>
    <mergeCell ref="Z19:Z20"/>
    <mergeCell ref="AA19:AA20"/>
    <mergeCell ref="AB19:AB20"/>
    <mergeCell ref="M7:M8"/>
    <mergeCell ref="N7:N8"/>
    <mergeCell ref="O7:O8"/>
    <mergeCell ref="P7:P8"/>
    <mergeCell ref="V7:V18"/>
    <mergeCell ref="W7:W25"/>
    <mergeCell ref="V19:V25"/>
    <mergeCell ref="AB23:AB25"/>
    <mergeCell ref="AG23:AG25"/>
    <mergeCell ref="AR7:AR8"/>
    <mergeCell ref="I9:I10"/>
    <mergeCell ref="L9:L10"/>
    <mergeCell ref="M9:M10"/>
    <mergeCell ref="N9:N10"/>
    <mergeCell ref="O9:O10"/>
    <mergeCell ref="P9:P10"/>
    <mergeCell ref="AG9:AG10"/>
    <mergeCell ref="AH9:AH10"/>
    <mergeCell ref="AI9:AI10"/>
    <mergeCell ref="AH7:AH8"/>
    <mergeCell ref="AI7:AI8"/>
    <mergeCell ref="AJ7:AJ8"/>
    <mergeCell ref="AO7:AO8"/>
    <mergeCell ref="AP7:AP8"/>
    <mergeCell ref="AQ7:AQ8"/>
    <mergeCell ref="X7:X25"/>
    <mergeCell ref="Y7:Y8"/>
    <mergeCell ref="L7:L8"/>
    <mergeCell ref="I13:I17"/>
    <mergeCell ref="O19:O20"/>
    <mergeCell ref="P19:P20"/>
    <mergeCell ref="AP23:AP25"/>
    <mergeCell ref="AQ23:AQ25"/>
    <mergeCell ref="AR23:AR25"/>
    <mergeCell ref="AJ9:AJ10"/>
    <mergeCell ref="AO9:AO10"/>
    <mergeCell ref="AP9:AP10"/>
    <mergeCell ref="AQ9:AQ10"/>
    <mergeCell ref="AR9:AR10"/>
    <mergeCell ref="AH23:AH25"/>
    <mergeCell ref="AI23:AI25"/>
    <mergeCell ref="AJ23:AJ25"/>
    <mergeCell ref="AO23:AO25"/>
    <mergeCell ref="AQ19:AQ20"/>
    <mergeCell ref="AR19:AR20"/>
    <mergeCell ref="AH19:AH20"/>
    <mergeCell ref="AI19:AI20"/>
    <mergeCell ref="AJ19:AJ20"/>
    <mergeCell ref="AO19:AO20"/>
    <mergeCell ref="AP19:AP20"/>
    <mergeCell ref="L23:L25"/>
    <mergeCell ref="M23:M25"/>
    <mergeCell ref="N23:N25"/>
    <mergeCell ref="O23:O25"/>
    <mergeCell ref="P23:P25"/>
    <mergeCell ref="Y23:Y25"/>
    <mergeCell ref="Z23:Z25"/>
    <mergeCell ref="AA23:AA25"/>
    <mergeCell ref="AG19:AG20"/>
    <mergeCell ref="L19:L20"/>
    <mergeCell ref="M19:M20"/>
    <mergeCell ref="N19:N20"/>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sheetPr>
  <dimension ref="A1:BT18"/>
  <sheetViews>
    <sheetView topLeftCell="BQ1" zoomScaleNormal="100" workbookViewId="0">
      <selection activeCell="BT8" sqref="BT8"/>
    </sheetView>
  </sheetViews>
  <sheetFormatPr baseColWidth="10" defaultColWidth="11.42578125" defaultRowHeight="15" x14ac:dyDescent="0.25"/>
  <cols>
    <col min="1" max="1" width="15.5703125" customWidth="1"/>
    <col min="2" max="2" width="17.28515625" customWidth="1"/>
    <col min="3" max="3" width="20.85546875" customWidth="1"/>
    <col min="4" max="4" width="20.5703125" customWidth="1"/>
    <col min="5" max="5" width="17.140625" customWidth="1"/>
    <col min="6" max="6" width="18" customWidth="1"/>
    <col min="7" max="7" width="18.85546875" customWidth="1"/>
    <col min="8" max="8" width="16" customWidth="1"/>
    <col min="9" max="9" width="13.85546875" customWidth="1"/>
    <col min="10" max="10" width="15.140625" customWidth="1"/>
    <col min="11" max="11" width="13.7109375" customWidth="1"/>
    <col min="12" max="12" width="23.28515625" customWidth="1"/>
    <col min="13" max="13" width="19.28515625" customWidth="1"/>
    <col min="17" max="17" width="21.42578125" customWidth="1"/>
    <col min="18" max="18" width="16.85546875" customWidth="1"/>
    <col min="20" max="20" width="18.5703125" bestFit="1" customWidth="1"/>
    <col min="22" max="22" width="17" customWidth="1"/>
    <col min="23" max="24" width="20.85546875" customWidth="1"/>
    <col min="25" max="25" width="15.5703125" customWidth="1"/>
    <col min="26" max="26" width="15.7109375" customWidth="1"/>
    <col min="28" max="28" width="36.85546875" customWidth="1"/>
    <col min="29" max="29" width="15.85546875" customWidth="1"/>
    <col min="30" max="30" width="16.85546875" customWidth="1"/>
    <col min="32" max="32" width="53" customWidth="1"/>
    <col min="33" max="34" width="15.140625" customWidth="1"/>
    <col min="35" max="35" width="15.42578125" customWidth="1"/>
    <col min="36" max="36" width="40.85546875" customWidth="1"/>
    <col min="37" max="37" width="15.28515625" bestFit="1" customWidth="1"/>
    <col min="38" max="38" width="18.5703125" bestFit="1" customWidth="1"/>
    <col min="39" max="39" width="14.140625" customWidth="1"/>
    <col min="40" max="40" width="44.140625" customWidth="1"/>
    <col min="41" max="41" width="18.5703125" customWidth="1"/>
    <col min="42" max="42" width="16.42578125" customWidth="1"/>
    <col min="44" max="44" width="42.5703125" customWidth="1"/>
    <col min="45" max="45" width="20.28515625" customWidth="1"/>
    <col min="46" max="46" width="18.140625" customWidth="1"/>
    <col min="48" max="48" width="48" customWidth="1"/>
    <col min="49" max="49" width="13.140625" style="292" bestFit="1" customWidth="1"/>
    <col min="50" max="50" width="18.140625" style="292" bestFit="1" customWidth="1"/>
    <col min="51" max="51" width="11" style="292" bestFit="1" customWidth="1"/>
    <col min="52" max="52" width="66.7109375" style="292" bestFit="1" customWidth="1"/>
    <col min="53" max="53" width="17.140625" style="292" bestFit="1" customWidth="1"/>
    <col min="54" max="54" width="18.140625" style="292" bestFit="1" customWidth="1"/>
    <col min="55" max="55" width="11" style="292" bestFit="1" customWidth="1"/>
    <col min="56" max="56" width="47" style="292" bestFit="1" customWidth="1"/>
    <col min="57" max="57" width="13.140625" style="292" bestFit="1" customWidth="1"/>
    <col min="58" max="58" width="18.140625" style="292" bestFit="1" customWidth="1"/>
    <col min="59" max="59" width="11" style="292" bestFit="1" customWidth="1"/>
    <col min="60" max="60" width="66.7109375" style="292" bestFit="1" customWidth="1"/>
    <col min="61" max="61" width="17.140625" style="292" bestFit="1" customWidth="1"/>
    <col min="62" max="62" width="18.140625" style="292" bestFit="1" customWidth="1"/>
    <col min="63" max="63" width="11" style="292" bestFit="1" customWidth="1"/>
    <col min="64" max="64" width="178" style="292" bestFit="1" customWidth="1"/>
    <col min="65" max="65" width="13.140625" style="292" bestFit="1" customWidth="1"/>
    <col min="66" max="66" width="18.140625" style="292" bestFit="1" customWidth="1"/>
    <col min="67" max="67" width="11" style="292" bestFit="1" customWidth="1"/>
    <col min="68" max="68" width="66.7109375" style="292" bestFit="1" customWidth="1"/>
    <col min="69" max="69" width="17.140625" style="292" bestFit="1" customWidth="1"/>
    <col min="70" max="70" width="18.140625" bestFit="1" customWidth="1"/>
    <col min="71" max="71" width="11" bestFit="1" customWidth="1"/>
    <col min="72" max="72" width="47.28515625" bestFit="1" customWidth="1"/>
  </cols>
  <sheetData>
    <row r="1" spans="1:72" s="1" customFormat="1" ht="15.75" x14ac:dyDescent="0.25">
      <c r="C1" s="769" t="s">
        <v>0</v>
      </c>
      <c r="D1" s="769"/>
      <c r="E1" s="769"/>
      <c r="F1" s="769"/>
      <c r="G1" s="769"/>
      <c r="H1" s="769"/>
      <c r="I1" s="769"/>
      <c r="J1" s="769"/>
      <c r="K1" s="769"/>
      <c r="L1" s="769"/>
      <c r="M1" s="769"/>
      <c r="N1" s="769"/>
      <c r="O1" s="769"/>
      <c r="P1" s="769"/>
      <c r="Q1" s="769"/>
      <c r="R1" s="769"/>
      <c r="S1" s="769"/>
      <c r="T1" s="769"/>
      <c r="U1" s="769"/>
      <c r="V1" s="769"/>
      <c r="W1" s="769"/>
      <c r="X1" s="769"/>
      <c r="AE1" s="2"/>
      <c r="AF1" s="3"/>
      <c r="AM1" s="2"/>
      <c r="AN1" s="3"/>
      <c r="AU1" s="4" t="s">
        <v>1</v>
      </c>
      <c r="AV1" s="5">
        <v>43458</v>
      </c>
    </row>
    <row r="2" spans="1:72" s="1" customFormat="1" ht="30" customHeight="1" x14ac:dyDescent="0.25">
      <c r="C2" s="769"/>
      <c r="D2" s="769"/>
      <c r="E2" s="769"/>
      <c r="F2" s="769"/>
      <c r="G2" s="769"/>
      <c r="H2" s="769"/>
      <c r="I2" s="769"/>
      <c r="J2" s="769"/>
      <c r="K2" s="769"/>
      <c r="L2" s="769"/>
      <c r="M2" s="769"/>
      <c r="N2" s="769"/>
      <c r="O2" s="769"/>
      <c r="P2" s="769"/>
      <c r="Q2" s="769"/>
      <c r="R2" s="769"/>
      <c r="S2" s="769"/>
      <c r="T2" s="769"/>
      <c r="U2" s="769"/>
      <c r="V2" s="769"/>
      <c r="W2" s="769"/>
      <c r="X2" s="769"/>
      <c r="AE2" s="2"/>
      <c r="AF2" s="2"/>
      <c r="AM2" s="2"/>
      <c r="AN2" s="2"/>
      <c r="AU2" s="4" t="s">
        <v>2</v>
      </c>
      <c r="AV2" s="4">
        <v>5</v>
      </c>
    </row>
    <row r="3" spans="1:72" s="1" customFormat="1" ht="29.25" customHeight="1" thickBot="1" x14ac:dyDescent="0.3">
      <c r="C3" s="769"/>
      <c r="D3" s="769"/>
      <c r="E3" s="769"/>
      <c r="F3" s="769"/>
      <c r="G3" s="769"/>
      <c r="H3" s="769"/>
      <c r="I3" s="769"/>
      <c r="J3" s="769"/>
      <c r="K3" s="769"/>
      <c r="L3" s="769"/>
      <c r="M3" s="769"/>
      <c r="N3" s="769"/>
      <c r="O3" s="769"/>
      <c r="P3" s="769"/>
      <c r="Q3" s="769"/>
      <c r="R3" s="769"/>
      <c r="S3" s="769"/>
      <c r="T3" s="769"/>
      <c r="U3" s="769"/>
      <c r="V3" s="769"/>
      <c r="W3" s="769"/>
      <c r="X3" s="769"/>
      <c r="AE3" s="2"/>
      <c r="AF3" s="2"/>
      <c r="AM3" s="2"/>
      <c r="AN3" s="2"/>
      <c r="AU3" s="4" t="s">
        <v>3</v>
      </c>
      <c r="AV3" s="4" t="s">
        <v>4</v>
      </c>
    </row>
    <row r="4" spans="1:72" s="195" customFormat="1" x14ac:dyDescent="0.25">
      <c r="A4" s="815" t="s">
        <v>5</v>
      </c>
      <c r="B4" s="816"/>
      <c r="C4" s="816"/>
      <c r="D4" s="816"/>
      <c r="E4" s="816"/>
      <c r="F4" s="816"/>
      <c r="G4" s="816"/>
      <c r="H4" s="816"/>
      <c r="I4" s="816"/>
      <c r="J4" s="816"/>
      <c r="K4" s="817"/>
      <c r="L4" s="818" t="s">
        <v>6</v>
      </c>
      <c r="M4" s="819"/>
      <c r="N4" s="819"/>
      <c r="O4" s="819"/>
      <c r="P4" s="820"/>
      <c r="Q4" s="818" t="s">
        <v>7</v>
      </c>
      <c r="R4" s="819"/>
      <c r="S4" s="819"/>
      <c r="T4" s="819"/>
      <c r="U4" s="820"/>
      <c r="V4" s="874" t="s">
        <v>8</v>
      </c>
      <c r="W4" s="875"/>
      <c r="X4" s="818" t="s">
        <v>9</v>
      </c>
      <c r="Y4" s="977" t="s">
        <v>601</v>
      </c>
      <c r="Z4" s="978"/>
      <c r="AA4" s="978"/>
      <c r="AB4" s="978"/>
      <c r="AC4" s="978"/>
      <c r="AD4" s="978"/>
      <c r="AE4" s="978"/>
      <c r="AF4" s="979"/>
      <c r="AG4" s="977" t="s">
        <v>602</v>
      </c>
      <c r="AH4" s="978"/>
      <c r="AI4" s="978"/>
      <c r="AJ4" s="978"/>
      <c r="AK4" s="978"/>
      <c r="AL4" s="978"/>
      <c r="AM4" s="978"/>
      <c r="AN4" s="979"/>
      <c r="AO4" s="977" t="s">
        <v>603</v>
      </c>
      <c r="AP4" s="978"/>
      <c r="AQ4" s="978"/>
      <c r="AR4" s="978"/>
      <c r="AS4" s="978"/>
      <c r="AT4" s="978"/>
      <c r="AU4" s="978"/>
      <c r="AV4" s="979"/>
      <c r="AW4" s="977" t="s">
        <v>1020</v>
      </c>
      <c r="AX4" s="978"/>
      <c r="AY4" s="978"/>
      <c r="AZ4" s="978"/>
      <c r="BA4" s="978"/>
      <c r="BB4" s="978"/>
      <c r="BC4" s="978"/>
      <c r="BD4" s="979"/>
      <c r="BE4" s="977" t="s">
        <v>1021</v>
      </c>
      <c r="BF4" s="978"/>
      <c r="BG4" s="978"/>
      <c r="BH4" s="978"/>
      <c r="BI4" s="978"/>
      <c r="BJ4" s="978"/>
      <c r="BK4" s="978"/>
      <c r="BL4" s="979"/>
      <c r="BM4" s="977" t="s">
        <v>1022</v>
      </c>
      <c r="BN4" s="978"/>
      <c r="BO4" s="978"/>
      <c r="BP4" s="978"/>
      <c r="BQ4" s="978"/>
      <c r="BR4" s="978"/>
      <c r="BS4" s="978"/>
      <c r="BT4" s="979"/>
    </row>
    <row r="5" spans="1:72" s="197" customFormat="1" ht="30" x14ac:dyDescent="0.25">
      <c r="A5" s="808" t="s">
        <v>13</v>
      </c>
      <c r="B5" s="803"/>
      <c r="C5" s="804"/>
      <c r="D5" s="196" t="s">
        <v>14</v>
      </c>
      <c r="E5" s="808" t="s">
        <v>15</v>
      </c>
      <c r="F5" s="804"/>
      <c r="G5" s="808" t="s">
        <v>16</v>
      </c>
      <c r="H5" s="803"/>
      <c r="I5" s="804"/>
      <c r="J5" s="810" t="s">
        <v>17</v>
      </c>
      <c r="K5" s="810" t="s">
        <v>18</v>
      </c>
      <c r="L5" s="812"/>
      <c r="M5" s="813"/>
      <c r="N5" s="813"/>
      <c r="O5" s="813"/>
      <c r="P5" s="814"/>
      <c r="Q5" s="812"/>
      <c r="R5" s="813"/>
      <c r="S5" s="813"/>
      <c r="T5" s="813"/>
      <c r="U5" s="814"/>
      <c r="V5" s="876"/>
      <c r="W5" s="877"/>
      <c r="X5" s="812"/>
      <c r="Y5" s="980" t="s">
        <v>19</v>
      </c>
      <c r="Z5" s="803"/>
      <c r="AA5" s="803"/>
      <c r="AB5" s="809"/>
      <c r="AC5" s="802" t="s">
        <v>20</v>
      </c>
      <c r="AD5" s="803"/>
      <c r="AE5" s="803"/>
      <c r="AF5" s="981"/>
      <c r="AG5" s="980" t="s">
        <v>19</v>
      </c>
      <c r="AH5" s="803"/>
      <c r="AI5" s="803"/>
      <c r="AJ5" s="809"/>
      <c r="AK5" s="802" t="s">
        <v>20</v>
      </c>
      <c r="AL5" s="803"/>
      <c r="AM5" s="803"/>
      <c r="AN5" s="981"/>
      <c r="AO5" s="980" t="s">
        <v>19</v>
      </c>
      <c r="AP5" s="803"/>
      <c r="AQ5" s="803"/>
      <c r="AR5" s="809"/>
      <c r="AS5" s="802" t="s">
        <v>20</v>
      </c>
      <c r="AT5" s="803"/>
      <c r="AU5" s="803"/>
      <c r="AV5" s="981"/>
      <c r="AW5" s="980" t="s">
        <v>19</v>
      </c>
      <c r="AX5" s="803"/>
      <c r="AY5" s="803"/>
      <c r="AZ5" s="809"/>
      <c r="BA5" s="802" t="s">
        <v>20</v>
      </c>
      <c r="BB5" s="803"/>
      <c r="BC5" s="803"/>
      <c r="BD5" s="981"/>
      <c r="BE5" s="980" t="s">
        <v>19</v>
      </c>
      <c r="BF5" s="803"/>
      <c r="BG5" s="803"/>
      <c r="BH5" s="809"/>
      <c r="BI5" s="802" t="s">
        <v>20</v>
      </c>
      <c r="BJ5" s="803"/>
      <c r="BK5" s="803"/>
      <c r="BL5" s="981"/>
      <c r="BM5" s="980" t="s">
        <v>19</v>
      </c>
      <c r="BN5" s="803"/>
      <c r="BO5" s="803"/>
      <c r="BP5" s="809"/>
      <c r="BQ5" s="802" t="s">
        <v>20</v>
      </c>
      <c r="BR5" s="803"/>
      <c r="BS5" s="803"/>
      <c r="BT5" s="981"/>
    </row>
    <row r="6" spans="1:72" s="195" customFormat="1" ht="45" x14ac:dyDescent="0.25">
      <c r="A6" s="235" t="s">
        <v>21</v>
      </c>
      <c r="B6" s="235" t="s">
        <v>22</v>
      </c>
      <c r="C6" s="235" t="s">
        <v>23</v>
      </c>
      <c r="D6" s="235" t="s">
        <v>24</v>
      </c>
      <c r="E6" s="235" t="s">
        <v>25</v>
      </c>
      <c r="F6" s="235" t="s">
        <v>26</v>
      </c>
      <c r="G6" s="235" t="s">
        <v>27</v>
      </c>
      <c r="H6" s="235" t="s">
        <v>28</v>
      </c>
      <c r="I6" s="235" t="s">
        <v>29</v>
      </c>
      <c r="J6" s="811"/>
      <c r="K6" s="811"/>
      <c r="L6" s="235" t="s">
        <v>6</v>
      </c>
      <c r="M6" s="235" t="s">
        <v>30</v>
      </c>
      <c r="N6" s="235" t="s">
        <v>31</v>
      </c>
      <c r="O6" s="235" t="s">
        <v>32</v>
      </c>
      <c r="P6" s="235" t="s">
        <v>33</v>
      </c>
      <c r="Q6" s="235" t="s">
        <v>7</v>
      </c>
      <c r="R6" s="235" t="s">
        <v>34</v>
      </c>
      <c r="S6" s="235" t="s">
        <v>31</v>
      </c>
      <c r="T6" s="235" t="s">
        <v>32</v>
      </c>
      <c r="U6" s="235" t="s">
        <v>35</v>
      </c>
      <c r="V6" s="236" t="s">
        <v>36</v>
      </c>
      <c r="W6" s="236" t="s">
        <v>37</v>
      </c>
      <c r="X6" s="237" t="s">
        <v>38</v>
      </c>
      <c r="Y6" s="238" t="s">
        <v>39</v>
      </c>
      <c r="Z6" s="235" t="s">
        <v>40</v>
      </c>
      <c r="AA6" s="235" t="s">
        <v>41</v>
      </c>
      <c r="AB6" s="235" t="s">
        <v>42</v>
      </c>
      <c r="AC6" s="235" t="s">
        <v>39</v>
      </c>
      <c r="AD6" s="235" t="s">
        <v>40</v>
      </c>
      <c r="AE6" s="235" t="s">
        <v>41</v>
      </c>
      <c r="AF6" s="239" t="s">
        <v>42</v>
      </c>
      <c r="AG6" s="238" t="s">
        <v>39</v>
      </c>
      <c r="AH6" s="235" t="s">
        <v>40</v>
      </c>
      <c r="AI6" s="235" t="s">
        <v>41</v>
      </c>
      <c r="AJ6" s="235" t="s">
        <v>42</v>
      </c>
      <c r="AK6" s="235" t="s">
        <v>39</v>
      </c>
      <c r="AL6" s="235" t="s">
        <v>40</v>
      </c>
      <c r="AM6" s="235" t="s">
        <v>41</v>
      </c>
      <c r="AN6" s="239" t="s">
        <v>42</v>
      </c>
      <c r="AO6" s="238" t="s">
        <v>39</v>
      </c>
      <c r="AP6" s="235" t="s">
        <v>40</v>
      </c>
      <c r="AQ6" s="235" t="s">
        <v>41</v>
      </c>
      <c r="AR6" s="235" t="s">
        <v>42</v>
      </c>
      <c r="AS6" s="235" t="s">
        <v>39</v>
      </c>
      <c r="AT6" s="235" t="s">
        <v>40</v>
      </c>
      <c r="AU6" s="235" t="s">
        <v>41</v>
      </c>
      <c r="AV6" s="239" t="s">
        <v>42</v>
      </c>
      <c r="AW6" s="238" t="s">
        <v>39</v>
      </c>
      <c r="AX6" s="235" t="s">
        <v>40</v>
      </c>
      <c r="AY6" s="235" t="s">
        <v>41</v>
      </c>
      <c r="AZ6" s="235" t="s">
        <v>42</v>
      </c>
      <c r="BA6" s="235" t="s">
        <v>39</v>
      </c>
      <c r="BB6" s="235" t="s">
        <v>40</v>
      </c>
      <c r="BC6" s="235" t="s">
        <v>41</v>
      </c>
      <c r="BD6" s="239" t="s">
        <v>42</v>
      </c>
      <c r="BE6" s="238" t="s">
        <v>39</v>
      </c>
      <c r="BF6" s="235" t="s">
        <v>40</v>
      </c>
      <c r="BG6" s="235" t="s">
        <v>41</v>
      </c>
      <c r="BH6" s="235" t="s">
        <v>42</v>
      </c>
      <c r="BI6" s="235" t="s">
        <v>39</v>
      </c>
      <c r="BJ6" s="235" t="s">
        <v>40</v>
      </c>
      <c r="BK6" s="235" t="s">
        <v>41</v>
      </c>
      <c r="BL6" s="239" t="s">
        <v>42</v>
      </c>
      <c r="BM6" s="238" t="s">
        <v>39</v>
      </c>
      <c r="BN6" s="235" t="s">
        <v>40</v>
      </c>
      <c r="BO6" s="235" t="s">
        <v>41</v>
      </c>
      <c r="BP6" s="235" t="s">
        <v>42</v>
      </c>
      <c r="BQ6" s="235" t="s">
        <v>39</v>
      </c>
      <c r="BR6" s="235" t="s">
        <v>40</v>
      </c>
      <c r="BS6" s="235" t="s">
        <v>41</v>
      </c>
      <c r="BT6" s="239" t="s">
        <v>42</v>
      </c>
    </row>
    <row r="7" spans="1:72" s="240" customFormat="1" ht="90" customHeight="1" x14ac:dyDescent="0.25">
      <c r="A7" s="702" t="s">
        <v>43</v>
      </c>
      <c r="B7" s="702" t="s">
        <v>44</v>
      </c>
      <c r="C7" s="702" t="s">
        <v>45</v>
      </c>
      <c r="D7" s="702" t="s">
        <v>46</v>
      </c>
      <c r="E7" s="702" t="s">
        <v>71</v>
      </c>
      <c r="F7" s="702" t="s">
        <v>48</v>
      </c>
      <c r="G7" s="702" t="s">
        <v>49</v>
      </c>
      <c r="H7" s="702" t="s">
        <v>604</v>
      </c>
      <c r="I7" s="702" t="s">
        <v>590</v>
      </c>
      <c r="J7" s="702" t="s">
        <v>605</v>
      </c>
      <c r="K7" s="702" t="s">
        <v>606</v>
      </c>
      <c r="L7" s="702" t="s">
        <v>607</v>
      </c>
      <c r="M7" s="702" t="s">
        <v>608</v>
      </c>
      <c r="N7" s="702" t="s">
        <v>56</v>
      </c>
      <c r="O7" s="702">
        <v>549</v>
      </c>
      <c r="P7" s="702">
        <v>734</v>
      </c>
      <c r="Q7" s="77" t="s">
        <v>609</v>
      </c>
      <c r="R7" s="77" t="s">
        <v>610</v>
      </c>
      <c r="S7" s="77" t="s">
        <v>56</v>
      </c>
      <c r="T7" s="77">
        <v>265</v>
      </c>
      <c r="U7" s="77">
        <v>300</v>
      </c>
      <c r="V7" s="908">
        <v>5164199326</v>
      </c>
      <c r="W7" s="897">
        <v>8805126266</v>
      </c>
      <c r="X7" s="702" t="s">
        <v>611</v>
      </c>
      <c r="Y7" s="702">
        <f>+AC7+AC9</f>
        <v>60</v>
      </c>
      <c r="Z7" s="702">
        <f>+AD7+AD9</f>
        <v>690</v>
      </c>
      <c r="AA7" s="913">
        <f>+Y7/Z7</f>
        <v>8.6956521739130432E-2</v>
      </c>
      <c r="AB7" s="702" t="s">
        <v>612</v>
      </c>
      <c r="AC7" s="77">
        <v>27</v>
      </c>
      <c r="AD7" s="77">
        <v>300</v>
      </c>
      <c r="AE7" s="78">
        <f>+AC7/AD7</f>
        <v>0.09</v>
      </c>
      <c r="AF7" s="77" t="s">
        <v>613</v>
      </c>
      <c r="AG7" s="702">
        <f>+Y7+AK7+AK8+AK9</f>
        <v>120</v>
      </c>
      <c r="AH7" s="702">
        <v>734</v>
      </c>
      <c r="AI7" s="913">
        <f>+AG7/AH7</f>
        <v>0.16348773841961853</v>
      </c>
      <c r="AJ7" s="702" t="s">
        <v>614</v>
      </c>
      <c r="AK7" s="77">
        <v>22</v>
      </c>
      <c r="AL7" s="77">
        <v>300</v>
      </c>
      <c r="AM7" s="78">
        <f>+AK7/AL7</f>
        <v>7.3333333333333334E-2</v>
      </c>
      <c r="AN7" s="77" t="s">
        <v>615</v>
      </c>
      <c r="AO7" s="702">
        <f>+AG7+AS7+AS8+AS9</f>
        <v>185</v>
      </c>
      <c r="AP7" s="702">
        <v>734</v>
      </c>
      <c r="AQ7" s="913">
        <f>+AO7/AP7</f>
        <v>0.25204359673024523</v>
      </c>
      <c r="AR7" s="702" t="s">
        <v>616</v>
      </c>
      <c r="AS7" s="77">
        <v>27</v>
      </c>
      <c r="AT7" s="77">
        <v>300</v>
      </c>
      <c r="AU7" s="78">
        <f>+AS7/AT7</f>
        <v>0.09</v>
      </c>
      <c r="AV7" s="77" t="s">
        <v>617</v>
      </c>
      <c r="AW7" s="974">
        <f>+AO7+BA7+BA8+BA9</f>
        <v>248</v>
      </c>
      <c r="AX7" s="805">
        <v>734</v>
      </c>
      <c r="AY7" s="966">
        <f>+AW7/AX7</f>
        <v>0.33787465940054495</v>
      </c>
      <c r="AZ7" s="969" t="s">
        <v>1023</v>
      </c>
      <c r="BA7" s="359">
        <v>25</v>
      </c>
      <c r="BB7" s="427">
        <v>300</v>
      </c>
      <c r="BC7" s="428">
        <f>+BA7/BB7</f>
        <v>8.3333333333333329E-2</v>
      </c>
      <c r="BD7" s="429" t="s">
        <v>1024</v>
      </c>
      <c r="BE7" s="974">
        <f>+AW7+BI7+BI8+BI9</f>
        <v>316</v>
      </c>
      <c r="BF7" s="805">
        <v>734</v>
      </c>
      <c r="BG7" s="966">
        <f>+BE7/BF7</f>
        <v>0.4305177111716621</v>
      </c>
      <c r="BH7" s="969" t="s">
        <v>1025</v>
      </c>
      <c r="BI7" s="359">
        <v>25</v>
      </c>
      <c r="BJ7" s="427">
        <v>300</v>
      </c>
      <c r="BK7" s="428">
        <f>+BI7/BJ7</f>
        <v>8.3333333333333329E-2</v>
      </c>
      <c r="BL7" s="429" t="s">
        <v>1026</v>
      </c>
      <c r="BM7" s="974">
        <f>+BE7+BQ7+BQ8+BQ9</f>
        <v>386</v>
      </c>
      <c r="BN7" s="805">
        <v>734</v>
      </c>
      <c r="BO7" s="966">
        <f>+BM7/BN7</f>
        <v>0.52588555858310626</v>
      </c>
      <c r="BP7" s="969" t="s">
        <v>1027</v>
      </c>
      <c r="BQ7" s="359">
        <v>25</v>
      </c>
      <c r="BR7" s="427">
        <v>300</v>
      </c>
      <c r="BS7" s="428">
        <f>+BQ7/BR7</f>
        <v>8.3333333333333329E-2</v>
      </c>
      <c r="BT7" s="429" t="s">
        <v>1028</v>
      </c>
    </row>
    <row r="8" spans="1:72" s="240" customFormat="1" ht="90" customHeight="1" x14ac:dyDescent="0.25">
      <c r="A8" s="983"/>
      <c r="B8" s="983"/>
      <c r="C8" s="983"/>
      <c r="D8" s="983"/>
      <c r="E8" s="983"/>
      <c r="F8" s="983"/>
      <c r="G8" s="983"/>
      <c r="H8" s="983"/>
      <c r="I8" s="983"/>
      <c r="J8" s="983"/>
      <c r="K8" s="983"/>
      <c r="L8" s="983"/>
      <c r="M8" s="983"/>
      <c r="N8" s="983"/>
      <c r="O8" s="983"/>
      <c r="P8" s="983"/>
      <c r="Q8" s="64" t="s">
        <v>618</v>
      </c>
      <c r="R8" s="64" t="s">
        <v>619</v>
      </c>
      <c r="S8" s="64" t="s">
        <v>56</v>
      </c>
      <c r="T8" s="64"/>
      <c r="U8" s="64">
        <v>44</v>
      </c>
      <c r="V8" s="909"/>
      <c r="W8" s="898"/>
      <c r="X8" s="983"/>
      <c r="Y8" s="983"/>
      <c r="Z8" s="983"/>
      <c r="AA8" s="984"/>
      <c r="AB8" s="983"/>
      <c r="AC8" s="64"/>
      <c r="AD8" s="64"/>
      <c r="AE8" s="65"/>
      <c r="AF8" s="64" t="s">
        <v>620</v>
      </c>
      <c r="AG8" s="983"/>
      <c r="AH8" s="983"/>
      <c r="AI8" s="984"/>
      <c r="AJ8" s="983"/>
      <c r="AK8" s="64">
        <v>4</v>
      </c>
      <c r="AL8" s="64">
        <v>44</v>
      </c>
      <c r="AM8" s="65">
        <f>+AK8/AL8</f>
        <v>9.0909090909090912E-2</v>
      </c>
      <c r="AN8" s="64" t="s">
        <v>621</v>
      </c>
      <c r="AO8" s="983"/>
      <c r="AP8" s="983"/>
      <c r="AQ8" s="984"/>
      <c r="AR8" s="983"/>
      <c r="AS8" s="64">
        <v>5</v>
      </c>
      <c r="AT8" s="64">
        <v>44</v>
      </c>
      <c r="AU8" s="65">
        <f>+AS8/AT8</f>
        <v>0.11363636363636363</v>
      </c>
      <c r="AV8" s="64" t="s">
        <v>622</v>
      </c>
      <c r="AW8" s="975"/>
      <c r="AX8" s="972"/>
      <c r="AY8" s="967"/>
      <c r="AZ8" s="970"/>
      <c r="BA8" s="359">
        <v>5</v>
      </c>
      <c r="BB8" s="427">
        <v>44</v>
      </c>
      <c r="BC8" s="428">
        <f>+BA8/BB8</f>
        <v>0.11363636363636363</v>
      </c>
      <c r="BD8" s="429" t="s">
        <v>1029</v>
      </c>
      <c r="BE8" s="975"/>
      <c r="BF8" s="972"/>
      <c r="BG8" s="967"/>
      <c r="BH8" s="970"/>
      <c r="BI8" s="359">
        <v>4</v>
      </c>
      <c r="BJ8" s="427">
        <v>44</v>
      </c>
      <c r="BK8" s="428">
        <f>+BI8/BJ8</f>
        <v>9.0909090909090912E-2</v>
      </c>
      <c r="BL8" s="429" t="s">
        <v>1030</v>
      </c>
      <c r="BM8" s="975"/>
      <c r="BN8" s="972"/>
      <c r="BO8" s="967"/>
      <c r="BP8" s="970"/>
      <c r="BQ8" s="359">
        <v>2</v>
      </c>
      <c r="BR8" s="427">
        <v>44</v>
      </c>
      <c r="BS8" s="428">
        <f>+BQ8/BR8</f>
        <v>4.5454545454545456E-2</v>
      </c>
      <c r="BT8" s="429" t="s">
        <v>1031</v>
      </c>
    </row>
    <row r="9" spans="1:72" s="240" customFormat="1" ht="138" customHeight="1" thickBot="1" x14ac:dyDescent="0.3">
      <c r="A9" s="983"/>
      <c r="B9" s="983"/>
      <c r="C9" s="983"/>
      <c r="D9" s="983"/>
      <c r="E9" s="983"/>
      <c r="F9" s="983"/>
      <c r="G9" s="983"/>
      <c r="H9" s="983"/>
      <c r="I9" s="983"/>
      <c r="J9" s="983"/>
      <c r="K9" s="983"/>
      <c r="L9" s="983"/>
      <c r="M9" s="983"/>
      <c r="N9" s="983"/>
      <c r="O9" s="983"/>
      <c r="P9" s="983"/>
      <c r="Q9" s="289" t="s">
        <v>623</v>
      </c>
      <c r="R9" s="77" t="s">
        <v>624</v>
      </c>
      <c r="S9" s="77" t="s">
        <v>56</v>
      </c>
      <c r="T9" s="77">
        <v>284</v>
      </c>
      <c r="U9" s="77">
        <v>390</v>
      </c>
      <c r="V9" s="910"/>
      <c r="W9" s="898"/>
      <c r="X9" s="703"/>
      <c r="Y9" s="703"/>
      <c r="Z9" s="703"/>
      <c r="AA9" s="914"/>
      <c r="AB9" s="703"/>
      <c r="AC9" s="77">
        <v>33</v>
      </c>
      <c r="AD9" s="77">
        <v>390</v>
      </c>
      <c r="AE9" s="78">
        <f t="shared" ref="AE9" si="0">+AC9/AD9</f>
        <v>8.461538461538462E-2</v>
      </c>
      <c r="AF9" s="77" t="s">
        <v>625</v>
      </c>
      <c r="AG9" s="703"/>
      <c r="AH9" s="703"/>
      <c r="AI9" s="914"/>
      <c r="AJ9" s="703"/>
      <c r="AK9" s="77">
        <v>34</v>
      </c>
      <c r="AL9" s="77">
        <v>390</v>
      </c>
      <c r="AM9" s="78">
        <f t="shared" ref="AM9" si="1">+AK9/AL9</f>
        <v>8.7179487179487175E-2</v>
      </c>
      <c r="AN9" s="77" t="s">
        <v>626</v>
      </c>
      <c r="AO9" s="703"/>
      <c r="AP9" s="703"/>
      <c r="AQ9" s="914"/>
      <c r="AR9" s="703"/>
      <c r="AS9" s="77">
        <v>33</v>
      </c>
      <c r="AT9" s="77">
        <v>390</v>
      </c>
      <c r="AU9" s="78">
        <f>+AS9/AT9</f>
        <v>8.461538461538462E-2</v>
      </c>
      <c r="AV9" s="77" t="s">
        <v>627</v>
      </c>
      <c r="AW9" s="976"/>
      <c r="AX9" s="973"/>
      <c r="AY9" s="968"/>
      <c r="AZ9" s="971"/>
      <c r="BA9" s="430">
        <v>33</v>
      </c>
      <c r="BB9" s="430">
        <v>390</v>
      </c>
      <c r="BC9" s="431">
        <f t="shared" ref="BC9" si="2">+BA9/BB9</f>
        <v>8.461538461538462E-2</v>
      </c>
      <c r="BD9" s="432" t="s">
        <v>1032</v>
      </c>
      <c r="BE9" s="976"/>
      <c r="BF9" s="973"/>
      <c r="BG9" s="968"/>
      <c r="BH9" s="971"/>
      <c r="BI9" s="430">
        <v>39</v>
      </c>
      <c r="BJ9" s="430">
        <v>390</v>
      </c>
      <c r="BK9" s="431">
        <f t="shared" ref="BK9" si="3">+BI9/BJ9</f>
        <v>0.1</v>
      </c>
      <c r="BL9" s="432" t="s">
        <v>1033</v>
      </c>
      <c r="BM9" s="976"/>
      <c r="BN9" s="973"/>
      <c r="BO9" s="968"/>
      <c r="BP9" s="971"/>
      <c r="BQ9" s="430">
        <v>43</v>
      </c>
      <c r="BR9" s="430">
        <v>390</v>
      </c>
      <c r="BS9" s="431">
        <f t="shared" ref="BS9" si="4">+BQ9/BR9</f>
        <v>0.11025641025641025</v>
      </c>
      <c r="BT9" s="432" t="s">
        <v>1034</v>
      </c>
    </row>
    <row r="10" spans="1:72" s="288" customFormat="1" ht="78.75" customHeight="1" thickBot="1" x14ac:dyDescent="0.3">
      <c r="A10" s="290"/>
      <c r="B10" s="290"/>
      <c r="C10" s="290"/>
      <c r="D10" s="291"/>
      <c r="E10" s="291"/>
      <c r="F10" s="291"/>
      <c r="G10" s="291"/>
      <c r="H10" s="291"/>
      <c r="I10" s="291"/>
      <c r="J10" s="290"/>
      <c r="K10" s="291"/>
      <c r="L10" s="285"/>
      <c r="M10" s="285"/>
      <c r="N10" s="285"/>
      <c r="O10" s="285"/>
      <c r="P10" s="285"/>
      <c r="Q10" s="285"/>
      <c r="R10" s="265"/>
      <c r="S10" s="265"/>
      <c r="T10" s="265"/>
      <c r="U10" s="265"/>
      <c r="V10" s="281"/>
      <c r="W10" s="898"/>
      <c r="X10" s="278"/>
      <c r="Y10" s="657" t="s">
        <v>865</v>
      </c>
      <c r="Z10" s="657"/>
      <c r="AA10" s="55">
        <f>+AVERAGE(AA7)</f>
        <v>8.6956521739130432E-2</v>
      </c>
      <c r="AB10" s="286"/>
      <c r="AC10" s="657" t="s">
        <v>866</v>
      </c>
      <c r="AD10" s="657"/>
      <c r="AE10" s="55">
        <f>+AVERAGE(AE7:AE9)</f>
        <v>8.7307692307692308E-2</v>
      </c>
      <c r="AF10" s="287"/>
      <c r="AG10" s="657" t="s">
        <v>865</v>
      </c>
      <c r="AH10" s="657"/>
      <c r="AI10" s="55">
        <f>+AVERAGE(AI7)</f>
        <v>0.16348773841961853</v>
      </c>
      <c r="AJ10" s="286"/>
      <c r="AK10" s="657" t="s">
        <v>866</v>
      </c>
      <c r="AL10" s="657"/>
      <c r="AM10" s="55">
        <f>+AVERAGE(AM7:AM9)</f>
        <v>8.3807303807303793E-2</v>
      </c>
      <c r="AN10" s="287"/>
      <c r="AO10" s="657" t="s">
        <v>865</v>
      </c>
      <c r="AP10" s="657"/>
      <c r="AQ10" s="55">
        <f>+AVERAGE(AQ7)</f>
        <v>0.25204359673024523</v>
      </c>
      <c r="AR10" s="286"/>
      <c r="AS10" s="657" t="s">
        <v>866</v>
      </c>
      <c r="AT10" s="657"/>
      <c r="AU10" s="55">
        <f>+AVERAGE(AU7:AU9)</f>
        <v>9.6083916083916088E-2</v>
      </c>
      <c r="AV10" s="286"/>
      <c r="AW10" s="657" t="s">
        <v>865</v>
      </c>
      <c r="AX10" s="657"/>
      <c r="AY10" s="55">
        <f>+AVERAGE(AY7)</f>
        <v>0.33787465940054495</v>
      </c>
      <c r="AZ10" s="286"/>
      <c r="BA10" s="657" t="s">
        <v>866</v>
      </c>
      <c r="BB10" s="657"/>
      <c r="BC10" s="55">
        <f>+AVERAGE(BC7:BC9)</f>
        <v>9.3861693861693851E-2</v>
      </c>
      <c r="BE10" s="657" t="s">
        <v>865</v>
      </c>
      <c r="BF10" s="657"/>
      <c r="BG10" s="55">
        <f>+AVERAGE(BG7)</f>
        <v>0.4305177111716621</v>
      </c>
      <c r="BH10" s="286"/>
      <c r="BI10" s="657" t="s">
        <v>866</v>
      </c>
      <c r="BJ10" s="657"/>
      <c r="BK10" s="55">
        <f>+AVERAGE(BK7:BK9)</f>
        <v>9.1414141414141434E-2</v>
      </c>
      <c r="BM10" s="657" t="s">
        <v>865</v>
      </c>
      <c r="BN10" s="657"/>
      <c r="BO10" s="55">
        <f>+AVERAGE(BO7)</f>
        <v>0.52588555858310626</v>
      </c>
      <c r="BP10" s="286"/>
      <c r="BQ10" s="657" t="s">
        <v>866</v>
      </c>
      <c r="BR10" s="657"/>
      <c r="BS10" s="55">
        <f>+AVERAGE(BS7:BS9)</f>
        <v>7.9681429681429675E-2</v>
      </c>
    </row>
    <row r="11" spans="1:72" s="240" customFormat="1" ht="120" x14ac:dyDescent="0.25">
      <c r="A11" s="982" t="s">
        <v>43</v>
      </c>
      <c r="B11" s="982" t="s">
        <v>44</v>
      </c>
      <c r="C11" s="982" t="s">
        <v>45</v>
      </c>
      <c r="D11" s="982" t="s">
        <v>349</v>
      </c>
      <c r="E11" s="982" t="s">
        <v>47</v>
      </c>
      <c r="F11" s="982" t="s">
        <v>628</v>
      </c>
      <c r="G11" s="982" t="s">
        <v>629</v>
      </c>
      <c r="H11" s="982" t="s">
        <v>630</v>
      </c>
      <c r="I11" s="982" t="s">
        <v>631</v>
      </c>
      <c r="J11" s="982" t="s">
        <v>605</v>
      </c>
      <c r="K11" s="982" t="s">
        <v>605</v>
      </c>
      <c r="L11" s="64" t="s">
        <v>632</v>
      </c>
      <c r="M11" s="64" t="s">
        <v>633</v>
      </c>
      <c r="N11" s="64" t="s">
        <v>74</v>
      </c>
      <c r="O11" s="64">
        <v>85</v>
      </c>
      <c r="P11" s="64">
        <v>85</v>
      </c>
      <c r="Q11" s="241"/>
      <c r="R11" s="241"/>
      <c r="S11" s="241"/>
      <c r="T11" s="241"/>
      <c r="U11" s="241"/>
      <c r="V11" s="91">
        <v>1313586960</v>
      </c>
      <c r="W11" s="898"/>
      <c r="X11" s="982" t="s">
        <v>611</v>
      </c>
      <c r="Y11" s="64">
        <v>5</v>
      </c>
      <c r="Z11" s="64">
        <v>6</v>
      </c>
      <c r="AA11" s="65">
        <f>+Y11/Z11</f>
        <v>0.83333333333333337</v>
      </c>
      <c r="AB11" s="64" t="s">
        <v>634</v>
      </c>
      <c r="AC11" s="660"/>
      <c r="AD11" s="661"/>
      <c r="AE11" s="661"/>
      <c r="AF11" s="662"/>
      <c r="AG11" s="64">
        <v>6</v>
      </c>
      <c r="AH11" s="64">
        <v>8</v>
      </c>
      <c r="AI11" s="65">
        <f>+AG11/AH11</f>
        <v>0.75</v>
      </c>
      <c r="AJ11" s="64" t="s">
        <v>635</v>
      </c>
      <c r="AK11" s="660"/>
      <c r="AL11" s="661"/>
      <c r="AM11" s="661"/>
      <c r="AN11" s="662"/>
      <c r="AO11" s="64">
        <v>7</v>
      </c>
      <c r="AP11" s="64">
        <v>9</v>
      </c>
      <c r="AQ11" s="65">
        <f>+AO11/AP11</f>
        <v>0.77777777777777779</v>
      </c>
      <c r="AR11" s="64" t="s">
        <v>636</v>
      </c>
      <c r="AS11" s="660"/>
      <c r="AT11" s="661"/>
      <c r="AU11" s="661"/>
      <c r="AV11" s="662"/>
      <c r="AW11" s="433">
        <v>6</v>
      </c>
      <c r="AX11" s="434">
        <v>8</v>
      </c>
      <c r="AY11" s="435">
        <f>+AW11/AX11</f>
        <v>0.75</v>
      </c>
      <c r="AZ11" s="436" t="s">
        <v>1035</v>
      </c>
      <c r="BA11" s="434"/>
      <c r="BB11" s="434"/>
      <c r="BC11" s="434"/>
      <c r="BD11" s="437"/>
      <c r="BE11" s="433">
        <v>11</v>
      </c>
      <c r="BF11" s="434">
        <v>13</v>
      </c>
      <c r="BG11" s="435">
        <f>+BE11/BF11</f>
        <v>0.84615384615384615</v>
      </c>
      <c r="BH11" s="436" t="s">
        <v>1036</v>
      </c>
      <c r="BI11" s="434"/>
      <c r="BJ11" s="434"/>
      <c r="BK11" s="434"/>
      <c r="BL11" s="437"/>
      <c r="BM11" s="433">
        <v>11</v>
      </c>
      <c r="BN11" s="434">
        <v>13</v>
      </c>
      <c r="BO11" s="435">
        <f>+BM11/BN11</f>
        <v>0.84615384615384615</v>
      </c>
      <c r="BP11" s="436" t="s">
        <v>1037</v>
      </c>
      <c r="BQ11" s="434"/>
      <c r="BR11" s="434"/>
      <c r="BS11" s="434"/>
      <c r="BT11" s="437"/>
    </row>
    <row r="12" spans="1:72" s="240" customFormat="1" ht="178.5" customHeight="1" thickBot="1" x14ac:dyDescent="0.3">
      <c r="A12" s="982"/>
      <c r="B12" s="982"/>
      <c r="C12" s="982"/>
      <c r="D12" s="982"/>
      <c r="E12" s="982"/>
      <c r="F12" s="982"/>
      <c r="G12" s="982"/>
      <c r="H12" s="982"/>
      <c r="I12" s="982" t="s">
        <v>637</v>
      </c>
      <c r="J12" s="982"/>
      <c r="K12" s="982"/>
      <c r="L12" s="77" t="s">
        <v>638</v>
      </c>
      <c r="M12" s="77" t="s">
        <v>639</v>
      </c>
      <c r="N12" s="77" t="s">
        <v>74</v>
      </c>
      <c r="O12" s="77"/>
      <c r="P12" s="77">
        <v>100</v>
      </c>
      <c r="Q12" s="241"/>
      <c r="R12" s="241"/>
      <c r="S12" s="241"/>
      <c r="T12" s="241"/>
      <c r="U12" s="241"/>
      <c r="V12" s="242">
        <v>1156650860</v>
      </c>
      <c r="W12" s="898"/>
      <c r="X12" s="982"/>
      <c r="Y12" s="77">
        <v>20</v>
      </c>
      <c r="Z12" s="77">
        <v>20</v>
      </c>
      <c r="AA12" s="78">
        <f>+Y12/Z12</f>
        <v>1</v>
      </c>
      <c r="AB12" s="77" t="s">
        <v>640</v>
      </c>
      <c r="AC12" s="660"/>
      <c r="AD12" s="661"/>
      <c r="AE12" s="661"/>
      <c r="AF12" s="662"/>
      <c r="AG12" s="77">
        <v>22</v>
      </c>
      <c r="AH12" s="77">
        <v>22</v>
      </c>
      <c r="AI12" s="78">
        <f>+AG12/AH12</f>
        <v>1</v>
      </c>
      <c r="AJ12" s="259" t="s">
        <v>641</v>
      </c>
      <c r="AK12" s="660"/>
      <c r="AL12" s="661"/>
      <c r="AM12" s="661"/>
      <c r="AN12" s="662"/>
      <c r="AO12" s="77">
        <v>24</v>
      </c>
      <c r="AP12" s="77">
        <v>24</v>
      </c>
      <c r="AQ12" s="78">
        <f>+AO12/AP12</f>
        <v>1</v>
      </c>
      <c r="AR12" s="77" t="s">
        <v>642</v>
      </c>
      <c r="AS12" s="660"/>
      <c r="AT12" s="661"/>
      <c r="AU12" s="661"/>
      <c r="AV12" s="662"/>
      <c r="AW12" s="438">
        <v>28</v>
      </c>
      <c r="AX12" s="439">
        <v>28</v>
      </c>
      <c r="AY12" s="440">
        <f>+AW12/AX12</f>
        <v>1</v>
      </c>
      <c r="AZ12" s="441" t="s">
        <v>1038</v>
      </c>
      <c r="BA12" s="439"/>
      <c r="BB12" s="439"/>
      <c r="BC12" s="439"/>
      <c r="BD12" s="442"/>
      <c r="BE12" s="438">
        <v>21</v>
      </c>
      <c r="BF12" s="439">
        <v>21</v>
      </c>
      <c r="BG12" s="440">
        <f>+BE12/BF12</f>
        <v>1</v>
      </c>
      <c r="BH12" s="441" t="s">
        <v>1039</v>
      </c>
      <c r="BI12" s="439"/>
      <c r="BJ12" s="439"/>
      <c r="BK12" s="439"/>
      <c r="BL12" s="442"/>
      <c r="BM12" s="438">
        <v>22</v>
      </c>
      <c r="BN12" s="439">
        <v>22</v>
      </c>
      <c r="BO12" s="440">
        <f>+BM12/BN12</f>
        <v>1</v>
      </c>
      <c r="BP12" s="441" t="s">
        <v>1040</v>
      </c>
      <c r="BQ12" s="439"/>
      <c r="BR12" s="439"/>
      <c r="BS12" s="439"/>
      <c r="BT12" s="442"/>
    </row>
    <row r="13" spans="1:72" s="240" customFormat="1" ht="51" customHeight="1" x14ac:dyDescent="0.25">
      <c r="A13" s="982"/>
      <c r="B13" s="982"/>
      <c r="C13" s="982"/>
      <c r="D13" s="982"/>
      <c r="E13" s="982" t="s">
        <v>375</v>
      </c>
      <c r="F13" s="982" t="s">
        <v>643</v>
      </c>
      <c r="G13" s="982"/>
      <c r="H13" s="982" t="s">
        <v>630</v>
      </c>
      <c r="I13" s="982" t="s">
        <v>644</v>
      </c>
      <c r="J13" s="982"/>
      <c r="K13" s="982"/>
      <c r="L13" s="792" t="s">
        <v>645</v>
      </c>
      <c r="M13" s="792" t="s">
        <v>646</v>
      </c>
      <c r="N13" s="792" t="s">
        <v>56</v>
      </c>
      <c r="O13" s="792"/>
      <c r="P13" s="792">
        <v>100</v>
      </c>
      <c r="Q13" s="64" t="s">
        <v>647</v>
      </c>
      <c r="R13" s="64" t="s">
        <v>648</v>
      </c>
      <c r="S13" s="64" t="s">
        <v>74</v>
      </c>
      <c r="T13" s="91">
        <v>3500000000</v>
      </c>
      <c r="U13" s="64">
        <v>30</v>
      </c>
      <c r="V13" s="985">
        <v>864689120</v>
      </c>
      <c r="W13" s="898"/>
      <c r="X13" s="982"/>
      <c r="Y13" s="985">
        <f>+AC13+AC14</f>
        <v>1807011508</v>
      </c>
      <c r="Z13" s="985">
        <f>+AD13+AD14</f>
        <v>4271204129.7360001</v>
      </c>
      <c r="AA13" s="987">
        <f>+Y13/Z13</f>
        <v>0.42306840251900818</v>
      </c>
      <c r="AB13" s="985" t="s">
        <v>649</v>
      </c>
      <c r="AC13" s="91">
        <v>1807011508</v>
      </c>
      <c r="AD13" s="91">
        <v>4271204129.7360001</v>
      </c>
      <c r="AE13" s="65">
        <f>+AC13/AD13</f>
        <v>0.42306840251900818</v>
      </c>
      <c r="AF13" s="91" t="s">
        <v>650</v>
      </c>
      <c r="AG13" s="985">
        <f>+AK13+AK14</f>
        <v>2177617586</v>
      </c>
      <c r="AH13" s="985">
        <f>+AL13+AL14</f>
        <v>7161101459.7360001</v>
      </c>
      <c r="AI13" s="987">
        <f>+AG13/AH13</f>
        <v>0.30408975466188687</v>
      </c>
      <c r="AJ13" s="792" t="s">
        <v>651</v>
      </c>
      <c r="AK13" s="91">
        <f>+AC13+216454628</f>
        <v>2023466136</v>
      </c>
      <c r="AL13" s="91">
        <f>+AD13</f>
        <v>4271204129.7360001</v>
      </c>
      <c r="AM13" s="65">
        <f>+AK13/AL13</f>
        <v>0.47374606189216928</v>
      </c>
      <c r="AN13" s="257" t="s">
        <v>652</v>
      </c>
      <c r="AO13" s="985">
        <f>+AS13+AS14</f>
        <v>2827788025</v>
      </c>
      <c r="AP13" s="985">
        <f>+AT13+AT14</f>
        <v>7161101459.7360001</v>
      </c>
      <c r="AQ13" s="987">
        <f>+AO13/AP13</f>
        <v>0.39488171490091534</v>
      </c>
      <c r="AR13" s="792" t="s">
        <v>653</v>
      </c>
      <c r="AS13" s="91">
        <f>+AK13+205223653</f>
        <v>2228689789</v>
      </c>
      <c r="AT13" s="91">
        <f>+AL13</f>
        <v>4271204129.7360001</v>
      </c>
      <c r="AU13" s="65">
        <f>+AS13/AT13</f>
        <v>0.52179425784966027</v>
      </c>
      <c r="AV13" s="257" t="s">
        <v>654</v>
      </c>
      <c r="AW13" s="964">
        <f>+BA13+BA14</f>
        <v>2857777518</v>
      </c>
      <c r="AX13" s="958">
        <f>+BB13+BB14</f>
        <v>7307123087.7360001</v>
      </c>
      <c r="AY13" s="960">
        <f>+AW13/AX13</f>
        <v>0.39109475558121992</v>
      </c>
      <c r="AZ13" s="962" t="s">
        <v>1041</v>
      </c>
      <c r="BA13" s="443">
        <f>+AS13+16032903</f>
        <v>2244722692</v>
      </c>
      <c r="BB13" s="443">
        <f>+AT13+146021628</f>
        <v>4417225757.7360001</v>
      </c>
      <c r="BC13" s="444">
        <f>+BA13/BB13</f>
        <v>0.50817477192981586</v>
      </c>
      <c r="BD13" s="445" t="s">
        <v>1042</v>
      </c>
      <c r="BE13" s="964">
        <f>+BI13+BI14</f>
        <v>3400562631</v>
      </c>
      <c r="BF13" s="958">
        <f>+BJ13+BJ14</f>
        <v>7686245328</v>
      </c>
      <c r="BG13" s="960">
        <f>+BE13/BF13</f>
        <v>0.44242181792092805</v>
      </c>
      <c r="BH13" s="962" t="s">
        <v>1043</v>
      </c>
      <c r="BI13" s="443">
        <f>+BA13+269898639</f>
        <v>2514621331</v>
      </c>
      <c r="BJ13" s="446">
        <v>5496718185</v>
      </c>
      <c r="BK13" s="444">
        <f>+BI13/BJ13</f>
        <v>0.45747685188994275</v>
      </c>
      <c r="BL13" s="447" t="s">
        <v>1044</v>
      </c>
      <c r="BM13" s="964">
        <f>+BQ13+BQ14</f>
        <v>4409234725</v>
      </c>
      <c r="BN13" s="958">
        <f>+BR13+BR14</f>
        <v>7511014783</v>
      </c>
      <c r="BO13" s="960">
        <f>+BM13/BN13</f>
        <v>0.58703582037670976</v>
      </c>
      <c r="BP13" s="962" t="s">
        <v>1045</v>
      </c>
      <c r="BQ13" s="443">
        <f>+BI13+227575617</f>
        <v>2742196948</v>
      </c>
      <c r="BR13" s="446">
        <f>5496718185+175230543</f>
        <v>5671948728</v>
      </c>
      <c r="BS13" s="444">
        <f>+BQ13/BR13</f>
        <v>0.48346645562272789</v>
      </c>
      <c r="BT13" s="447" t="s">
        <v>1046</v>
      </c>
    </row>
    <row r="14" spans="1:72" s="240" customFormat="1" ht="48.75" customHeight="1" thickBot="1" x14ac:dyDescent="0.3">
      <c r="A14" s="742"/>
      <c r="B14" s="742"/>
      <c r="C14" s="742"/>
      <c r="D14" s="742"/>
      <c r="E14" s="742"/>
      <c r="F14" s="742"/>
      <c r="G14" s="742"/>
      <c r="H14" s="742"/>
      <c r="I14" s="742"/>
      <c r="J14" s="742"/>
      <c r="K14" s="742"/>
      <c r="L14" s="793"/>
      <c r="M14" s="793"/>
      <c r="N14" s="793"/>
      <c r="O14" s="793"/>
      <c r="P14" s="793"/>
      <c r="Q14" s="289" t="s">
        <v>655</v>
      </c>
      <c r="R14" s="289" t="s">
        <v>656</v>
      </c>
      <c r="S14" s="289" t="s">
        <v>74</v>
      </c>
      <c r="T14" s="289"/>
      <c r="U14" s="289">
        <v>60</v>
      </c>
      <c r="V14" s="986"/>
      <c r="W14" s="898"/>
      <c r="X14" s="742"/>
      <c r="Y14" s="986"/>
      <c r="Z14" s="986"/>
      <c r="AA14" s="988"/>
      <c r="AB14" s="986"/>
      <c r="AC14" s="289">
        <v>0</v>
      </c>
      <c r="AD14" s="289">
        <v>0</v>
      </c>
      <c r="AE14" s="282">
        <v>0</v>
      </c>
      <c r="AF14" s="289" t="s">
        <v>657</v>
      </c>
      <c r="AG14" s="986"/>
      <c r="AH14" s="986"/>
      <c r="AI14" s="988"/>
      <c r="AJ14" s="793"/>
      <c r="AK14" s="293">
        <v>154151450</v>
      </c>
      <c r="AL14" s="293">
        <v>2889897330</v>
      </c>
      <c r="AM14" s="282">
        <f>+AK14/AL14</f>
        <v>5.334149708356594E-2</v>
      </c>
      <c r="AN14" s="257" t="s">
        <v>658</v>
      </c>
      <c r="AO14" s="986"/>
      <c r="AP14" s="986"/>
      <c r="AQ14" s="988"/>
      <c r="AR14" s="793"/>
      <c r="AS14" s="293">
        <f>+AK14+444946786</f>
        <v>599098236</v>
      </c>
      <c r="AT14" s="293">
        <f>+AL14</f>
        <v>2889897330</v>
      </c>
      <c r="AU14" s="282">
        <f>+AS14/AT14</f>
        <v>0.20730779248825423</v>
      </c>
      <c r="AV14" s="257" t="s">
        <v>659</v>
      </c>
      <c r="AW14" s="965"/>
      <c r="AX14" s="959"/>
      <c r="AY14" s="961"/>
      <c r="AZ14" s="963"/>
      <c r="BA14" s="448">
        <f>+AS14+13956590</f>
        <v>613054826</v>
      </c>
      <c r="BB14" s="448">
        <f>+AT14</f>
        <v>2889897330</v>
      </c>
      <c r="BC14" s="449">
        <f>+BA14/BB14</f>
        <v>0.2121372339549516</v>
      </c>
      <c r="BD14" s="450" t="s">
        <v>1047</v>
      </c>
      <c r="BE14" s="965"/>
      <c r="BF14" s="959"/>
      <c r="BG14" s="961"/>
      <c r="BH14" s="963"/>
      <c r="BI14" s="448">
        <f>+BA14+272886474</f>
        <v>885941300</v>
      </c>
      <c r="BJ14" s="448">
        <v>2189527143</v>
      </c>
      <c r="BK14" s="449">
        <f>+BI14/BJ14</f>
        <v>0.40462677196416014</v>
      </c>
      <c r="BL14" s="451" t="s">
        <v>1048</v>
      </c>
      <c r="BM14" s="965"/>
      <c r="BN14" s="959"/>
      <c r="BO14" s="961"/>
      <c r="BP14" s="963"/>
      <c r="BQ14" s="448">
        <f>+BI14+781096477</f>
        <v>1667037777</v>
      </c>
      <c r="BR14" s="448">
        <v>1839066055</v>
      </c>
      <c r="BS14" s="449">
        <f>+BQ14/BR14</f>
        <v>0.90645889116799561</v>
      </c>
      <c r="BT14" s="452" t="s">
        <v>1049</v>
      </c>
    </row>
    <row r="15" spans="1:72" x14ac:dyDescent="0.25">
      <c r="AW15"/>
      <c r="AX15"/>
      <c r="AY15" s="453"/>
      <c r="AZ15"/>
      <c r="BA15"/>
      <c r="BB15"/>
      <c r="BC15" s="453"/>
      <c r="BD15"/>
      <c r="BE15"/>
      <c r="BF15"/>
      <c r="BG15" s="453"/>
      <c r="BH15"/>
      <c r="BI15"/>
      <c r="BJ15"/>
      <c r="BK15" s="453"/>
      <c r="BL15"/>
      <c r="BM15"/>
      <c r="BN15"/>
      <c r="BO15" s="453"/>
      <c r="BP15"/>
      <c r="BQ15"/>
      <c r="BS15" s="453"/>
    </row>
    <row r="16" spans="1:72" ht="70.5" customHeight="1" x14ac:dyDescent="0.25">
      <c r="V16" s="231"/>
      <c r="Y16" s="657" t="s">
        <v>865</v>
      </c>
      <c r="Z16" s="657"/>
      <c r="AA16" s="55">
        <f>+AVERAGE(AA11:AA14)</f>
        <v>0.7521339119507805</v>
      </c>
      <c r="AB16" s="286"/>
      <c r="AC16" s="657" t="s">
        <v>866</v>
      </c>
      <c r="AD16" s="657"/>
      <c r="AE16" s="55">
        <f>+AVERAGE(AE13:AE15)</f>
        <v>0.21153420125950409</v>
      </c>
      <c r="AG16" s="657" t="s">
        <v>865</v>
      </c>
      <c r="AH16" s="657"/>
      <c r="AI16" s="55">
        <f>+AVERAGE(AI11:AI14)</f>
        <v>0.68469658488729568</v>
      </c>
      <c r="AJ16" s="286"/>
      <c r="AK16" s="657" t="s">
        <v>866</v>
      </c>
      <c r="AL16" s="657"/>
      <c r="AM16" s="55">
        <f>+AVERAGE(AM13:AM15)</f>
        <v>0.26354377948786761</v>
      </c>
      <c r="AO16" s="657" t="s">
        <v>865</v>
      </c>
      <c r="AP16" s="657"/>
      <c r="AQ16" s="55">
        <f>+AVERAGE(AQ11:AQ14)</f>
        <v>0.72421983089289765</v>
      </c>
      <c r="AR16" s="286"/>
      <c r="AS16" s="657" t="s">
        <v>866</v>
      </c>
      <c r="AT16" s="657"/>
      <c r="AU16" s="55">
        <f>+AVERAGE(AU13:AU15)</f>
        <v>0.36455102516895727</v>
      </c>
      <c r="AW16" s="657" t="s">
        <v>865</v>
      </c>
      <c r="AX16" s="657"/>
      <c r="AY16" s="55">
        <f>+AVERAGE(AY11:AY14)</f>
        <v>0.7136982518604067</v>
      </c>
      <c r="AZ16" s="286"/>
      <c r="BA16" s="657" t="s">
        <v>866</v>
      </c>
      <c r="BB16" s="657"/>
      <c r="BC16" s="55">
        <f>+AVERAGE(BC13:BC15)</f>
        <v>0.3601560029423837</v>
      </c>
      <c r="BE16" s="657" t="s">
        <v>865</v>
      </c>
      <c r="BF16" s="657"/>
      <c r="BG16" s="55">
        <f>+AVERAGE(BG11:BG14)</f>
        <v>0.76285855469159147</v>
      </c>
      <c r="BH16" s="286"/>
      <c r="BI16" s="657" t="s">
        <v>866</v>
      </c>
      <c r="BJ16" s="657"/>
      <c r="BK16" s="55">
        <f>+AVERAGE(BK13:BK15)</f>
        <v>0.43105181192705144</v>
      </c>
      <c r="BM16" s="657" t="s">
        <v>865</v>
      </c>
      <c r="BN16" s="657"/>
      <c r="BO16" s="55">
        <f>+AVERAGE(BO11:BO14)</f>
        <v>0.81106322217685201</v>
      </c>
      <c r="BP16" s="286"/>
      <c r="BQ16" s="657" t="s">
        <v>866</v>
      </c>
      <c r="BR16" s="657"/>
      <c r="BS16" s="55">
        <f>+AVERAGE(BS13:BS15)</f>
        <v>0.69496267339536177</v>
      </c>
    </row>
    <row r="17" spans="45:45" x14ac:dyDescent="0.25">
      <c r="AS17" s="244"/>
    </row>
    <row r="18" spans="45:45" x14ac:dyDescent="0.25">
      <c r="AS18" s="245"/>
    </row>
  </sheetData>
  <sheetProtection algorithmName="SHA-512" hashValue="LngtD7MgD489sSa+6r5PBJsUzYK2gcU8AJMn/MiNpFOFjRaQeHqNto4wpeU752GT2txfLejR+4ulMNJ2e/Er5g==" saltValue="MsM+hlyER6LlU0aLWHl8Ew==" spinCount="100000" sheet="1" objects="1" scenarios="1" selectLockedCells="1" selectUnlockedCells="1"/>
  <mergeCells count="144">
    <mergeCell ref="L13:L14"/>
    <mergeCell ref="AS16:AT16"/>
    <mergeCell ref="Y16:Z16"/>
    <mergeCell ref="AC16:AD16"/>
    <mergeCell ref="AG16:AH16"/>
    <mergeCell ref="AK16:AL16"/>
    <mergeCell ref="AO16:AP16"/>
    <mergeCell ref="A11:A14"/>
    <mergeCell ref="B11:B14"/>
    <mergeCell ref="C11:C14"/>
    <mergeCell ref="E11:E14"/>
    <mergeCell ref="F11:F14"/>
    <mergeCell ref="D11:D14"/>
    <mergeCell ref="M13:M14"/>
    <mergeCell ref="N13:N14"/>
    <mergeCell ref="O13:O14"/>
    <mergeCell ref="Y13:Y14"/>
    <mergeCell ref="Z13:Z14"/>
    <mergeCell ref="AA13:AA14"/>
    <mergeCell ref="AB13:AB14"/>
    <mergeCell ref="AS11:AV11"/>
    <mergeCell ref="AS12:AV12"/>
    <mergeCell ref="C1:X3"/>
    <mergeCell ref="A4:K4"/>
    <mergeCell ref="L4:P5"/>
    <mergeCell ref="Q4:U5"/>
    <mergeCell ref="V4:W5"/>
    <mergeCell ref="X4:X5"/>
    <mergeCell ref="A7:A9"/>
    <mergeCell ref="B7:B9"/>
    <mergeCell ref="C7:C9"/>
    <mergeCell ref="J7:J9"/>
    <mergeCell ref="X7:X9"/>
    <mergeCell ref="D7:D9"/>
    <mergeCell ref="E7:E9"/>
    <mergeCell ref="F7:F9"/>
    <mergeCell ref="G7:G9"/>
    <mergeCell ref="H7:H9"/>
    <mergeCell ref="I7:I9"/>
    <mergeCell ref="K7:K9"/>
    <mergeCell ref="L7:L9"/>
    <mergeCell ref="M7:M9"/>
    <mergeCell ref="N7:N9"/>
    <mergeCell ref="O7:O9"/>
    <mergeCell ref="W7:W14"/>
    <mergeCell ref="P13:P14"/>
    <mergeCell ref="Y4:AF4"/>
    <mergeCell ref="AG4:AN4"/>
    <mergeCell ref="AO4:AV4"/>
    <mergeCell ref="A5:C5"/>
    <mergeCell ref="E5:F5"/>
    <mergeCell ref="G5:I5"/>
    <mergeCell ref="J5:J6"/>
    <mergeCell ref="K5:K6"/>
    <mergeCell ref="Y5:AB5"/>
    <mergeCell ref="AC5:AF5"/>
    <mergeCell ref="AG5:AJ5"/>
    <mergeCell ref="AK5:AN5"/>
    <mergeCell ref="AO5:AR5"/>
    <mergeCell ref="AS5:AV5"/>
    <mergeCell ref="AK10:AL10"/>
    <mergeCell ref="AG10:AH10"/>
    <mergeCell ref="AC10:AD10"/>
    <mergeCell ref="Y10:Z10"/>
    <mergeCell ref="AG13:AG14"/>
    <mergeCell ref="AH13:AH14"/>
    <mergeCell ref="AI13:AI14"/>
    <mergeCell ref="AR7:AR9"/>
    <mergeCell ref="AR13:AR14"/>
    <mergeCell ref="AQ7:AQ9"/>
    <mergeCell ref="AC12:AF12"/>
    <mergeCell ref="AO13:AO14"/>
    <mergeCell ref="AJ13:AJ14"/>
    <mergeCell ref="AP13:AP14"/>
    <mergeCell ref="AQ13:AQ14"/>
    <mergeCell ref="AS10:AT10"/>
    <mergeCell ref="AO10:AP10"/>
    <mergeCell ref="G11:G14"/>
    <mergeCell ref="K11:K14"/>
    <mergeCell ref="AH7:AH9"/>
    <mergeCell ref="AI7:AI9"/>
    <mergeCell ref="P7:P9"/>
    <mergeCell ref="V7:V9"/>
    <mergeCell ref="Y7:Y9"/>
    <mergeCell ref="Z7:Z9"/>
    <mergeCell ref="AA7:AA9"/>
    <mergeCell ref="AB7:AB9"/>
    <mergeCell ref="AG7:AG9"/>
    <mergeCell ref="H11:H14"/>
    <mergeCell ref="I11:I14"/>
    <mergeCell ref="J11:J14"/>
    <mergeCell ref="X11:X14"/>
    <mergeCell ref="AJ7:AJ9"/>
    <mergeCell ref="AO7:AO9"/>
    <mergeCell ref="AP7:AP9"/>
    <mergeCell ref="V13:V14"/>
    <mergeCell ref="AK12:AN12"/>
    <mergeCell ref="AK11:AN11"/>
    <mergeCell ref="AC11:AF11"/>
    <mergeCell ref="AW4:BD4"/>
    <mergeCell ref="BE4:BL4"/>
    <mergeCell ref="BM4:BT4"/>
    <mergeCell ref="AW5:AZ5"/>
    <mergeCell ref="BA5:BD5"/>
    <mergeCell ref="BE5:BH5"/>
    <mergeCell ref="BI5:BL5"/>
    <mergeCell ref="BM5:BP5"/>
    <mergeCell ref="BQ5:BT5"/>
    <mergeCell ref="BO7:BO9"/>
    <mergeCell ref="BP7:BP9"/>
    <mergeCell ref="BF7:BF9"/>
    <mergeCell ref="BG7:BG9"/>
    <mergeCell ref="BH7:BH9"/>
    <mergeCell ref="BM7:BM9"/>
    <mergeCell ref="BN7:BN9"/>
    <mergeCell ref="AW7:AW9"/>
    <mergeCell ref="AX7:AX9"/>
    <mergeCell ref="AY7:AY9"/>
    <mergeCell ref="AZ7:AZ9"/>
    <mergeCell ref="BE7:BE9"/>
    <mergeCell ref="BN13:BN14"/>
    <mergeCell ref="BO13:BO14"/>
    <mergeCell ref="BP13:BP14"/>
    <mergeCell ref="BQ10:BR10"/>
    <mergeCell ref="AW16:AX16"/>
    <mergeCell ref="BA16:BB16"/>
    <mergeCell ref="BE16:BF16"/>
    <mergeCell ref="BI16:BJ16"/>
    <mergeCell ref="BM16:BN16"/>
    <mergeCell ref="BQ16:BR16"/>
    <mergeCell ref="AW13:AW14"/>
    <mergeCell ref="AX13:AX14"/>
    <mergeCell ref="AY13:AY14"/>
    <mergeCell ref="AZ13:AZ14"/>
    <mergeCell ref="BE13:BE14"/>
    <mergeCell ref="BF13:BF14"/>
    <mergeCell ref="BG13:BG14"/>
    <mergeCell ref="BH13:BH14"/>
    <mergeCell ref="BM13:BM14"/>
    <mergeCell ref="AW10:AX10"/>
    <mergeCell ref="BA10:BB10"/>
    <mergeCell ref="BE10:BF10"/>
    <mergeCell ref="BI10:BJ10"/>
    <mergeCell ref="BM10:BN10"/>
  </mergeCells>
  <pageMargins left="0.7" right="0.7" top="0.75" bottom="0.75" header="0.3" footer="0.3"/>
  <pageSetup paperSize="9"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4C8D8-6993-4B0E-8E31-C3B2C04BA847}">
  <sheetPr>
    <tabColor theme="4"/>
  </sheetPr>
  <dimension ref="A1:BU117"/>
  <sheetViews>
    <sheetView topLeftCell="BI1" zoomScale="70" zoomScaleNormal="70" workbookViewId="0">
      <selection activeCell="BO15" sqref="BO15"/>
    </sheetView>
  </sheetViews>
  <sheetFormatPr baseColWidth="10" defaultColWidth="11.42578125" defaultRowHeight="15" x14ac:dyDescent="0.25"/>
  <cols>
    <col min="1" max="1" width="21.140625" style="247" customWidth="1"/>
    <col min="2" max="2" width="17.85546875" style="247" customWidth="1"/>
    <col min="3" max="3" width="24.140625" style="247" customWidth="1"/>
    <col min="4" max="4" width="26.42578125" style="247" customWidth="1"/>
    <col min="5" max="5" width="18.140625" style="247" customWidth="1"/>
    <col min="6" max="6" width="20.5703125" style="247" customWidth="1"/>
    <col min="7" max="7" width="14" style="247" customWidth="1"/>
    <col min="8" max="8" width="16.5703125" style="247" customWidth="1"/>
    <col min="9" max="9" width="15.140625" style="247" customWidth="1"/>
    <col min="10" max="10" width="15.85546875" style="247" customWidth="1"/>
    <col min="11" max="11" width="16.42578125" style="247" customWidth="1"/>
    <col min="12" max="12" width="21.85546875" style="247" customWidth="1"/>
    <col min="13" max="13" width="23" style="247" customWidth="1"/>
    <col min="14" max="14" width="11.42578125" style="247"/>
    <col min="15" max="15" width="13.5703125" style="247" customWidth="1"/>
    <col min="16" max="16" width="11.42578125" style="247"/>
    <col min="17" max="17" width="20.28515625" style="247" customWidth="1"/>
    <col min="18" max="18" width="20.140625" style="247" customWidth="1"/>
    <col min="19" max="19" width="12.28515625" style="247" customWidth="1"/>
    <col min="20" max="20" width="11.42578125" style="247"/>
    <col min="21" max="21" width="11.5703125" style="247" customWidth="1"/>
    <col min="22" max="22" width="17.42578125" style="248" bestFit="1" customWidth="1"/>
    <col min="23" max="23" width="16.7109375" style="248" customWidth="1"/>
    <col min="24" max="24" width="16.7109375" style="247" customWidth="1"/>
    <col min="25" max="25" width="16.28515625" style="247" customWidth="1"/>
    <col min="26" max="26" width="11.42578125" style="247"/>
    <col min="27" max="27" width="16" style="247" customWidth="1"/>
    <col min="28" max="28" width="40.5703125" style="247" customWidth="1"/>
    <col min="29" max="29" width="14.5703125" style="247" customWidth="1"/>
    <col min="30" max="30" width="11.42578125" style="247"/>
    <col min="31" max="31" width="13" style="247" customWidth="1"/>
    <col min="32" max="32" width="32.85546875" style="247" customWidth="1"/>
    <col min="33" max="33" width="18.140625" style="247" bestFit="1" customWidth="1"/>
    <col min="34" max="34" width="11.42578125" style="247"/>
    <col min="35" max="35" width="16" style="247" customWidth="1"/>
    <col min="36" max="36" width="40.5703125" style="247" customWidth="1"/>
    <col min="37" max="37" width="17.140625" style="247" bestFit="1" customWidth="1"/>
    <col min="38" max="38" width="11.42578125" style="247"/>
    <col min="39" max="39" width="13" style="247" customWidth="1"/>
    <col min="40" max="40" width="32.85546875" style="247" customWidth="1"/>
    <col min="41" max="41" width="18.140625" style="247" bestFit="1" customWidth="1"/>
    <col min="42" max="42" width="11.42578125" style="247"/>
    <col min="43" max="43" width="16" style="247" customWidth="1"/>
    <col min="44" max="44" width="40.5703125" style="247" customWidth="1"/>
    <col min="45" max="45" width="17.140625" style="247" bestFit="1" customWidth="1"/>
    <col min="46" max="46" width="11.42578125" style="247"/>
    <col min="47" max="47" width="13" style="247" customWidth="1"/>
    <col min="48" max="48" width="32.85546875" style="247" customWidth="1"/>
    <col min="49" max="49" width="18.140625" style="247" bestFit="1" customWidth="1"/>
    <col min="50" max="50" width="11.42578125" style="247"/>
    <col min="51" max="51" width="16" style="247" customWidth="1"/>
    <col min="52" max="52" width="40.5703125" style="247" customWidth="1"/>
    <col min="53" max="53" width="17.140625" style="247" bestFit="1" customWidth="1"/>
    <col min="54" max="54" width="11.42578125" style="247"/>
    <col min="55" max="55" width="13" style="247" customWidth="1"/>
    <col min="56" max="56" width="32.85546875" style="247" customWidth="1"/>
    <col min="57" max="57" width="18.140625" style="247" bestFit="1" customWidth="1"/>
    <col min="58" max="58" width="11.42578125" style="247"/>
    <col min="59" max="59" width="16" style="247" customWidth="1"/>
    <col min="60" max="60" width="40.5703125" style="247" customWidth="1"/>
    <col min="61" max="61" width="17.140625" style="247" bestFit="1" customWidth="1"/>
    <col min="62" max="62" width="11.42578125" style="247"/>
    <col min="63" max="63" width="13" style="247" customWidth="1"/>
    <col min="64" max="64" width="32.85546875" style="247" customWidth="1"/>
    <col min="65" max="65" width="18.140625" style="247" bestFit="1" customWidth="1"/>
    <col min="66" max="66" width="11.42578125" style="247"/>
    <col min="67" max="67" width="16" style="247" customWidth="1"/>
    <col min="68" max="68" width="40.5703125" style="247" customWidth="1"/>
    <col min="69" max="69" width="17.140625" style="247" bestFit="1" customWidth="1"/>
    <col min="70" max="70" width="11.42578125" style="247"/>
    <col min="71" max="71" width="13" style="247" customWidth="1"/>
    <col min="72" max="72" width="32.85546875" style="247" customWidth="1"/>
    <col min="73" max="73" width="18.28515625" style="579" hidden="1" customWidth="1"/>
    <col min="74" max="16384" width="11.42578125" style="247"/>
  </cols>
  <sheetData>
    <row r="1" spans="1:73" s="1" customFormat="1" ht="15.75" x14ac:dyDescent="0.25">
      <c r="C1" s="769" t="s">
        <v>0</v>
      </c>
      <c r="D1" s="769"/>
      <c r="E1" s="769"/>
      <c r="F1" s="769"/>
      <c r="G1" s="769"/>
      <c r="H1" s="769"/>
      <c r="I1" s="769"/>
      <c r="J1" s="769"/>
      <c r="K1" s="769"/>
      <c r="L1" s="769"/>
      <c r="M1" s="769"/>
      <c r="N1" s="769"/>
      <c r="O1" s="769"/>
      <c r="P1" s="769"/>
      <c r="Q1" s="769"/>
      <c r="R1" s="769"/>
      <c r="S1" s="769"/>
      <c r="T1" s="769"/>
      <c r="U1" s="769"/>
      <c r="V1" s="769"/>
      <c r="W1" s="769"/>
      <c r="X1" s="769"/>
      <c r="AE1" s="2"/>
      <c r="AF1" s="3"/>
      <c r="AM1" s="2"/>
      <c r="AN1" s="3"/>
      <c r="AU1" s="2"/>
      <c r="AV1" s="3"/>
      <c r="AW1" s="1" t="s">
        <v>1110</v>
      </c>
      <c r="BC1" s="2"/>
      <c r="BD1" s="3"/>
      <c r="BE1" s="1" t="s">
        <v>1110</v>
      </c>
      <c r="BK1" s="2"/>
      <c r="BL1" s="3"/>
      <c r="BM1" s="1" t="s">
        <v>1110</v>
      </c>
      <c r="BS1" s="4" t="s">
        <v>1</v>
      </c>
      <c r="BT1" s="5">
        <v>43458</v>
      </c>
      <c r="BU1" s="566"/>
    </row>
    <row r="2" spans="1:73" s="1" customFormat="1" ht="30" customHeight="1" x14ac:dyDescent="0.25">
      <c r="C2" s="769"/>
      <c r="D2" s="769"/>
      <c r="E2" s="769"/>
      <c r="F2" s="769"/>
      <c r="G2" s="769"/>
      <c r="H2" s="769"/>
      <c r="I2" s="769"/>
      <c r="J2" s="769"/>
      <c r="K2" s="769"/>
      <c r="L2" s="769"/>
      <c r="M2" s="769"/>
      <c r="N2" s="769"/>
      <c r="O2" s="769"/>
      <c r="P2" s="769"/>
      <c r="Q2" s="769"/>
      <c r="R2" s="769"/>
      <c r="S2" s="769"/>
      <c r="T2" s="769"/>
      <c r="U2" s="769"/>
      <c r="V2" s="769"/>
      <c r="W2" s="769"/>
      <c r="X2" s="769"/>
      <c r="AE2" s="2"/>
      <c r="AF2" s="2"/>
      <c r="AM2" s="2"/>
      <c r="AN2" s="2"/>
      <c r="AU2" s="2"/>
      <c r="AV2" s="2"/>
      <c r="BC2" s="2"/>
      <c r="BD2" s="2"/>
      <c r="BK2" s="2"/>
      <c r="BL2" s="2"/>
      <c r="BS2" s="4" t="s">
        <v>2</v>
      </c>
      <c r="BT2" s="4">
        <v>5</v>
      </c>
      <c r="BU2" s="566"/>
    </row>
    <row r="3" spans="1:73" s="1" customFormat="1" ht="29.25" customHeight="1" x14ac:dyDescent="0.25">
      <c r="C3" s="769"/>
      <c r="D3" s="769"/>
      <c r="E3" s="769"/>
      <c r="F3" s="769"/>
      <c r="G3" s="769"/>
      <c r="H3" s="769"/>
      <c r="I3" s="769"/>
      <c r="J3" s="769"/>
      <c r="K3" s="769"/>
      <c r="L3" s="769"/>
      <c r="M3" s="769"/>
      <c r="N3" s="769"/>
      <c r="O3" s="769"/>
      <c r="P3" s="769"/>
      <c r="Q3" s="769"/>
      <c r="R3" s="769"/>
      <c r="S3" s="769"/>
      <c r="T3" s="769"/>
      <c r="U3" s="769"/>
      <c r="V3" s="769"/>
      <c r="W3" s="769"/>
      <c r="X3" s="769"/>
      <c r="AE3" s="2"/>
      <c r="AF3" s="2"/>
      <c r="AM3" s="2"/>
      <c r="AN3" s="2"/>
      <c r="AO3" s="560"/>
      <c r="AP3" s="560"/>
      <c r="AQ3" s="560"/>
      <c r="AR3" s="560"/>
      <c r="AS3" s="560"/>
      <c r="AT3" s="560"/>
      <c r="AU3" s="559"/>
      <c r="AV3" s="559"/>
      <c r="BC3" s="2"/>
      <c r="BD3" s="2"/>
      <c r="BK3" s="2"/>
      <c r="BL3" s="2"/>
      <c r="BS3" s="4" t="s">
        <v>3</v>
      </c>
      <c r="BT3" s="4" t="s">
        <v>4</v>
      </c>
      <c r="BU3" s="566"/>
    </row>
    <row r="4" spans="1:73" s="194" customFormat="1" x14ac:dyDescent="0.25">
      <c r="A4" s="815" t="s">
        <v>5</v>
      </c>
      <c r="B4" s="816"/>
      <c r="C4" s="816"/>
      <c r="D4" s="816"/>
      <c r="E4" s="816"/>
      <c r="F4" s="816"/>
      <c r="G4" s="816"/>
      <c r="H4" s="816"/>
      <c r="I4" s="816"/>
      <c r="J4" s="816"/>
      <c r="K4" s="817"/>
      <c r="L4" s="818" t="s">
        <v>6</v>
      </c>
      <c r="M4" s="819"/>
      <c r="N4" s="819"/>
      <c r="O4" s="819"/>
      <c r="P4" s="820"/>
      <c r="Q4" s="818" t="s">
        <v>7</v>
      </c>
      <c r="R4" s="819"/>
      <c r="S4" s="819"/>
      <c r="T4" s="819"/>
      <c r="U4" s="820"/>
      <c r="V4" s="821" t="s">
        <v>8</v>
      </c>
      <c r="W4" s="822"/>
      <c r="X4" s="825" t="s">
        <v>9</v>
      </c>
      <c r="Y4" s="812" t="s">
        <v>10</v>
      </c>
      <c r="Z4" s="813"/>
      <c r="AA4" s="813"/>
      <c r="AB4" s="813"/>
      <c r="AC4" s="813"/>
      <c r="AD4" s="813"/>
      <c r="AE4" s="813"/>
      <c r="AF4" s="814"/>
      <c r="AG4" s="812" t="s">
        <v>11</v>
      </c>
      <c r="AH4" s="813"/>
      <c r="AI4" s="813"/>
      <c r="AJ4" s="813"/>
      <c r="AK4" s="813"/>
      <c r="AL4" s="813"/>
      <c r="AM4" s="813"/>
      <c r="AN4" s="814"/>
      <c r="AO4" s="812" t="s">
        <v>12</v>
      </c>
      <c r="AP4" s="813"/>
      <c r="AQ4" s="813"/>
      <c r="AR4" s="813"/>
      <c r="AS4" s="813"/>
      <c r="AT4" s="813"/>
      <c r="AU4" s="813"/>
      <c r="AV4" s="814"/>
      <c r="AW4" s="812" t="s">
        <v>892</v>
      </c>
      <c r="AX4" s="813"/>
      <c r="AY4" s="813"/>
      <c r="AZ4" s="813"/>
      <c r="BA4" s="813"/>
      <c r="BB4" s="813"/>
      <c r="BC4" s="813"/>
      <c r="BD4" s="814"/>
      <c r="BE4" s="812" t="s">
        <v>893</v>
      </c>
      <c r="BF4" s="813"/>
      <c r="BG4" s="813"/>
      <c r="BH4" s="813"/>
      <c r="BI4" s="813"/>
      <c r="BJ4" s="813"/>
      <c r="BK4" s="813"/>
      <c r="BL4" s="814"/>
      <c r="BM4" s="812" t="s">
        <v>894</v>
      </c>
      <c r="BN4" s="813"/>
      <c r="BO4" s="813"/>
      <c r="BP4" s="813"/>
      <c r="BQ4" s="813"/>
      <c r="BR4" s="813"/>
      <c r="BS4" s="813"/>
      <c r="BT4" s="814"/>
      <c r="BU4" s="567"/>
    </row>
    <row r="5" spans="1:73" s="194" customFormat="1" ht="30" x14ac:dyDescent="0.25">
      <c r="A5" s="808" t="s">
        <v>13</v>
      </c>
      <c r="B5" s="803"/>
      <c r="C5" s="804"/>
      <c r="D5" s="522" t="s">
        <v>14</v>
      </c>
      <c r="E5" s="808" t="s">
        <v>15</v>
      </c>
      <c r="F5" s="804"/>
      <c r="G5" s="808" t="s">
        <v>16</v>
      </c>
      <c r="H5" s="803"/>
      <c r="I5" s="804"/>
      <c r="J5" s="810" t="s">
        <v>17</v>
      </c>
      <c r="K5" s="810" t="s">
        <v>18</v>
      </c>
      <c r="L5" s="812"/>
      <c r="M5" s="813"/>
      <c r="N5" s="813"/>
      <c r="O5" s="813"/>
      <c r="P5" s="814"/>
      <c r="Q5" s="812"/>
      <c r="R5" s="813"/>
      <c r="S5" s="813"/>
      <c r="T5" s="813"/>
      <c r="U5" s="814"/>
      <c r="V5" s="823"/>
      <c r="W5" s="824"/>
      <c r="X5" s="826"/>
      <c r="Y5" s="808" t="s">
        <v>19</v>
      </c>
      <c r="Z5" s="803"/>
      <c r="AA5" s="803"/>
      <c r="AB5" s="809"/>
      <c r="AC5" s="802" t="s">
        <v>20</v>
      </c>
      <c r="AD5" s="803"/>
      <c r="AE5" s="803"/>
      <c r="AF5" s="804"/>
      <c r="AG5" s="808" t="s">
        <v>19</v>
      </c>
      <c r="AH5" s="803"/>
      <c r="AI5" s="803"/>
      <c r="AJ5" s="809"/>
      <c r="AK5" s="802" t="s">
        <v>20</v>
      </c>
      <c r="AL5" s="803"/>
      <c r="AM5" s="803"/>
      <c r="AN5" s="804"/>
      <c r="AO5" s="808" t="s">
        <v>19</v>
      </c>
      <c r="AP5" s="803"/>
      <c r="AQ5" s="803"/>
      <c r="AR5" s="809"/>
      <c r="AS5" s="802" t="s">
        <v>20</v>
      </c>
      <c r="AT5" s="803"/>
      <c r="AU5" s="803"/>
      <c r="AV5" s="804"/>
      <c r="AW5" s="808" t="s">
        <v>19</v>
      </c>
      <c r="AX5" s="803"/>
      <c r="AY5" s="803"/>
      <c r="AZ5" s="809"/>
      <c r="BA5" s="802" t="s">
        <v>20</v>
      </c>
      <c r="BB5" s="803"/>
      <c r="BC5" s="803"/>
      <c r="BD5" s="804"/>
      <c r="BE5" s="808" t="s">
        <v>19</v>
      </c>
      <c r="BF5" s="803"/>
      <c r="BG5" s="803"/>
      <c r="BH5" s="809"/>
      <c r="BI5" s="802" t="s">
        <v>20</v>
      </c>
      <c r="BJ5" s="803"/>
      <c r="BK5" s="803"/>
      <c r="BL5" s="804"/>
      <c r="BM5" s="808" t="s">
        <v>19</v>
      </c>
      <c r="BN5" s="803"/>
      <c r="BO5" s="803"/>
      <c r="BP5" s="809"/>
      <c r="BQ5" s="802" t="s">
        <v>20</v>
      </c>
      <c r="BR5" s="803"/>
      <c r="BS5" s="803"/>
      <c r="BT5" s="804"/>
      <c r="BU5" s="568"/>
    </row>
    <row r="6" spans="1:73" s="194" customFormat="1" ht="45" x14ac:dyDescent="0.25">
      <c r="A6" s="235" t="s">
        <v>21</v>
      </c>
      <c r="B6" s="235" t="s">
        <v>22</v>
      </c>
      <c r="C6" s="235" t="s">
        <v>23</v>
      </c>
      <c r="D6" s="235" t="s">
        <v>24</v>
      </c>
      <c r="E6" s="235" t="s">
        <v>25</v>
      </c>
      <c r="F6" s="235" t="s">
        <v>26</v>
      </c>
      <c r="G6" s="235" t="s">
        <v>27</v>
      </c>
      <c r="H6" s="235" t="s">
        <v>28</v>
      </c>
      <c r="I6" s="235" t="s">
        <v>29</v>
      </c>
      <c r="J6" s="811"/>
      <c r="K6" s="811"/>
      <c r="L6" s="235" t="s">
        <v>6</v>
      </c>
      <c r="M6" s="235" t="s">
        <v>30</v>
      </c>
      <c r="N6" s="235" t="s">
        <v>31</v>
      </c>
      <c r="O6" s="235" t="s">
        <v>32</v>
      </c>
      <c r="P6" s="235" t="s">
        <v>33</v>
      </c>
      <c r="Q6" s="235" t="s">
        <v>7</v>
      </c>
      <c r="R6" s="235" t="s">
        <v>34</v>
      </c>
      <c r="S6" s="235" t="s">
        <v>31</v>
      </c>
      <c r="T6" s="235" t="s">
        <v>32</v>
      </c>
      <c r="U6" s="235" t="s">
        <v>35</v>
      </c>
      <c r="V6" s="246" t="s">
        <v>36</v>
      </c>
      <c r="W6" s="246" t="s">
        <v>37</v>
      </c>
      <c r="X6" s="235" t="s">
        <v>38</v>
      </c>
      <c r="Y6" s="235" t="s">
        <v>39</v>
      </c>
      <c r="Z6" s="235" t="s">
        <v>40</v>
      </c>
      <c r="AA6" s="235" t="s">
        <v>41</v>
      </c>
      <c r="AB6" s="235" t="s">
        <v>42</v>
      </c>
      <c r="AC6" s="235" t="s">
        <v>39</v>
      </c>
      <c r="AD6" s="235" t="s">
        <v>40</v>
      </c>
      <c r="AE6" s="235" t="s">
        <v>41</v>
      </c>
      <c r="AF6" s="235" t="s">
        <v>42</v>
      </c>
      <c r="AG6" s="235" t="s">
        <v>39</v>
      </c>
      <c r="AH6" s="235" t="s">
        <v>40</v>
      </c>
      <c r="AI6" s="235" t="s">
        <v>41</v>
      </c>
      <c r="AJ6" s="235" t="s">
        <v>42</v>
      </c>
      <c r="AK6" s="235" t="s">
        <v>39</v>
      </c>
      <c r="AL6" s="235" t="s">
        <v>40</v>
      </c>
      <c r="AM6" s="235" t="s">
        <v>41</v>
      </c>
      <c r="AN6" s="235" t="s">
        <v>42</v>
      </c>
      <c r="AO6" s="235" t="s">
        <v>39</v>
      </c>
      <c r="AP6" s="235" t="s">
        <v>40</v>
      </c>
      <c r="AQ6" s="235" t="s">
        <v>41</v>
      </c>
      <c r="AR6" s="235" t="s">
        <v>42</v>
      </c>
      <c r="AS6" s="235" t="s">
        <v>39</v>
      </c>
      <c r="AT6" s="235" t="s">
        <v>40</v>
      </c>
      <c r="AU6" s="235" t="s">
        <v>41</v>
      </c>
      <c r="AV6" s="235" t="s">
        <v>42</v>
      </c>
      <c r="AW6" s="235" t="s">
        <v>39</v>
      </c>
      <c r="AX6" s="235" t="s">
        <v>40</v>
      </c>
      <c r="AY6" s="235" t="s">
        <v>41</v>
      </c>
      <c r="AZ6" s="235" t="s">
        <v>42</v>
      </c>
      <c r="BA6" s="235" t="s">
        <v>39</v>
      </c>
      <c r="BB6" s="235" t="s">
        <v>40</v>
      </c>
      <c r="BC6" s="235" t="s">
        <v>41</v>
      </c>
      <c r="BD6" s="235" t="s">
        <v>42</v>
      </c>
      <c r="BE6" s="235" t="s">
        <v>39</v>
      </c>
      <c r="BF6" s="235" t="s">
        <v>40</v>
      </c>
      <c r="BG6" s="235" t="s">
        <v>41</v>
      </c>
      <c r="BH6" s="235" t="s">
        <v>42</v>
      </c>
      <c r="BI6" s="235" t="s">
        <v>39</v>
      </c>
      <c r="BJ6" s="235" t="s">
        <v>40</v>
      </c>
      <c r="BK6" s="235" t="s">
        <v>41</v>
      </c>
      <c r="BL6" s="235" t="s">
        <v>42</v>
      </c>
      <c r="BM6" s="235" t="s">
        <v>39</v>
      </c>
      <c r="BN6" s="235" t="s">
        <v>40</v>
      </c>
      <c r="BO6" s="235" t="s">
        <v>41</v>
      </c>
      <c r="BP6" s="235" t="s">
        <v>42</v>
      </c>
      <c r="BQ6" s="235" t="s">
        <v>39</v>
      </c>
      <c r="BR6" s="235" t="s">
        <v>40</v>
      </c>
      <c r="BS6" s="235" t="s">
        <v>41</v>
      </c>
      <c r="BT6" s="235" t="s">
        <v>42</v>
      </c>
      <c r="BU6" s="569" t="s">
        <v>1052</v>
      </c>
    </row>
    <row r="7" spans="1:73" s="250" customFormat="1" ht="147" customHeight="1" x14ac:dyDescent="0.25">
      <c r="A7" s="696" t="s">
        <v>43</v>
      </c>
      <c r="B7" s="696" t="s">
        <v>44</v>
      </c>
      <c r="C7" s="696" t="s">
        <v>45</v>
      </c>
      <c r="D7" s="762" t="s">
        <v>540</v>
      </c>
      <c r="E7" s="762" t="s">
        <v>47</v>
      </c>
      <c r="F7" s="762" t="s">
        <v>724</v>
      </c>
      <c r="G7" s="762" t="s">
        <v>629</v>
      </c>
      <c r="H7" s="762" t="s">
        <v>725</v>
      </c>
      <c r="I7" s="762" t="s">
        <v>590</v>
      </c>
      <c r="J7" s="694" t="s">
        <v>726</v>
      </c>
      <c r="K7" s="768" t="s">
        <v>725</v>
      </c>
      <c r="L7" s="527" t="s">
        <v>727</v>
      </c>
      <c r="M7" s="527" t="s">
        <v>728</v>
      </c>
      <c r="N7" s="527" t="s">
        <v>56</v>
      </c>
      <c r="O7" s="527"/>
      <c r="P7" s="527">
        <v>1</v>
      </c>
      <c r="Q7" s="241"/>
      <c r="R7" s="241"/>
      <c r="S7" s="241"/>
      <c r="T7" s="241"/>
      <c r="U7" s="241"/>
      <c r="V7" s="274">
        <v>973954634</v>
      </c>
      <c r="W7" s="897">
        <v>45317466258</v>
      </c>
      <c r="X7" s="768" t="s">
        <v>729</v>
      </c>
      <c r="Y7" s="526">
        <v>0</v>
      </c>
      <c r="Z7" s="275">
        <v>1</v>
      </c>
      <c r="AA7" s="526">
        <v>0</v>
      </c>
      <c r="AB7" s="527" t="s">
        <v>730</v>
      </c>
      <c r="AC7" s="241"/>
      <c r="AD7" s="241"/>
      <c r="AE7" s="241"/>
      <c r="AF7" s="241"/>
      <c r="AG7" s="275">
        <v>0</v>
      </c>
      <c r="AH7" s="275">
        <v>1</v>
      </c>
      <c r="AI7" s="526">
        <v>0</v>
      </c>
      <c r="AJ7" s="275" t="s">
        <v>730</v>
      </c>
      <c r="AK7" s="241"/>
      <c r="AL7" s="241"/>
      <c r="AM7" s="241"/>
      <c r="AN7" s="241"/>
      <c r="AO7" s="275">
        <v>0</v>
      </c>
      <c r="AP7" s="275">
        <v>1</v>
      </c>
      <c r="AQ7" s="526">
        <v>0</v>
      </c>
      <c r="AR7" s="275" t="s">
        <v>731</v>
      </c>
      <c r="AS7" s="241"/>
      <c r="AT7" s="241"/>
      <c r="AU7" s="241"/>
      <c r="AV7" s="241"/>
      <c r="AW7" s="275"/>
      <c r="AX7" s="275"/>
      <c r="AY7" s="526"/>
      <c r="AZ7" s="275"/>
      <c r="BA7" s="241"/>
      <c r="BB7" s="241"/>
      <c r="BC7" s="241"/>
      <c r="BD7" s="241"/>
      <c r="BE7" s="275"/>
      <c r="BF7" s="275"/>
      <c r="BG7" s="526"/>
      <c r="BH7" s="275"/>
      <c r="BI7" s="241"/>
      <c r="BJ7" s="241"/>
      <c r="BK7" s="241"/>
      <c r="BL7" s="241"/>
      <c r="BM7" s="275"/>
      <c r="BN7" s="275"/>
      <c r="BO7" s="526"/>
      <c r="BP7" s="275"/>
      <c r="BQ7" s="241"/>
      <c r="BR7" s="241"/>
      <c r="BS7" s="241"/>
      <c r="BT7" s="241"/>
      <c r="BU7" s="570" t="s">
        <v>732</v>
      </c>
    </row>
    <row r="8" spans="1:73" s="250" customFormat="1" ht="129" customHeight="1" x14ac:dyDescent="0.25">
      <c r="A8" s="697"/>
      <c r="B8" s="697"/>
      <c r="C8" s="716"/>
      <c r="D8" s="763"/>
      <c r="E8" s="763"/>
      <c r="F8" s="763"/>
      <c r="G8" s="763"/>
      <c r="H8" s="763"/>
      <c r="I8" s="763"/>
      <c r="J8" s="695"/>
      <c r="K8" s="693"/>
      <c r="L8" s="524" t="s">
        <v>733</v>
      </c>
      <c r="M8" s="524" t="s">
        <v>734</v>
      </c>
      <c r="N8" s="525" t="s">
        <v>74</v>
      </c>
      <c r="O8" s="524"/>
      <c r="P8" s="525">
        <v>1</v>
      </c>
      <c r="Q8" s="241"/>
      <c r="R8" s="241"/>
      <c r="S8" s="241"/>
      <c r="T8" s="241"/>
      <c r="U8" s="241"/>
      <c r="V8" s="273">
        <v>174099510</v>
      </c>
      <c r="W8" s="898"/>
      <c r="X8" s="693"/>
      <c r="Y8" s="525">
        <v>0.25</v>
      </c>
      <c r="Z8" s="525">
        <v>1</v>
      </c>
      <c r="AA8" s="525">
        <v>0.25</v>
      </c>
      <c r="AB8" s="524" t="s">
        <v>735</v>
      </c>
      <c r="AC8" s="241"/>
      <c r="AD8" s="241"/>
      <c r="AE8" s="241"/>
      <c r="AF8" s="241"/>
      <c r="AG8" s="525">
        <v>0.25</v>
      </c>
      <c r="AH8" s="525">
        <v>1</v>
      </c>
      <c r="AI8" s="525">
        <v>0.25</v>
      </c>
      <c r="AJ8" s="525" t="s">
        <v>735</v>
      </c>
      <c r="AK8" s="241"/>
      <c r="AL8" s="241"/>
      <c r="AM8" s="241"/>
      <c r="AN8" s="241"/>
      <c r="AO8" s="525">
        <v>0</v>
      </c>
      <c r="AP8" s="525">
        <v>1</v>
      </c>
      <c r="AQ8" s="525">
        <v>0.25</v>
      </c>
      <c r="AR8" s="525" t="s">
        <v>735</v>
      </c>
      <c r="AS8" s="241"/>
      <c r="AT8" s="241"/>
      <c r="AU8" s="241"/>
      <c r="AV8" s="241"/>
      <c r="AW8" s="525"/>
      <c r="AX8" s="525"/>
      <c r="AY8" s="525"/>
      <c r="AZ8" s="525"/>
      <c r="BA8" s="241"/>
      <c r="BB8" s="241"/>
      <c r="BC8" s="241"/>
      <c r="BD8" s="241"/>
      <c r="BE8" s="525"/>
      <c r="BF8" s="525"/>
      <c r="BG8" s="525"/>
      <c r="BH8" s="525"/>
      <c r="BI8" s="241"/>
      <c r="BJ8" s="241"/>
      <c r="BK8" s="241"/>
      <c r="BL8" s="241"/>
      <c r="BM8" s="525"/>
      <c r="BN8" s="525"/>
      <c r="BO8" s="525"/>
      <c r="BP8" s="525"/>
      <c r="BQ8" s="241"/>
      <c r="BR8" s="241"/>
      <c r="BS8" s="241"/>
      <c r="BT8" s="241"/>
      <c r="BU8" s="570">
        <v>0.25</v>
      </c>
    </row>
    <row r="9" spans="1:73" s="250" customFormat="1" ht="76.5" customHeight="1" x14ac:dyDescent="0.25">
      <c r="A9" s="697"/>
      <c r="B9" s="697"/>
      <c r="C9" s="15" t="s">
        <v>45</v>
      </c>
      <c r="D9" s="15" t="s">
        <v>540</v>
      </c>
      <c r="E9" s="15" t="s">
        <v>47</v>
      </c>
      <c r="F9" s="15" t="s">
        <v>724</v>
      </c>
      <c r="G9" s="15" t="s">
        <v>629</v>
      </c>
      <c r="H9" s="15" t="s">
        <v>725</v>
      </c>
      <c r="I9" s="15" t="s">
        <v>590</v>
      </c>
      <c r="J9" s="695"/>
      <c r="K9" s="693"/>
      <c r="L9" s="799" t="s">
        <v>736</v>
      </c>
      <c r="M9" s="799" t="s">
        <v>737</v>
      </c>
      <c r="N9" s="799" t="s">
        <v>74</v>
      </c>
      <c r="O9" s="799" t="s">
        <v>738</v>
      </c>
      <c r="P9" s="827">
        <v>0.75</v>
      </c>
      <c r="Q9" s="70" t="s">
        <v>739</v>
      </c>
      <c r="R9" s="70" t="s">
        <v>740</v>
      </c>
      <c r="S9" s="527" t="s">
        <v>56</v>
      </c>
      <c r="T9" s="527"/>
      <c r="U9" s="527">
        <v>3</v>
      </c>
      <c r="V9" s="997">
        <v>823917875</v>
      </c>
      <c r="W9" s="898"/>
      <c r="X9" s="693"/>
      <c r="Y9" s="827">
        <v>0</v>
      </c>
      <c r="Z9" s="827">
        <v>0.75</v>
      </c>
      <c r="AA9" s="827" t="s">
        <v>732</v>
      </c>
      <c r="AB9" s="799" t="s">
        <v>741</v>
      </c>
      <c r="AC9" s="275">
        <v>2</v>
      </c>
      <c r="AD9" s="275">
        <v>3</v>
      </c>
      <c r="AE9" s="526">
        <f>+AC9/AD9</f>
        <v>0.66666666666666663</v>
      </c>
      <c r="AF9" s="527" t="s">
        <v>742</v>
      </c>
      <c r="AG9" s="827">
        <v>0</v>
      </c>
      <c r="AH9" s="827">
        <v>0.75</v>
      </c>
      <c r="AI9" s="827" t="s">
        <v>732</v>
      </c>
      <c r="AJ9" s="799" t="s">
        <v>867</v>
      </c>
      <c r="AK9" s="275">
        <v>2</v>
      </c>
      <c r="AL9" s="275">
        <v>3</v>
      </c>
      <c r="AM9" s="526">
        <f>+AK9/AL9</f>
        <v>0.66666666666666663</v>
      </c>
      <c r="AN9" s="527" t="s">
        <v>742</v>
      </c>
      <c r="AO9" s="827"/>
      <c r="AP9" s="827"/>
      <c r="AQ9" s="827"/>
      <c r="AR9" s="799"/>
      <c r="AS9" s="275">
        <v>2</v>
      </c>
      <c r="AT9" s="275">
        <v>3</v>
      </c>
      <c r="AU9" s="526">
        <f>+AS9/AT9</f>
        <v>0.66666666666666663</v>
      </c>
      <c r="AV9" s="527" t="s">
        <v>742</v>
      </c>
      <c r="AW9" s="827"/>
      <c r="AX9" s="827"/>
      <c r="AY9" s="827"/>
      <c r="AZ9" s="799"/>
      <c r="BA9" s="275"/>
      <c r="BB9" s="275"/>
      <c r="BC9" s="526"/>
      <c r="BD9" s="527"/>
      <c r="BE9" s="827"/>
      <c r="BF9" s="827"/>
      <c r="BG9" s="827"/>
      <c r="BH9" s="799"/>
      <c r="BI9" s="275"/>
      <c r="BJ9" s="275"/>
      <c r="BK9" s="526"/>
      <c r="BL9" s="527"/>
      <c r="BM9" s="827"/>
      <c r="BN9" s="827"/>
      <c r="BO9" s="827"/>
      <c r="BP9" s="799"/>
      <c r="BQ9" s="275"/>
      <c r="BR9" s="275"/>
      <c r="BS9" s="526"/>
      <c r="BT9" s="527"/>
      <c r="BU9" s="991"/>
    </row>
    <row r="10" spans="1:73" s="250" customFormat="1" ht="165.75" x14ac:dyDescent="0.25">
      <c r="A10" s="697"/>
      <c r="B10" s="697"/>
      <c r="C10" s="742" t="s">
        <v>45</v>
      </c>
      <c r="D10" s="742" t="s">
        <v>540</v>
      </c>
      <c r="E10" s="742" t="s">
        <v>47</v>
      </c>
      <c r="F10" s="742" t="s">
        <v>724</v>
      </c>
      <c r="G10" s="742" t="s">
        <v>629</v>
      </c>
      <c r="H10" s="742" t="s">
        <v>725</v>
      </c>
      <c r="I10" s="742" t="s">
        <v>590</v>
      </c>
      <c r="J10" s="695"/>
      <c r="K10" s="693"/>
      <c r="L10" s="800"/>
      <c r="M10" s="800"/>
      <c r="N10" s="800"/>
      <c r="O10" s="800"/>
      <c r="P10" s="828"/>
      <c r="Q10" s="63" t="s">
        <v>743</v>
      </c>
      <c r="R10" s="63" t="s">
        <v>744</v>
      </c>
      <c r="S10" s="524" t="s">
        <v>74</v>
      </c>
      <c r="T10" s="524"/>
      <c r="U10" s="525">
        <v>0.9</v>
      </c>
      <c r="V10" s="998"/>
      <c r="W10" s="898"/>
      <c r="X10" s="693"/>
      <c r="Y10" s="828"/>
      <c r="Z10" s="828"/>
      <c r="AA10" s="828"/>
      <c r="AB10" s="800"/>
      <c r="AC10" s="276">
        <v>0.73</v>
      </c>
      <c r="AD10" s="276">
        <v>0.9</v>
      </c>
      <c r="AE10" s="276">
        <v>0</v>
      </c>
      <c r="AF10" s="277" t="s">
        <v>745</v>
      </c>
      <c r="AG10" s="828"/>
      <c r="AH10" s="828"/>
      <c r="AI10" s="828"/>
      <c r="AJ10" s="800"/>
      <c r="AK10" s="276">
        <v>0.79</v>
      </c>
      <c r="AL10" s="276">
        <v>0.9</v>
      </c>
      <c r="AM10" s="276">
        <v>0.35289999999999999</v>
      </c>
      <c r="AN10" s="277" t="s">
        <v>746</v>
      </c>
      <c r="AO10" s="828"/>
      <c r="AP10" s="828"/>
      <c r="AQ10" s="828"/>
      <c r="AR10" s="800"/>
      <c r="AS10" s="276">
        <v>0.82399999999999995</v>
      </c>
      <c r="AT10" s="276">
        <v>0.9</v>
      </c>
      <c r="AU10" s="276">
        <v>0.52939999999999998</v>
      </c>
      <c r="AV10" s="277" t="s">
        <v>747</v>
      </c>
      <c r="AW10" s="828"/>
      <c r="AX10" s="828"/>
      <c r="AY10" s="828"/>
      <c r="AZ10" s="800"/>
      <c r="BA10" s="276">
        <v>0.998</v>
      </c>
      <c r="BB10" s="276">
        <v>0.9</v>
      </c>
      <c r="BC10" s="276">
        <f>83.3%/BB10</f>
        <v>0.92555555555555546</v>
      </c>
      <c r="BD10" s="277" t="s">
        <v>1111</v>
      </c>
      <c r="BE10" s="828"/>
      <c r="BF10" s="828"/>
      <c r="BG10" s="828"/>
      <c r="BH10" s="800"/>
      <c r="BI10" s="276">
        <v>1</v>
      </c>
      <c r="BJ10" s="276">
        <v>0.9</v>
      </c>
      <c r="BK10" s="276">
        <f>86.9%/BJ10</f>
        <v>0.96555555555555561</v>
      </c>
      <c r="BL10" s="277" t="s">
        <v>1112</v>
      </c>
      <c r="BM10" s="828"/>
      <c r="BN10" s="828"/>
      <c r="BO10" s="828"/>
      <c r="BP10" s="800"/>
      <c r="BQ10" s="276">
        <v>1</v>
      </c>
      <c r="BR10" s="276">
        <v>0.9</v>
      </c>
      <c r="BS10" s="276">
        <f>89.2%/BR10</f>
        <v>0.99111111111111105</v>
      </c>
      <c r="BT10" s="277" t="s">
        <v>1113</v>
      </c>
      <c r="BU10" s="991"/>
    </row>
    <row r="11" spans="1:73" s="250" customFormat="1" ht="76.5" customHeight="1" x14ac:dyDescent="0.25">
      <c r="A11" s="697"/>
      <c r="B11" s="697"/>
      <c r="C11" s="743"/>
      <c r="D11" s="743"/>
      <c r="E11" s="743"/>
      <c r="F11" s="743"/>
      <c r="G11" s="743"/>
      <c r="H11" s="743"/>
      <c r="I11" s="743"/>
      <c r="J11" s="695"/>
      <c r="K11" s="693"/>
      <c r="L11" s="801"/>
      <c r="M11" s="801"/>
      <c r="N11" s="801"/>
      <c r="O11" s="801"/>
      <c r="P11" s="829"/>
      <c r="Q11" s="70" t="s">
        <v>748</v>
      </c>
      <c r="R11" s="70" t="s">
        <v>749</v>
      </c>
      <c r="S11" s="527" t="s">
        <v>74</v>
      </c>
      <c r="T11" s="527"/>
      <c r="U11" s="526">
        <v>1</v>
      </c>
      <c r="V11" s="999"/>
      <c r="W11" s="898"/>
      <c r="X11" s="693"/>
      <c r="Y11" s="829"/>
      <c r="Z11" s="829"/>
      <c r="AA11" s="829"/>
      <c r="AB11" s="801"/>
      <c r="AC11" s="275"/>
      <c r="AD11" s="526">
        <v>1</v>
      </c>
      <c r="AE11" s="526"/>
      <c r="AF11" s="527" t="s">
        <v>741</v>
      </c>
      <c r="AG11" s="829"/>
      <c r="AH11" s="829"/>
      <c r="AI11" s="829"/>
      <c r="AJ11" s="801"/>
      <c r="AK11" s="275"/>
      <c r="AL11" s="526"/>
      <c r="AM11" s="526"/>
      <c r="AN11" s="527"/>
      <c r="AO11" s="829"/>
      <c r="AP11" s="829"/>
      <c r="AQ11" s="829"/>
      <c r="AR11" s="801"/>
      <c r="AS11" s="275">
        <v>0.25</v>
      </c>
      <c r="AT11" s="526">
        <v>1</v>
      </c>
      <c r="AU11" s="526">
        <v>0.25</v>
      </c>
      <c r="AV11" s="527" t="s">
        <v>750</v>
      </c>
      <c r="AW11" s="829"/>
      <c r="AX11" s="829"/>
      <c r="AY11" s="829"/>
      <c r="AZ11" s="801"/>
      <c r="BA11" s="275"/>
      <c r="BB11" s="526"/>
      <c r="BC11" s="526"/>
      <c r="BD11" s="527"/>
      <c r="BE11" s="829"/>
      <c r="BF11" s="829"/>
      <c r="BG11" s="829"/>
      <c r="BH11" s="801"/>
      <c r="BI11" s="275"/>
      <c r="BJ11" s="526"/>
      <c r="BK11" s="526"/>
      <c r="BL11" s="527"/>
      <c r="BM11" s="829"/>
      <c r="BN11" s="829"/>
      <c r="BO11" s="829"/>
      <c r="BP11" s="801"/>
      <c r="BQ11" s="275"/>
      <c r="BR11" s="526"/>
      <c r="BS11" s="526"/>
      <c r="BT11" s="527"/>
      <c r="BU11" s="991"/>
    </row>
    <row r="12" spans="1:73" s="250" customFormat="1" ht="129" customHeight="1" x14ac:dyDescent="0.25">
      <c r="A12" s="716"/>
      <c r="B12" s="716"/>
      <c r="C12" s="743"/>
      <c r="D12" s="743"/>
      <c r="E12" s="743"/>
      <c r="F12" s="743"/>
      <c r="G12" s="743"/>
      <c r="H12" s="743"/>
      <c r="I12" s="743"/>
      <c r="J12" s="695"/>
      <c r="K12" s="693"/>
      <c r="L12" s="524" t="s">
        <v>751</v>
      </c>
      <c r="M12" s="524" t="s">
        <v>752</v>
      </c>
      <c r="N12" s="525" t="s">
        <v>74</v>
      </c>
      <c r="O12" s="524" t="s">
        <v>753</v>
      </c>
      <c r="P12" s="525">
        <v>1</v>
      </c>
      <c r="Q12" s="241"/>
      <c r="R12" s="241"/>
      <c r="S12" s="241"/>
      <c r="T12" s="241"/>
      <c r="U12" s="241"/>
      <c r="V12" s="273">
        <v>501086229</v>
      </c>
      <c r="W12" s="898"/>
      <c r="X12" s="693"/>
      <c r="Y12" s="525">
        <v>1</v>
      </c>
      <c r="Z12" s="525">
        <v>1</v>
      </c>
      <c r="AA12" s="525">
        <v>8.3333299999999999E-2</v>
      </c>
      <c r="AB12" s="524" t="s">
        <v>754</v>
      </c>
      <c r="AC12" s="241"/>
      <c r="AD12" s="241"/>
      <c r="AE12" s="241"/>
      <c r="AF12" s="241"/>
      <c r="AG12" s="525">
        <f>718/724</f>
        <v>0.99171270718232041</v>
      </c>
      <c r="AH12" s="525">
        <v>1</v>
      </c>
      <c r="AI12" s="525">
        <f>+(AG12/AH12)*8.333333%</f>
        <v>8.2642722292817675E-2</v>
      </c>
      <c r="AJ12" s="524" t="s">
        <v>755</v>
      </c>
      <c r="AK12" s="241"/>
      <c r="AL12" s="241"/>
      <c r="AM12" s="241"/>
      <c r="AN12" s="241"/>
      <c r="AO12" s="525">
        <v>0.99259807549962986</v>
      </c>
      <c r="AP12" s="525">
        <v>1</v>
      </c>
      <c r="AQ12" s="525">
        <f>+(AO12/AP12)*16.66666%</f>
        <v>0.16543294641006662</v>
      </c>
      <c r="AR12" s="524" t="s">
        <v>756</v>
      </c>
      <c r="AS12" s="241"/>
      <c r="AT12" s="241"/>
      <c r="AU12" s="241"/>
      <c r="AV12" s="241"/>
      <c r="AW12" s="525"/>
      <c r="AX12" s="525"/>
      <c r="AY12" s="525"/>
      <c r="AZ12" s="524"/>
      <c r="BA12" s="241"/>
      <c r="BB12" s="241"/>
      <c r="BC12" s="241"/>
      <c r="BD12" s="241"/>
      <c r="BE12" s="525"/>
      <c r="BF12" s="525"/>
      <c r="BG12" s="525"/>
      <c r="BH12" s="524"/>
      <c r="BI12" s="241"/>
      <c r="BJ12" s="241"/>
      <c r="BK12" s="241"/>
      <c r="BL12" s="241"/>
      <c r="BM12" s="525"/>
      <c r="BN12" s="525"/>
      <c r="BO12" s="525"/>
      <c r="BP12" s="524"/>
      <c r="BQ12" s="241"/>
      <c r="BR12" s="241"/>
      <c r="BS12" s="241"/>
      <c r="BT12" s="241"/>
      <c r="BU12" s="570">
        <v>0.16528000000000001</v>
      </c>
    </row>
    <row r="13" spans="1:73" s="265" customFormat="1" ht="64.5" customHeight="1" x14ac:dyDescent="0.25">
      <c r="A13" s="278"/>
      <c r="B13" s="278"/>
      <c r="C13" s="278"/>
      <c r="G13" s="278"/>
      <c r="J13" s="278"/>
      <c r="L13" s="279"/>
      <c r="P13" s="280"/>
      <c r="V13" s="281"/>
      <c r="W13" s="898"/>
      <c r="X13" s="267"/>
      <c r="Y13" s="657" t="s">
        <v>99</v>
      </c>
      <c r="Z13" s="657"/>
      <c r="AA13" s="55">
        <f>+AVERAGE(AA8:AA12)</f>
        <v>0.16666665</v>
      </c>
      <c r="AB13" s="267"/>
      <c r="AC13" s="657" t="s">
        <v>866</v>
      </c>
      <c r="AD13" s="657"/>
      <c r="AE13" s="55">
        <f>+AVERAGE(AE9:AE11)</f>
        <v>0.33333333333333331</v>
      </c>
      <c r="AF13" s="267"/>
      <c r="AG13" s="657" t="s">
        <v>865</v>
      </c>
      <c r="AH13" s="657"/>
      <c r="AI13" s="55">
        <f>+AVERAGE(AI8:AI12)</f>
        <v>0.16632136114640883</v>
      </c>
      <c r="AJ13" s="267"/>
      <c r="AK13" s="657" t="s">
        <v>866</v>
      </c>
      <c r="AL13" s="657"/>
      <c r="AM13" s="55">
        <f>+AVERAGE(AM9:AM11)</f>
        <v>0.50978333333333326</v>
      </c>
      <c r="AN13" s="267"/>
      <c r="AO13" s="657" t="s">
        <v>865</v>
      </c>
      <c r="AP13" s="657"/>
      <c r="AQ13" s="55">
        <f>+AVERAGE(AQ8:AQ12)</f>
        <v>0.20771647320503331</v>
      </c>
      <c r="AR13" s="267"/>
      <c r="AS13" s="657" t="s">
        <v>866</v>
      </c>
      <c r="AT13" s="657"/>
      <c r="AU13" s="55">
        <f>+AVERAGE(AU9:AU11)</f>
        <v>0.48202222222222219</v>
      </c>
      <c r="AV13" s="267"/>
      <c r="AW13" s="657" t="s">
        <v>865</v>
      </c>
      <c r="AX13" s="657"/>
      <c r="AY13" s="55"/>
      <c r="AZ13" s="267"/>
      <c r="BA13" s="657" t="s">
        <v>866</v>
      </c>
      <c r="BB13" s="657"/>
      <c r="BC13" s="55">
        <f>+AVERAGE(BC9:BC11)</f>
        <v>0.92555555555555546</v>
      </c>
      <c r="BD13" s="267"/>
      <c r="BE13" s="657" t="s">
        <v>865</v>
      </c>
      <c r="BF13" s="657"/>
      <c r="BG13" s="55"/>
      <c r="BH13" s="267"/>
      <c r="BI13" s="657" t="s">
        <v>866</v>
      </c>
      <c r="BJ13" s="657"/>
      <c r="BK13" s="55">
        <f>+AVERAGE(BK9:BK11)</f>
        <v>0.96555555555555561</v>
      </c>
      <c r="BL13" s="267"/>
      <c r="BM13" s="657" t="s">
        <v>865</v>
      </c>
      <c r="BN13" s="657"/>
      <c r="BO13" s="55"/>
      <c r="BP13" s="267"/>
      <c r="BQ13" s="657" t="s">
        <v>866</v>
      </c>
      <c r="BR13" s="657"/>
      <c r="BS13" s="55">
        <f>+AVERAGE(BS9:BS11)</f>
        <v>0.99111111111111105</v>
      </c>
      <c r="BT13" s="267"/>
      <c r="BU13" s="571">
        <f t="shared" ref="BU13" si="0">+AVERAGE(BU7:BU12)</f>
        <v>0.20763999999999999</v>
      </c>
    </row>
    <row r="14" spans="1:73" s="250" customFormat="1" ht="76.5" customHeight="1" x14ac:dyDescent="0.25">
      <c r="A14" s="702" t="s">
        <v>43</v>
      </c>
      <c r="B14" s="702" t="s">
        <v>44</v>
      </c>
      <c r="C14" s="702" t="s">
        <v>45</v>
      </c>
      <c r="D14" s="702" t="s">
        <v>349</v>
      </c>
      <c r="E14" s="702" t="s">
        <v>47</v>
      </c>
      <c r="F14" s="702" t="s">
        <v>326</v>
      </c>
      <c r="G14" s="702" t="s">
        <v>629</v>
      </c>
      <c r="H14" s="702" t="s">
        <v>757</v>
      </c>
      <c r="I14" s="702" t="s">
        <v>758</v>
      </c>
      <c r="J14" s="702" t="s">
        <v>726</v>
      </c>
      <c r="K14" s="702" t="s">
        <v>759</v>
      </c>
      <c r="L14" s="527" t="s">
        <v>760</v>
      </c>
      <c r="M14" s="527" t="s">
        <v>761</v>
      </c>
      <c r="N14" s="527" t="s">
        <v>74</v>
      </c>
      <c r="O14" s="527">
        <v>0</v>
      </c>
      <c r="P14" s="526">
        <v>0.8</v>
      </c>
      <c r="Q14" s="241"/>
      <c r="R14" s="241"/>
      <c r="S14" s="241"/>
      <c r="T14" s="241"/>
      <c r="U14" s="241"/>
      <c r="V14" s="274">
        <v>110676323</v>
      </c>
      <c r="W14" s="898"/>
      <c r="X14" s="797" t="s">
        <v>762</v>
      </c>
      <c r="Y14" s="526"/>
      <c r="Z14" s="526"/>
      <c r="AA14" s="526"/>
      <c r="AB14" s="526" t="s">
        <v>763</v>
      </c>
      <c r="AC14" s="241"/>
      <c r="AD14" s="241"/>
      <c r="AE14" s="241"/>
      <c r="AF14" s="241"/>
      <c r="AG14" s="526" t="s">
        <v>590</v>
      </c>
      <c r="AH14" s="526">
        <v>0.8</v>
      </c>
      <c r="AI14" s="526" t="s">
        <v>590</v>
      </c>
      <c r="AJ14" s="526" t="s">
        <v>764</v>
      </c>
      <c r="AK14" s="241"/>
      <c r="AL14" s="241"/>
      <c r="AM14" s="241"/>
      <c r="AN14" s="241"/>
      <c r="AO14" s="526">
        <v>0.61399999999999999</v>
      </c>
      <c r="AP14" s="526">
        <v>0.8</v>
      </c>
      <c r="AQ14" s="526">
        <f>+AO14/AP14</f>
        <v>0.76749999999999996</v>
      </c>
      <c r="AR14" s="526" t="s">
        <v>765</v>
      </c>
      <c r="AS14" s="241"/>
      <c r="AT14" s="241"/>
      <c r="AU14" s="241"/>
      <c r="AV14" s="241"/>
      <c r="AW14" s="526"/>
      <c r="AX14" s="526">
        <v>0.8</v>
      </c>
      <c r="AY14" s="526"/>
      <c r="AZ14" s="526" t="s">
        <v>1114</v>
      </c>
      <c r="BA14" s="241"/>
      <c r="BB14" s="241"/>
      <c r="BC14" s="241"/>
      <c r="BD14" s="241"/>
      <c r="BE14" s="526"/>
      <c r="BF14" s="526">
        <v>0.8</v>
      </c>
      <c r="BG14" s="526"/>
      <c r="BH14" s="526" t="s">
        <v>1115</v>
      </c>
      <c r="BI14" s="241"/>
      <c r="BJ14" s="241"/>
      <c r="BK14" s="241"/>
      <c r="BL14" s="241"/>
      <c r="BM14" s="526">
        <v>0.80500000000000005</v>
      </c>
      <c r="BN14" s="526">
        <v>0.8</v>
      </c>
      <c r="BO14" s="526">
        <f>(1824/2265)/BN14</f>
        <v>1.0066225165562914</v>
      </c>
      <c r="BP14" s="526" t="s">
        <v>1116</v>
      </c>
      <c r="BQ14" s="241"/>
      <c r="BR14" s="241"/>
      <c r="BS14" s="241"/>
      <c r="BT14" s="241"/>
      <c r="BU14" s="572"/>
    </row>
    <row r="15" spans="1:73" s="250" customFormat="1" ht="144" x14ac:dyDescent="0.25">
      <c r="A15" s="983"/>
      <c r="B15" s="983"/>
      <c r="C15" s="983"/>
      <c r="D15" s="983"/>
      <c r="E15" s="983"/>
      <c r="F15" s="983"/>
      <c r="G15" s="983"/>
      <c r="H15" s="983"/>
      <c r="I15" s="983"/>
      <c r="J15" s="983"/>
      <c r="K15" s="983"/>
      <c r="L15" s="524" t="s">
        <v>766</v>
      </c>
      <c r="M15" s="524" t="s">
        <v>767</v>
      </c>
      <c r="N15" s="525" t="s">
        <v>74</v>
      </c>
      <c r="O15" s="524">
        <v>0</v>
      </c>
      <c r="P15" s="525">
        <v>1</v>
      </c>
      <c r="Q15" s="241"/>
      <c r="R15" s="241"/>
      <c r="S15" s="241"/>
      <c r="T15" s="241"/>
      <c r="U15" s="241"/>
      <c r="V15" s="273">
        <v>845679065</v>
      </c>
      <c r="W15" s="898"/>
      <c r="X15" s="797"/>
      <c r="Y15" s="525">
        <v>1</v>
      </c>
      <c r="Z15" s="525">
        <v>1</v>
      </c>
      <c r="AA15" s="525">
        <v>8.3333332999999996E-2</v>
      </c>
      <c r="AB15" s="525" t="s">
        <v>768</v>
      </c>
      <c r="AC15" s="241"/>
      <c r="AD15" s="241"/>
      <c r="AE15" s="241"/>
      <c r="AF15" s="241"/>
      <c r="AG15" s="525">
        <v>1</v>
      </c>
      <c r="AH15" s="525">
        <v>1</v>
      </c>
      <c r="AI15" s="525">
        <v>0.16666666660000001</v>
      </c>
      <c r="AJ15" s="525" t="s">
        <v>769</v>
      </c>
      <c r="AK15" s="241"/>
      <c r="AL15" s="241"/>
      <c r="AM15" s="241"/>
      <c r="AN15" s="241"/>
      <c r="AO15" s="525">
        <v>1</v>
      </c>
      <c r="AP15" s="525">
        <v>1</v>
      </c>
      <c r="AQ15" s="525">
        <v>0.25</v>
      </c>
      <c r="AR15" s="525" t="s">
        <v>770</v>
      </c>
      <c r="AS15" s="241"/>
      <c r="AT15" s="241"/>
      <c r="AU15" s="241"/>
      <c r="AV15" s="241"/>
      <c r="AW15" s="525">
        <v>1</v>
      </c>
      <c r="AX15" s="525">
        <v>1</v>
      </c>
      <c r="AY15" s="525">
        <v>1</v>
      </c>
      <c r="AZ15" s="525" t="s">
        <v>1117</v>
      </c>
      <c r="BA15" s="241"/>
      <c r="BB15" s="241"/>
      <c r="BC15" s="241"/>
      <c r="BD15" s="241"/>
      <c r="BE15" s="525">
        <v>1</v>
      </c>
      <c r="BF15" s="525">
        <v>1</v>
      </c>
      <c r="BG15" s="525">
        <v>0.41666599999999998</v>
      </c>
      <c r="BH15" s="525" t="s">
        <v>1118</v>
      </c>
      <c r="BI15" s="241"/>
      <c r="BJ15" s="241"/>
      <c r="BK15" s="241"/>
      <c r="BL15" s="241"/>
      <c r="BM15" s="525">
        <v>1</v>
      </c>
      <c r="BN15" s="525">
        <v>1</v>
      </c>
      <c r="BO15" s="525">
        <f>100%*50%</f>
        <v>0.5</v>
      </c>
      <c r="BP15" s="525" t="s">
        <v>1119</v>
      </c>
      <c r="BQ15" s="241"/>
      <c r="BR15" s="241"/>
      <c r="BS15" s="241"/>
      <c r="BT15" s="241"/>
      <c r="BU15" s="570">
        <v>0.16666665999999999</v>
      </c>
    </row>
    <row r="16" spans="1:73" s="250" customFormat="1" ht="76.5" customHeight="1" x14ac:dyDescent="0.25">
      <c r="A16" s="703"/>
      <c r="B16" s="703"/>
      <c r="C16" s="703"/>
      <c r="D16" s="703"/>
      <c r="E16" s="703"/>
      <c r="F16" s="703"/>
      <c r="G16" s="703"/>
      <c r="H16" s="703"/>
      <c r="I16" s="703"/>
      <c r="J16" s="703"/>
      <c r="K16" s="703"/>
      <c r="L16" s="527" t="s">
        <v>771</v>
      </c>
      <c r="M16" s="527" t="s">
        <v>772</v>
      </c>
      <c r="N16" s="527" t="s">
        <v>74</v>
      </c>
      <c r="O16" s="527">
        <v>0</v>
      </c>
      <c r="P16" s="526">
        <v>1</v>
      </c>
      <c r="Q16" s="241"/>
      <c r="R16" s="241"/>
      <c r="S16" s="241"/>
      <c r="T16" s="241"/>
      <c r="U16" s="241"/>
      <c r="V16" s="274">
        <v>209203498</v>
      </c>
      <c r="W16" s="898"/>
      <c r="X16" s="797"/>
      <c r="Y16" s="526"/>
      <c r="Z16" s="526"/>
      <c r="AA16" s="526"/>
      <c r="AB16" s="531" t="s">
        <v>763</v>
      </c>
      <c r="AC16" s="241"/>
      <c r="AD16" s="241"/>
      <c r="AE16" s="241"/>
      <c r="AF16" s="241"/>
      <c r="AG16" s="526" t="s">
        <v>590</v>
      </c>
      <c r="AH16" s="526">
        <v>1</v>
      </c>
      <c r="AI16" s="526" t="s">
        <v>590</v>
      </c>
      <c r="AJ16" s="526" t="s">
        <v>764</v>
      </c>
      <c r="AK16" s="241"/>
      <c r="AL16" s="241"/>
      <c r="AM16" s="241"/>
      <c r="AN16" s="241"/>
      <c r="AO16" s="526">
        <v>0.52600000000000002</v>
      </c>
      <c r="AP16" s="526">
        <v>1</v>
      </c>
      <c r="AQ16" s="526">
        <v>0.13150000000000001</v>
      </c>
      <c r="AR16" s="526" t="s">
        <v>773</v>
      </c>
      <c r="AS16" s="241"/>
      <c r="AT16" s="241"/>
      <c r="AU16" s="241"/>
      <c r="AV16" s="241"/>
      <c r="AW16" s="526"/>
      <c r="AX16" s="526">
        <v>1</v>
      </c>
      <c r="AY16" s="526"/>
      <c r="AZ16" s="526" t="s">
        <v>1114</v>
      </c>
      <c r="BA16" s="241"/>
      <c r="BB16" s="241"/>
      <c r="BC16" s="241"/>
      <c r="BD16" s="241"/>
      <c r="BE16" s="526"/>
      <c r="BF16" s="526"/>
      <c r="BG16" s="526"/>
      <c r="BH16" s="526" t="s">
        <v>1115</v>
      </c>
      <c r="BI16" s="241"/>
      <c r="BJ16" s="241"/>
      <c r="BK16" s="241"/>
      <c r="BL16" s="241"/>
      <c r="BM16" s="526">
        <v>1</v>
      </c>
      <c r="BN16" s="526">
        <v>1</v>
      </c>
      <c r="BO16" s="526">
        <f>+AVERAGE(AO16,BM16)*50%</f>
        <v>0.38150000000000001</v>
      </c>
      <c r="BP16" s="526" t="s">
        <v>1120</v>
      </c>
      <c r="BQ16" s="241"/>
      <c r="BR16" s="241"/>
      <c r="BS16" s="241"/>
      <c r="BT16" s="241"/>
      <c r="BU16" s="570"/>
    </row>
    <row r="17" spans="1:73" s="265" customFormat="1" ht="67.5" customHeight="1" x14ac:dyDescent="0.25">
      <c r="A17" s="278"/>
      <c r="B17" s="278"/>
      <c r="C17" s="278"/>
      <c r="G17" s="278"/>
      <c r="J17" s="278"/>
      <c r="V17" s="281"/>
      <c r="W17" s="898"/>
      <c r="X17" s="267"/>
      <c r="Y17" s="657" t="s">
        <v>99</v>
      </c>
      <c r="Z17" s="657"/>
      <c r="AA17" s="55">
        <f>+AVERAGE(AA14:AA16)</f>
        <v>8.3333332999999996E-2</v>
      </c>
      <c r="AB17" s="267"/>
      <c r="AC17" s="989"/>
      <c r="AD17" s="989"/>
      <c r="AE17" s="283"/>
      <c r="AF17" s="267"/>
      <c r="AG17" s="657" t="s">
        <v>865</v>
      </c>
      <c r="AH17" s="657"/>
      <c r="AI17" s="55">
        <f>+AVERAGE(AI14:AI16)</f>
        <v>0.16666666660000001</v>
      </c>
      <c r="AJ17" s="267"/>
      <c r="AK17" s="989"/>
      <c r="AL17" s="989"/>
      <c r="AM17" s="283"/>
      <c r="AN17" s="267"/>
      <c r="AO17" s="657" t="s">
        <v>865</v>
      </c>
      <c r="AP17" s="657"/>
      <c r="AQ17" s="55">
        <f>+AVERAGE(AQ14:AQ16)</f>
        <v>0.38300000000000001</v>
      </c>
      <c r="AR17" s="267"/>
      <c r="AS17" s="989"/>
      <c r="AT17" s="989"/>
      <c r="AU17" s="283"/>
      <c r="AV17" s="267"/>
      <c r="AW17" s="657" t="s">
        <v>865</v>
      </c>
      <c r="AX17" s="657"/>
      <c r="AY17" s="55">
        <f>+AVERAGE(AY14:AY16)</f>
        <v>1</v>
      </c>
      <c r="AZ17" s="267"/>
      <c r="BA17" s="989"/>
      <c r="BB17" s="989"/>
      <c r="BC17" s="283"/>
      <c r="BD17" s="267"/>
      <c r="BE17" s="657" t="s">
        <v>865</v>
      </c>
      <c r="BF17" s="657"/>
      <c r="BG17" s="55">
        <f>+AVERAGE(BG14:BG16)</f>
        <v>0.41666599999999998</v>
      </c>
      <c r="BH17" s="267"/>
      <c r="BI17" s="989"/>
      <c r="BJ17" s="989"/>
      <c r="BK17" s="283"/>
      <c r="BL17" s="267"/>
      <c r="BM17" s="657" t="s">
        <v>865</v>
      </c>
      <c r="BN17" s="657"/>
      <c r="BO17" s="55">
        <f>+AVERAGE(BO14:BO16)</f>
        <v>0.62937417218543046</v>
      </c>
      <c r="BP17" s="267"/>
      <c r="BQ17" s="989"/>
      <c r="BR17" s="989"/>
      <c r="BS17" s="283"/>
      <c r="BT17" s="267"/>
      <c r="BU17" s="573">
        <f>+AVERAGE(BU14:BU16)</f>
        <v>0.16666665999999999</v>
      </c>
    </row>
    <row r="18" spans="1:73" s="250" customFormat="1" ht="336" x14ac:dyDescent="0.25">
      <c r="A18" s="982" t="s">
        <v>43</v>
      </c>
      <c r="B18" s="982" t="s">
        <v>44</v>
      </c>
      <c r="C18" s="982" t="s">
        <v>45</v>
      </c>
      <c r="D18" s="982" t="s">
        <v>349</v>
      </c>
      <c r="E18" s="982" t="s">
        <v>375</v>
      </c>
      <c r="F18" s="982" t="s">
        <v>643</v>
      </c>
      <c r="G18" s="982" t="s">
        <v>629</v>
      </c>
      <c r="H18" s="982" t="s">
        <v>757</v>
      </c>
      <c r="I18" s="982" t="s">
        <v>774</v>
      </c>
      <c r="J18" s="982" t="s">
        <v>726</v>
      </c>
      <c r="K18" s="807" t="s">
        <v>775</v>
      </c>
      <c r="L18" s="527" t="s">
        <v>776</v>
      </c>
      <c r="M18" s="527" t="s">
        <v>777</v>
      </c>
      <c r="N18" s="527" t="s">
        <v>74</v>
      </c>
      <c r="O18" s="527"/>
      <c r="P18" s="526">
        <v>0.92</v>
      </c>
      <c r="Q18" s="527" t="s">
        <v>778</v>
      </c>
      <c r="R18" s="527" t="s">
        <v>779</v>
      </c>
      <c r="S18" s="527" t="s">
        <v>74</v>
      </c>
      <c r="T18" s="527"/>
      <c r="U18" s="526">
        <v>0.92</v>
      </c>
      <c r="V18" s="274">
        <v>621807541</v>
      </c>
      <c r="W18" s="898"/>
      <c r="X18" s="982" t="s">
        <v>780</v>
      </c>
      <c r="Y18" s="252">
        <v>6445640723</v>
      </c>
      <c r="Z18" s="526">
        <v>0.92</v>
      </c>
      <c r="AA18" s="526">
        <f>Y18/145132117462</f>
        <v>4.4412228221555883E-2</v>
      </c>
      <c r="AB18" s="526" t="s">
        <v>781</v>
      </c>
      <c r="AC18" s="252">
        <v>5593386723</v>
      </c>
      <c r="AD18" s="526">
        <v>0.92</v>
      </c>
      <c r="AE18" s="526">
        <f>5593386723/104311415646.781</f>
        <v>5.362199993469851E-2</v>
      </c>
      <c r="AF18" s="526" t="s">
        <v>782</v>
      </c>
      <c r="AG18" s="252">
        <v>11248540381</v>
      </c>
      <c r="AH18" s="526">
        <v>0.92</v>
      </c>
      <c r="AI18" s="526">
        <f>AG18/145132117462</f>
        <v>7.7505521022562154E-2</v>
      </c>
      <c r="AJ18" s="526" t="s">
        <v>783</v>
      </c>
      <c r="AK18" s="252">
        <v>9251994529</v>
      </c>
      <c r="AL18" s="526">
        <v>0.92</v>
      </c>
      <c r="AM18" s="526">
        <f>AK18/104311415646.781</f>
        <v>8.8695896528996163E-2</v>
      </c>
      <c r="AN18" s="526" t="s">
        <v>784</v>
      </c>
      <c r="AO18" s="252">
        <v>22147193124</v>
      </c>
      <c r="AP18" s="526">
        <v>0.92</v>
      </c>
      <c r="AQ18" s="526">
        <f>AO18/145132117462</f>
        <v>0.1526002204839243</v>
      </c>
      <c r="AR18" s="526" t="s">
        <v>785</v>
      </c>
      <c r="AS18" s="252">
        <v>19279085420</v>
      </c>
      <c r="AT18" s="526">
        <v>0.92</v>
      </c>
      <c r="AU18" s="526">
        <f>+AS18/104311415646.781</f>
        <v>0.18482239264475883</v>
      </c>
      <c r="AV18" s="526" t="s">
        <v>786</v>
      </c>
      <c r="AW18" s="252">
        <v>29841449859</v>
      </c>
      <c r="AX18" s="526">
        <v>0.92</v>
      </c>
      <c r="AY18" s="526">
        <f>AW18/145132117462</f>
        <v>0.20561575467134902</v>
      </c>
      <c r="AZ18" s="526" t="s">
        <v>1121</v>
      </c>
      <c r="BA18" s="252">
        <v>25983570155</v>
      </c>
      <c r="BB18" s="526">
        <v>0.92</v>
      </c>
      <c r="BC18" s="526">
        <f>BA18/104311415646.781</f>
        <v>0.24909613194192939</v>
      </c>
      <c r="BD18" s="526" t="s">
        <v>1122</v>
      </c>
      <c r="BE18" s="252">
        <v>35483001577</v>
      </c>
      <c r="BF18" s="526">
        <v>0.92</v>
      </c>
      <c r="BG18" s="526">
        <f>24.4487589635633%/BF18</f>
        <v>0.2657473800387315</v>
      </c>
      <c r="BH18" s="526" t="s">
        <v>1123</v>
      </c>
      <c r="BI18" s="252">
        <v>31274822873</v>
      </c>
      <c r="BJ18" s="526">
        <v>0.92</v>
      </c>
      <c r="BK18" s="526">
        <f>29.9821670323244%/BJ18</f>
        <v>0.32589311991656961</v>
      </c>
      <c r="BL18" s="526" t="s">
        <v>1124</v>
      </c>
      <c r="BM18" s="252">
        <v>42197010729</v>
      </c>
      <c r="BN18" s="526">
        <v>0.92</v>
      </c>
      <c r="BO18" s="526">
        <f>52.4318463381342%/BN18</f>
        <v>0.56991137324058916</v>
      </c>
      <c r="BP18" s="526" t="s">
        <v>1125</v>
      </c>
      <c r="BQ18" s="252">
        <v>36412050025</v>
      </c>
      <c r="BR18" s="526">
        <v>0.92</v>
      </c>
      <c r="BS18" s="526">
        <f>52.4441989616781%/BR18</f>
        <v>0.5700456408878054</v>
      </c>
      <c r="BT18" s="526" t="s">
        <v>1126</v>
      </c>
      <c r="BU18" s="574">
        <v>8.4245131546263202E-2</v>
      </c>
    </row>
    <row r="19" spans="1:73" s="250" customFormat="1" ht="76.5" customHeight="1" x14ac:dyDescent="0.25">
      <c r="A19" s="982"/>
      <c r="B19" s="982" t="s">
        <v>44</v>
      </c>
      <c r="C19" s="982"/>
      <c r="D19" s="982"/>
      <c r="E19" s="982"/>
      <c r="F19" s="982"/>
      <c r="G19" s="982"/>
      <c r="H19" s="982"/>
      <c r="I19" s="982"/>
      <c r="J19" s="982"/>
      <c r="K19" s="807"/>
      <c r="L19" s="524" t="s">
        <v>787</v>
      </c>
      <c r="M19" s="524" t="s">
        <v>788</v>
      </c>
      <c r="N19" s="525" t="s">
        <v>74</v>
      </c>
      <c r="O19" s="524"/>
      <c r="P19" s="525">
        <v>1</v>
      </c>
      <c r="Q19" s="241"/>
      <c r="R19" s="241"/>
      <c r="S19" s="241"/>
      <c r="T19" s="241"/>
      <c r="U19" s="241"/>
      <c r="V19" s="273">
        <v>182489916</v>
      </c>
      <c r="W19" s="898"/>
      <c r="X19" s="982"/>
      <c r="Y19" s="273"/>
      <c r="Z19" s="525">
        <v>1</v>
      </c>
      <c r="AA19" s="525"/>
      <c r="AB19" s="525" t="s">
        <v>789</v>
      </c>
      <c r="AC19" s="241"/>
      <c r="AD19" s="241"/>
      <c r="AE19" s="241"/>
      <c r="AF19" s="241"/>
      <c r="AG19" s="273"/>
      <c r="AH19" s="525">
        <v>1</v>
      </c>
      <c r="AI19" s="525"/>
      <c r="AJ19" s="525" t="s">
        <v>789</v>
      </c>
      <c r="AK19" s="241"/>
      <c r="AL19" s="241"/>
      <c r="AM19" s="241"/>
      <c r="AN19" s="241"/>
      <c r="AO19" s="273" t="s">
        <v>732</v>
      </c>
      <c r="AP19" s="525">
        <v>1</v>
      </c>
      <c r="AQ19" s="525" t="s">
        <v>732</v>
      </c>
      <c r="AR19" s="525" t="s">
        <v>789</v>
      </c>
      <c r="AS19" s="241"/>
      <c r="AT19" s="241"/>
      <c r="AU19" s="241"/>
      <c r="AV19" s="241"/>
      <c r="AW19" s="273"/>
      <c r="AX19" s="525">
        <v>1</v>
      </c>
      <c r="AY19" s="525">
        <v>0</v>
      </c>
      <c r="AZ19" s="525" t="s">
        <v>1127</v>
      </c>
      <c r="BA19" s="241"/>
      <c r="BB19" s="241"/>
      <c r="BC19" s="241"/>
      <c r="BD19" s="241"/>
      <c r="BE19" s="273">
        <v>0.28000000000000003</v>
      </c>
      <c r="BF19" s="525">
        <v>1</v>
      </c>
      <c r="BG19" s="525">
        <f>28%/BF19</f>
        <v>0.28000000000000003</v>
      </c>
      <c r="BH19" s="525" t="s">
        <v>1128</v>
      </c>
      <c r="BI19" s="241"/>
      <c r="BJ19" s="241"/>
      <c r="BK19" s="241"/>
      <c r="BL19" s="241"/>
      <c r="BM19" s="273">
        <v>0.28000000000000003</v>
      </c>
      <c r="BN19" s="525">
        <v>1</v>
      </c>
      <c r="BO19" s="525">
        <v>0.28000000000000003</v>
      </c>
      <c r="BP19" s="525" t="s">
        <v>1128</v>
      </c>
      <c r="BQ19" s="241"/>
      <c r="BR19" s="241"/>
      <c r="BS19" s="241"/>
      <c r="BT19" s="241"/>
      <c r="BU19" s="575"/>
    </row>
    <row r="20" spans="1:73" s="250" customFormat="1" ht="76.5" customHeight="1" x14ac:dyDescent="0.25">
      <c r="A20" s="982"/>
      <c r="B20" s="982"/>
      <c r="C20" s="982"/>
      <c r="D20" s="982"/>
      <c r="E20" s="982"/>
      <c r="F20" s="982"/>
      <c r="G20" s="982"/>
      <c r="H20" s="982"/>
      <c r="I20" s="982"/>
      <c r="J20" s="982"/>
      <c r="K20" s="807"/>
      <c r="L20" s="527" t="s">
        <v>790</v>
      </c>
      <c r="M20" s="527" t="s">
        <v>791</v>
      </c>
      <c r="N20" s="527" t="s">
        <v>74</v>
      </c>
      <c r="O20" s="527"/>
      <c r="P20" s="526">
        <v>0.95</v>
      </c>
      <c r="Q20" s="241"/>
      <c r="R20" s="241"/>
      <c r="S20" s="241"/>
      <c r="T20" s="241"/>
      <c r="U20" s="241"/>
      <c r="V20" s="274">
        <v>506177269</v>
      </c>
      <c r="W20" s="898"/>
      <c r="X20" s="982"/>
      <c r="Y20" s="274">
        <v>6612524484.8699999</v>
      </c>
      <c r="Z20" s="526">
        <v>0.95</v>
      </c>
      <c r="AA20" s="526">
        <f>+Y20/Y21</f>
        <v>8.6622757535943104E-2</v>
      </c>
      <c r="AB20" s="526" t="s">
        <v>792</v>
      </c>
      <c r="AC20" s="241"/>
      <c r="AD20" s="241"/>
      <c r="AE20" s="241"/>
      <c r="AF20" s="241"/>
      <c r="AG20" s="274">
        <v>13599212381.779999</v>
      </c>
      <c r="AH20" s="526">
        <v>0.95</v>
      </c>
      <c r="AI20" s="526">
        <f>+AG20/AG21</f>
        <v>0.15944075908473201</v>
      </c>
      <c r="AJ20" s="526" t="s">
        <v>793</v>
      </c>
      <c r="AK20" s="241"/>
      <c r="AL20" s="241"/>
      <c r="AM20" s="241"/>
      <c r="AN20" s="241"/>
      <c r="AO20" s="274">
        <v>22700385151.810001</v>
      </c>
      <c r="AP20" s="526">
        <v>0.95</v>
      </c>
      <c r="AQ20" s="526">
        <f>+AO20/AO21</f>
        <v>0.23120126466686802</v>
      </c>
      <c r="AR20" s="526" t="s">
        <v>794</v>
      </c>
      <c r="AS20" s="241"/>
      <c r="AT20" s="241"/>
      <c r="AU20" s="241"/>
      <c r="AV20" s="241"/>
      <c r="AW20" s="274">
        <v>32041565147</v>
      </c>
      <c r="AX20" s="526">
        <v>0.95</v>
      </c>
      <c r="AY20" s="526">
        <f>+AW20/AW21</f>
        <v>0.32636779008270106</v>
      </c>
      <c r="AZ20" s="526" t="s">
        <v>1129</v>
      </c>
      <c r="BA20" s="241"/>
      <c r="BB20" s="241"/>
      <c r="BC20" s="241"/>
      <c r="BD20" s="241"/>
      <c r="BE20" s="274">
        <v>42152467377.819992</v>
      </c>
      <c r="BF20" s="526">
        <v>0.95</v>
      </c>
      <c r="BG20" s="526">
        <f>42.1525026429114%/BF20</f>
        <v>0.44371055413590949</v>
      </c>
      <c r="BH20" s="526" t="s">
        <v>1130</v>
      </c>
      <c r="BI20" s="241"/>
      <c r="BJ20" s="241"/>
      <c r="BK20" s="241"/>
      <c r="BL20" s="241"/>
      <c r="BM20" s="274">
        <v>51026065778</v>
      </c>
      <c r="BN20" s="526">
        <v>0.95</v>
      </c>
      <c r="BO20" s="526">
        <f>49.5523590178946%/BN20</f>
        <v>0.52160377913573275</v>
      </c>
      <c r="BP20" s="526" t="s">
        <v>1131</v>
      </c>
      <c r="BQ20" s="241"/>
      <c r="BR20" s="241"/>
      <c r="BS20" s="241"/>
      <c r="BT20" s="241"/>
      <c r="BU20" s="575">
        <v>0.16783237798392844</v>
      </c>
    </row>
    <row r="21" spans="1:73" s="250" customFormat="1" ht="76.5" customHeight="1" x14ac:dyDescent="0.25">
      <c r="A21" s="742"/>
      <c r="B21" s="742"/>
      <c r="C21" s="742"/>
      <c r="D21" s="742"/>
      <c r="E21" s="742"/>
      <c r="F21" s="742"/>
      <c r="G21" s="742"/>
      <c r="H21" s="742"/>
      <c r="I21" s="742"/>
      <c r="J21" s="742"/>
      <c r="K21" s="807"/>
      <c r="L21" s="524" t="s">
        <v>795</v>
      </c>
      <c r="M21" s="524" t="s">
        <v>796</v>
      </c>
      <c r="N21" s="525" t="s">
        <v>74</v>
      </c>
      <c r="O21" s="524"/>
      <c r="P21" s="525">
        <v>0.95</v>
      </c>
      <c r="Q21" s="241"/>
      <c r="R21" s="241"/>
      <c r="S21" s="241"/>
      <c r="T21" s="241"/>
      <c r="U21" s="241"/>
      <c r="V21" s="273">
        <v>160481076</v>
      </c>
      <c r="W21" s="898"/>
      <c r="X21" s="742"/>
      <c r="Y21" s="273">
        <v>76337035127.589996</v>
      </c>
      <c r="Z21" s="525">
        <v>0.95</v>
      </c>
      <c r="AA21" s="525">
        <f>+Y21/141886312694</f>
        <v>0.53801549760633172</v>
      </c>
      <c r="AB21" s="525" t="s">
        <v>797</v>
      </c>
      <c r="AC21" s="241"/>
      <c r="AD21" s="241"/>
      <c r="AE21" s="241"/>
      <c r="AF21" s="241"/>
      <c r="AG21" s="273">
        <v>85293198927.589996</v>
      </c>
      <c r="AH21" s="525">
        <v>0.95</v>
      </c>
      <c r="AI21" s="525">
        <f>+AG21/141886312694</f>
        <v>0.60113761016214518</v>
      </c>
      <c r="AJ21" s="525" t="s">
        <v>798</v>
      </c>
      <c r="AK21" s="241"/>
      <c r="AL21" s="241"/>
      <c r="AM21" s="241"/>
      <c r="AN21" s="241"/>
      <c r="AO21" s="273">
        <v>98184519814.449997</v>
      </c>
      <c r="AP21" s="525">
        <v>0.95</v>
      </c>
      <c r="AQ21" s="525">
        <f>+AO21/141886312694</f>
        <v>0.6919943012840164</v>
      </c>
      <c r="AR21" s="525" t="s">
        <v>799</v>
      </c>
      <c r="AS21" s="241"/>
      <c r="AT21" s="241"/>
      <c r="AU21" s="241"/>
      <c r="AV21" s="241"/>
      <c r="AW21" s="273">
        <v>98176248149</v>
      </c>
      <c r="AX21" s="525">
        <v>0.95</v>
      </c>
      <c r="AY21" s="525">
        <f>+AW21/141886312694</f>
        <v>0.69193600344476081</v>
      </c>
      <c r="AZ21" s="525" t="s">
        <v>1132</v>
      </c>
      <c r="BA21" s="241"/>
      <c r="BB21" s="241"/>
      <c r="BC21" s="241"/>
      <c r="BD21" s="241"/>
      <c r="BE21" s="273">
        <v>99999916339.270004</v>
      </c>
      <c r="BF21" s="525">
        <v>0.95</v>
      </c>
      <c r="BG21" s="525">
        <f>70.4789027500739%/BF21</f>
        <v>0.74188318684288324</v>
      </c>
      <c r="BH21" s="525" t="s">
        <v>1133</v>
      </c>
      <c r="BI21" s="241"/>
      <c r="BJ21" s="241"/>
      <c r="BK21" s="241"/>
      <c r="BL21" s="241"/>
      <c r="BM21" s="273">
        <v>102974039560</v>
      </c>
      <c r="BN21" s="525">
        <v>0.95</v>
      </c>
      <c r="BO21" s="525">
        <f>72.5750339161182%/BN21</f>
        <v>0.76394772543282319</v>
      </c>
      <c r="BP21" s="525" t="s">
        <v>1134</v>
      </c>
      <c r="BQ21" s="241"/>
      <c r="BR21" s="241"/>
      <c r="BS21" s="241"/>
      <c r="BT21" s="241"/>
      <c r="BU21" s="575">
        <v>0.6327764317496265</v>
      </c>
    </row>
    <row r="22" spans="1:73" s="265" customFormat="1" ht="66" customHeight="1" x14ac:dyDescent="0.25">
      <c r="A22" s="278"/>
      <c r="B22" s="278"/>
      <c r="C22" s="278"/>
      <c r="G22" s="278"/>
      <c r="J22" s="278"/>
      <c r="L22" s="279"/>
      <c r="V22" s="281"/>
      <c r="W22" s="898"/>
      <c r="X22" s="267"/>
      <c r="Y22" s="657" t="s">
        <v>99</v>
      </c>
      <c r="Z22" s="657"/>
      <c r="AA22" s="55">
        <f>+AVERAGE(AA18:AA21)</f>
        <v>0.22301682778794354</v>
      </c>
      <c r="AB22" s="267"/>
      <c r="AC22" s="657" t="s">
        <v>866</v>
      </c>
      <c r="AD22" s="657"/>
      <c r="AE22" s="55">
        <f>+AVERAGE(AE18)</f>
        <v>5.362199993469851E-2</v>
      </c>
      <c r="AF22" s="267"/>
      <c r="AG22" s="657" t="s">
        <v>865</v>
      </c>
      <c r="AH22" s="657"/>
      <c r="AI22" s="55">
        <f>+AVERAGE(AI18:AI21)</f>
        <v>0.2793612967564798</v>
      </c>
      <c r="AJ22" s="267"/>
      <c r="AK22" s="657" t="s">
        <v>866</v>
      </c>
      <c r="AL22" s="657"/>
      <c r="AM22" s="55">
        <f>+AVERAGE(AM18)</f>
        <v>8.8695896528996163E-2</v>
      </c>
      <c r="AN22" s="267"/>
      <c r="AO22" s="657" t="s">
        <v>865</v>
      </c>
      <c r="AP22" s="657"/>
      <c r="AQ22" s="55">
        <f>+AVERAGE(AQ18:AQ21)</f>
        <v>0.35859859547826956</v>
      </c>
      <c r="AR22" s="267"/>
      <c r="AS22" s="657" t="s">
        <v>866</v>
      </c>
      <c r="AT22" s="657"/>
      <c r="AU22" s="55">
        <f>+AVERAGE(AU18)</f>
        <v>0.18482239264475883</v>
      </c>
      <c r="AV22" s="267"/>
      <c r="AW22" s="657" t="s">
        <v>865</v>
      </c>
      <c r="AX22" s="657"/>
      <c r="AY22" s="55">
        <f>+AVERAGE(AY18:AY21)</f>
        <v>0.30597988704970269</v>
      </c>
      <c r="AZ22" s="267"/>
      <c r="BA22" s="657" t="s">
        <v>866</v>
      </c>
      <c r="BB22" s="657"/>
      <c r="BC22" s="55">
        <f>+AVERAGE(BC18)</f>
        <v>0.24909613194192939</v>
      </c>
      <c r="BD22" s="267"/>
      <c r="BE22" s="657" t="s">
        <v>865</v>
      </c>
      <c r="BF22" s="657"/>
      <c r="BG22" s="55">
        <f>+AVERAGE(BG18:BG21)</f>
        <v>0.43283528025438106</v>
      </c>
      <c r="BH22" s="267"/>
      <c r="BI22" s="657" t="s">
        <v>866</v>
      </c>
      <c r="BJ22" s="657"/>
      <c r="BK22" s="55">
        <f>+AVERAGE(BK18)</f>
        <v>0.32589311991656961</v>
      </c>
      <c r="BL22" s="267"/>
      <c r="BM22" s="657" t="s">
        <v>865</v>
      </c>
      <c r="BN22" s="657"/>
      <c r="BO22" s="55">
        <f>+AVERAGE(BO18:BO21)</f>
        <v>0.53386571945228622</v>
      </c>
      <c r="BP22" s="267"/>
      <c r="BQ22" s="657" t="s">
        <v>866</v>
      </c>
      <c r="BR22" s="657"/>
      <c r="BS22" s="55">
        <f>+AVERAGE(BS18)</f>
        <v>0.5700456408878054</v>
      </c>
      <c r="BT22" s="267"/>
      <c r="BU22" s="573">
        <f t="shared" ref="BU22" si="1">+AVERAGE(BU18:BU21)</f>
        <v>0.29495131375993938</v>
      </c>
    </row>
    <row r="23" spans="1:73" s="250" customFormat="1" ht="76.5" customHeight="1" x14ac:dyDescent="0.25">
      <c r="A23" s="702" t="s">
        <v>43</v>
      </c>
      <c r="B23" s="702" t="s">
        <v>44</v>
      </c>
      <c r="C23" s="702" t="s">
        <v>45</v>
      </c>
      <c r="D23" s="702" t="s">
        <v>349</v>
      </c>
      <c r="E23" s="702" t="s">
        <v>47</v>
      </c>
      <c r="F23" s="702" t="s">
        <v>350</v>
      </c>
      <c r="G23" s="702" t="s">
        <v>629</v>
      </c>
      <c r="H23" s="702" t="s">
        <v>757</v>
      </c>
      <c r="I23" s="702" t="s">
        <v>350</v>
      </c>
      <c r="J23" s="702" t="s">
        <v>726</v>
      </c>
      <c r="K23" s="702" t="s">
        <v>350</v>
      </c>
      <c r="L23" s="527" t="s">
        <v>800</v>
      </c>
      <c r="M23" s="527" t="s">
        <v>801</v>
      </c>
      <c r="N23" s="527" t="s">
        <v>74</v>
      </c>
      <c r="O23" s="527"/>
      <c r="P23" s="526">
        <v>0.5</v>
      </c>
      <c r="Q23" s="241"/>
      <c r="R23" s="241"/>
      <c r="S23" s="241"/>
      <c r="T23" s="241"/>
      <c r="U23" s="241"/>
      <c r="V23" s="274">
        <v>2003557596</v>
      </c>
      <c r="W23" s="898"/>
      <c r="X23" s="799" t="s">
        <v>802</v>
      </c>
      <c r="Y23" s="527">
        <v>0</v>
      </c>
      <c r="Z23" s="526">
        <v>0.5</v>
      </c>
      <c r="AA23" s="527">
        <v>0</v>
      </c>
      <c r="AB23" s="527" t="s">
        <v>803</v>
      </c>
      <c r="AC23" s="241"/>
      <c r="AD23" s="241"/>
      <c r="AE23" s="241"/>
      <c r="AF23" s="241"/>
      <c r="AG23" s="527">
        <v>0</v>
      </c>
      <c r="AH23" s="526">
        <v>1</v>
      </c>
      <c r="AI23" s="527" t="s">
        <v>732</v>
      </c>
      <c r="AJ23" s="527" t="s">
        <v>804</v>
      </c>
      <c r="AK23" s="241"/>
      <c r="AL23" s="241"/>
      <c r="AM23" s="241"/>
      <c r="AN23" s="241"/>
      <c r="AO23" s="527">
        <v>0</v>
      </c>
      <c r="AP23" s="526">
        <v>1</v>
      </c>
      <c r="AQ23" s="527" t="s">
        <v>732</v>
      </c>
      <c r="AR23" s="527" t="s">
        <v>804</v>
      </c>
      <c r="AS23" s="241"/>
      <c r="AT23" s="241"/>
      <c r="AU23" s="241"/>
      <c r="AV23" s="241"/>
      <c r="AW23" s="527" t="s">
        <v>732</v>
      </c>
      <c r="AX23" s="526">
        <v>1</v>
      </c>
      <c r="AY23" s="527">
        <v>0</v>
      </c>
      <c r="AZ23" s="527" t="s">
        <v>1135</v>
      </c>
      <c r="BA23" s="241"/>
      <c r="BB23" s="241"/>
      <c r="BC23" s="241"/>
      <c r="BD23" s="241"/>
      <c r="BE23" s="527" t="s">
        <v>732</v>
      </c>
      <c r="BF23" s="526">
        <v>1</v>
      </c>
      <c r="BG23" s="527">
        <v>0</v>
      </c>
      <c r="BH23" s="527" t="s">
        <v>1135</v>
      </c>
      <c r="BI23" s="241"/>
      <c r="BJ23" s="241"/>
      <c r="BK23" s="241"/>
      <c r="BL23" s="241"/>
      <c r="BM23" s="527" t="s">
        <v>732</v>
      </c>
      <c r="BN23" s="526">
        <v>1</v>
      </c>
      <c r="BO23" s="527" t="s">
        <v>732</v>
      </c>
      <c r="BP23" s="527" t="s">
        <v>1136</v>
      </c>
      <c r="BQ23" s="241"/>
      <c r="BR23" s="241"/>
      <c r="BS23" s="241"/>
      <c r="BT23" s="241"/>
      <c r="BU23" s="572"/>
    </row>
    <row r="24" spans="1:73" s="250" customFormat="1" ht="76.5" customHeight="1" x14ac:dyDescent="0.25">
      <c r="A24" s="983"/>
      <c r="B24" s="983"/>
      <c r="C24" s="983"/>
      <c r="D24" s="983"/>
      <c r="E24" s="983"/>
      <c r="F24" s="983"/>
      <c r="G24" s="983"/>
      <c r="H24" s="983"/>
      <c r="I24" s="983"/>
      <c r="J24" s="983"/>
      <c r="K24" s="983"/>
      <c r="L24" s="792" t="s">
        <v>805</v>
      </c>
      <c r="M24" s="792" t="s">
        <v>801</v>
      </c>
      <c r="N24" s="792" t="s">
        <v>74</v>
      </c>
      <c r="O24" s="792"/>
      <c r="P24" s="987">
        <v>1</v>
      </c>
      <c r="Q24" s="524" t="s">
        <v>806</v>
      </c>
      <c r="R24" s="524" t="s">
        <v>807</v>
      </c>
      <c r="S24" s="524" t="s">
        <v>56</v>
      </c>
      <c r="T24" s="524">
        <v>1</v>
      </c>
      <c r="U24" s="524">
        <v>8</v>
      </c>
      <c r="V24" s="994">
        <v>1041446371</v>
      </c>
      <c r="W24" s="898"/>
      <c r="X24" s="800"/>
      <c r="Y24" s="792"/>
      <c r="Z24" s="792">
        <v>1</v>
      </c>
      <c r="AA24" s="792" t="s">
        <v>732</v>
      </c>
      <c r="AB24" s="792" t="s">
        <v>741</v>
      </c>
      <c r="AC24" s="524">
        <v>0</v>
      </c>
      <c r="AD24" s="524">
        <v>0</v>
      </c>
      <c r="AE24" s="524"/>
      <c r="AF24" s="524" t="s">
        <v>808</v>
      </c>
      <c r="AG24" s="987">
        <v>0.1125</v>
      </c>
      <c r="AH24" s="987">
        <v>1</v>
      </c>
      <c r="AI24" s="987">
        <v>0.1125</v>
      </c>
      <c r="AJ24" s="792" t="s">
        <v>809</v>
      </c>
      <c r="AK24" s="524">
        <v>1</v>
      </c>
      <c r="AL24" s="524">
        <v>8</v>
      </c>
      <c r="AM24" s="524">
        <f>+AK24/AL24</f>
        <v>0.125</v>
      </c>
      <c r="AN24" s="524" t="s">
        <v>810</v>
      </c>
      <c r="AO24" s="987">
        <v>0.13120000000000001</v>
      </c>
      <c r="AP24" s="987">
        <v>1</v>
      </c>
      <c r="AQ24" s="987">
        <v>0.13120000000000001</v>
      </c>
      <c r="AR24" s="792" t="s">
        <v>809</v>
      </c>
      <c r="AS24" s="524">
        <v>1</v>
      </c>
      <c r="AT24" s="524">
        <v>8</v>
      </c>
      <c r="AU24" s="524">
        <f>+AS24/AT24</f>
        <v>0.125</v>
      </c>
      <c r="AV24" s="524" t="s">
        <v>810</v>
      </c>
      <c r="AW24" s="987">
        <v>4.9999999999999989E-2</v>
      </c>
      <c r="AX24" s="987">
        <v>1</v>
      </c>
      <c r="AY24" s="987">
        <v>0.1812</v>
      </c>
      <c r="AZ24" s="792" t="s">
        <v>1137</v>
      </c>
      <c r="BA24" s="524">
        <v>1</v>
      </c>
      <c r="BB24" s="524">
        <v>8</v>
      </c>
      <c r="BC24" s="524">
        <v>0.125</v>
      </c>
      <c r="BD24" s="524" t="s">
        <v>810</v>
      </c>
      <c r="BE24" s="987">
        <v>0.10629999999999998</v>
      </c>
      <c r="BF24" s="987">
        <v>1</v>
      </c>
      <c r="BG24" s="987">
        <v>0.28749999999999998</v>
      </c>
      <c r="BH24" s="792" t="s">
        <v>1137</v>
      </c>
      <c r="BI24" s="524">
        <v>2</v>
      </c>
      <c r="BJ24" s="524">
        <v>8</v>
      </c>
      <c r="BK24" s="524">
        <f>+BI24/BJ24</f>
        <v>0.25</v>
      </c>
      <c r="BL24" s="524" t="s">
        <v>1138</v>
      </c>
      <c r="BM24" s="987">
        <v>9.7850000000000006E-2</v>
      </c>
      <c r="BN24" s="987">
        <v>1</v>
      </c>
      <c r="BO24" s="987">
        <v>0.36875000000000002</v>
      </c>
      <c r="BP24" s="792" t="s">
        <v>1137</v>
      </c>
      <c r="BQ24" s="524">
        <v>3</v>
      </c>
      <c r="BR24" s="524">
        <v>8</v>
      </c>
      <c r="BS24" s="576">
        <v>0.375</v>
      </c>
      <c r="BT24" s="524" t="s">
        <v>1139</v>
      </c>
      <c r="BU24" s="991">
        <v>8.1199999999999994E-2</v>
      </c>
    </row>
    <row r="25" spans="1:73" s="250" customFormat="1" ht="76.5" customHeight="1" x14ac:dyDescent="0.25">
      <c r="A25" s="983"/>
      <c r="B25" s="983"/>
      <c r="C25" s="983"/>
      <c r="D25" s="983"/>
      <c r="E25" s="983"/>
      <c r="F25" s="983"/>
      <c r="G25" s="983"/>
      <c r="H25" s="983"/>
      <c r="I25" s="983"/>
      <c r="J25" s="983"/>
      <c r="K25" s="983"/>
      <c r="L25" s="798"/>
      <c r="M25" s="798"/>
      <c r="N25" s="798"/>
      <c r="O25" s="798"/>
      <c r="P25" s="990"/>
      <c r="Q25" s="527" t="s">
        <v>811</v>
      </c>
      <c r="R25" s="527" t="s">
        <v>812</v>
      </c>
      <c r="S25" s="527" t="s">
        <v>56</v>
      </c>
      <c r="T25" s="527"/>
      <c r="U25" s="527">
        <v>350</v>
      </c>
      <c r="V25" s="995"/>
      <c r="W25" s="898"/>
      <c r="X25" s="800"/>
      <c r="Y25" s="798"/>
      <c r="Z25" s="798"/>
      <c r="AA25" s="798"/>
      <c r="AB25" s="798"/>
      <c r="AC25" s="527">
        <v>0</v>
      </c>
      <c r="AD25" s="527">
        <v>0</v>
      </c>
      <c r="AE25" s="527"/>
      <c r="AF25" s="527" t="s">
        <v>813</v>
      </c>
      <c r="AG25" s="990"/>
      <c r="AH25" s="990"/>
      <c r="AI25" s="990"/>
      <c r="AJ25" s="798"/>
      <c r="AK25" s="527">
        <v>0</v>
      </c>
      <c r="AL25" s="527">
        <v>350</v>
      </c>
      <c r="AM25" s="527" t="s">
        <v>732</v>
      </c>
      <c r="AN25" s="527" t="s">
        <v>814</v>
      </c>
      <c r="AO25" s="990"/>
      <c r="AP25" s="990"/>
      <c r="AQ25" s="990"/>
      <c r="AR25" s="798"/>
      <c r="AS25" s="527">
        <v>0</v>
      </c>
      <c r="AT25" s="527">
        <v>350</v>
      </c>
      <c r="AU25" s="527" t="s">
        <v>732</v>
      </c>
      <c r="AV25" s="527" t="s">
        <v>815</v>
      </c>
      <c r="AW25" s="990"/>
      <c r="AX25" s="990"/>
      <c r="AY25" s="990"/>
      <c r="AZ25" s="798"/>
      <c r="BA25" s="527">
        <v>0</v>
      </c>
      <c r="BB25" s="527">
        <v>350</v>
      </c>
      <c r="BC25" s="527">
        <v>0</v>
      </c>
      <c r="BD25" s="527" t="s">
        <v>815</v>
      </c>
      <c r="BE25" s="990"/>
      <c r="BF25" s="990"/>
      <c r="BG25" s="990"/>
      <c r="BH25" s="798"/>
      <c r="BI25" s="527" t="s">
        <v>732</v>
      </c>
      <c r="BJ25" s="527">
        <v>350</v>
      </c>
      <c r="BK25" s="527">
        <v>0</v>
      </c>
      <c r="BL25" s="527" t="s">
        <v>1140</v>
      </c>
      <c r="BM25" s="990"/>
      <c r="BN25" s="990"/>
      <c r="BO25" s="990"/>
      <c r="BP25" s="798"/>
      <c r="BQ25" s="527">
        <v>0</v>
      </c>
      <c r="BR25" s="527">
        <v>350</v>
      </c>
      <c r="BS25" s="527">
        <v>0</v>
      </c>
      <c r="BT25" s="527" t="s">
        <v>1141</v>
      </c>
      <c r="BU25" s="991"/>
    </row>
    <row r="26" spans="1:73" s="250" customFormat="1" ht="76.5" customHeight="1" x14ac:dyDescent="0.25">
      <c r="A26" s="983"/>
      <c r="B26" s="983"/>
      <c r="C26" s="983" t="s">
        <v>45</v>
      </c>
      <c r="D26" s="983"/>
      <c r="E26" s="983"/>
      <c r="F26" s="983"/>
      <c r="G26" s="983"/>
      <c r="H26" s="983"/>
      <c r="I26" s="983"/>
      <c r="J26" s="983"/>
      <c r="K26" s="983"/>
      <c r="L26" s="798"/>
      <c r="M26" s="798"/>
      <c r="N26" s="798"/>
      <c r="O26" s="798"/>
      <c r="P26" s="990"/>
      <c r="Q26" s="524" t="s">
        <v>816</v>
      </c>
      <c r="R26" s="524" t="s">
        <v>817</v>
      </c>
      <c r="S26" s="524" t="s">
        <v>56</v>
      </c>
      <c r="T26" s="524"/>
      <c r="U26" s="524">
        <v>5</v>
      </c>
      <c r="V26" s="995"/>
      <c r="W26" s="898"/>
      <c r="X26" s="800"/>
      <c r="Y26" s="798"/>
      <c r="Z26" s="798"/>
      <c r="AA26" s="798"/>
      <c r="AB26" s="798"/>
      <c r="AC26" s="524">
        <v>0</v>
      </c>
      <c r="AD26" s="524">
        <v>0</v>
      </c>
      <c r="AE26" s="524"/>
      <c r="AF26" s="524" t="s">
        <v>818</v>
      </c>
      <c r="AG26" s="990"/>
      <c r="AH26" s="990"/>
      <c r="AI26" s="990"/>
      <c r="AJ26" s="798"/>
      <c r="AK26" s="524">
        <v>1</v>
      </c>
      <c r="AL26" s="524">
        <v>5</v>
      </c>
      <c r="AM26" s="524">
        <v>0.2</v>
      </c>
      <c r="AN26" s="524" t="s">
        <v>819</v>
      </c>
      <c r="AO26" s="990"/>
      <c r="AP26" s="990"/>
      <c r="AQ26" s="990"/>
      <c r="AR26" s="798"/>
      <c r="AS26" s="524">
        <v>1</v>
      </c>
      <c r="AT26" s="524">
        <v>5</v>
      </c>
      <c r="AU26" s="524">
        <f t="shared" ref="AU26:AU27" si="2">+AS26/AT26</f>
        <v>0.2</v>
      </c>
      <c r="AV26" s="524" t="s">
        <v>820</v>
      </c>
      <c r="AW26" s="990"/>
      <c r="AX26" s="990"/>
      <c r="AY26" s="990"/>
      <c r="AZ26" s="798"/>
      <c r="BA26" s="524">
        <v>1</v>
      </c>
      <c r="BB26" s="524">
        <v>5</v>
      </c>
      <c r="BC26" s="524">
        <v>0.2</v>
      </c>
      <c r="BD26" s="524" t="s">
        <v>820</v>
      </c>
      <c r="BE26" s="990"/>
      <c r="BF26" s="990"/>
      <c r="BG26" s="990"/>
      <c r="BH26" s="798"/>
      <c r="BI26" s="524">
        <v>2</v>
      </c>
      <c r="BJ26" s="524">
        <v>5</v>
      </c>
      <c r="BK26" s="524">
        <f t="shared" ref="BK26:BK27" si="3">+BI26/BJ26</f>
        <v>0.4</v>
      </c>
      <c r="BL26" s="524" t="s">
        <v>1142</v>
      </c>
      <c r="BM26" s="990"/>
      <c r="BN26" s="990"/>
      <c r="BO26" s="990"/>
      <c r="BP26" s="798"/>
      <c r="BQ26" s="524">
        <v>3</v>
      </c>
      <c r="BR26" s="524">
        <v>6</v>
      </c>
      <c r="BS26" s="576">
        <v>0.5</v>
      </c>
      <c r="BT26" s="524" t="s">
        <v>1143</v>
      </c>
      <c r="BU26" s="991"/>
    </row>
    <row r="27" spans="1:73" s="250" customFormat="1" ht="120" x14ac:dyDescent="0.25">
      <c r="A27" s="983"/>
      <c r="B27" s="983"/>
      <c r="C27" s="983"/>
      <c r="D27" s="983"/>
      <c r="E27" s="983"/>
      <c r="F27" s="983"/>
      <c r="G27" s="983"/>
      <c r="H27" s="983"/>
      <c r="I27" s="983"/>
      <c r="J27" s="983"/>
      <c r="K27" s="983"/>
      <c r="L27" s="793"/>
      <c r="M27" s="793"/>
      <c r="N27" s="793"/>
      <c r="O27" s="793"/>
      <c r="P27" s="988"/>
      <c r="Q27" s="527" t="s">
        <v>821</v>
      </c>
      <c r="R27" s="527" t="s">
        <v>822</v>
      </c>
      <c r="S27" s="527" t="s">
        <v>56</v>
      </c>
      <c r="T27" s="527"/>
      <c r="U27" s="527">
        <v>5</v>
      </c>
      <c r="V27" s="996"/>
      <c r="W27" s="898"/>
      <c r="X27" s="801"/>
      <c r="Y27" s="793"/>
      <c r="Z27" s="793"/>
      <c r="AA27" s="793"/>
      <c r="AB27" s="793"/>
      <c r="AC27" s="527">
        <v>1</v>
      </c>
      <c r="AD27" s="527">
        <v>0</v>
      </c>
      <c r="AE27" s="527"/>
      <c r="AF27" s="527" t="s">
        <v>823</v>
      </c>
      <c r="AG27" s="988"/>
      <c r="AH27" s="988"/>
      <c r="AI27" s="988"/>
      <c r="AJ27" s="793"/>
      <c r="AK27" s="527">
        <v>0</v>
      </c>
      <c r="AL27" s="527">
        <v>5</v>
      </c>
      <c r="AM27" s="527" t="s">
        <v>732</v>
      </c>
      <c r="AN27" s="527" t="s">
        <v>824</v>
      </c>
      <c r="AO27" s="993"/>
      <c r="AP27" s="993"/>
      <c r="AQ27" s="993"/>
      <c r="AR27" s="793"/>
      <c r="AS27" s="527">
        <v>1</v>
      </c>
      <c r="AT27" s="527">
        <v>5</v>
      </c>
      <c r="AU27" s="527">
        <f t="shared" si="2"/>
        <v>0.2</v>
      </c>
      <c r="AV27" s="527" t="s">
        <v>825</v>
      </c>
      <c r="AW27" s="988"/>
      <c r="AX27" s="988"/>
      <c r="AY27" s="988"/>
      <c r="AZ27" s="793"/>
      <c r="BA27" s="527">
        <v>2</v>
      </c>
      <c r="BB27" s="527">
        <v>5</v>
      </c>
      <c r="BC27" s="527">
        <f>+BA27/BB27</f>
        <v>0.4</v>
      </c>
      <c r="BD27" s="527" t="s">
        <v>825</v>
      </c>
      <c r="BE27" s="988"/>
      <c r="BF27" s="988"/>
      <c r="BG27" s="988"/>
      <c r="BH27" s="793"/>
      <c r="BI27" s="527">
        <v>2.5</v>
      </c>
      <c r="BJ27" s="527">
        <v>5</v>
      </c>
      <c r="BK27" s="527">
        <f t="shared" si="3"/>
        <v>0.5</v>
      </c>
      <c r="BL27" s="527" t="s">
        <v>1144</v>
      </c>
      <c r="BM27" s="988"/>
      <c r="BN27" s="988"/>
      <c r="BO27" s="988"/>
      <c r="BP27" s="793"/>
      <c r="BQ27" s="527">
        <v>3</v>
      </c>
      <c r="BR27" s="527">
        <v>5</v>
      </c>
      <c r="BS27" s="122">
        <v>0.6</v>
      </c>
      <c r="BT27" s="527" t="s">
        <v>1145</v>
      </c>
      <c r="BU27" s="992"/>
    </row>
    <row r="28" spans="1:73" s="265" customFormat="1" ht="72" customHeight="1" x14ac:dyDescent="0.25">
      <c r="A28" s="278"/>
      <c r="B28" s="278"/>
      <c r="C28" s="278"/>
      <c r="G28" s="278"/>
      <c r="J28" s="278"/>
      <c r="L28" s="279"/>
      <c r="V28" s="281"/>
      <c r="W28" s="898"/>
      <c r="X28" s="267"/>
      <c r="Y28" s="657" t="s">
        <v>99</v>
      </c>
      <c r="Z28" s="657"/>
      <c r="AA28" s="55"/>
      <c r="AB28" s="267"/>
      <c r="AC28" s="657" t="s">
        <v>866</v>
      </c>
      <c r="AD28" s="657"/>
      <c r="AE28" s="55"/>
      <c r="AF28" s="267"/>
      <c r="AG28" s="657" t="s">
        <v>865</v>
      </c>
      <c r="AH28" s="657"/>
      <c r="AI28" s="55">
        <f>+AVERAGE(AI23:AI27)</f>
        <v>0.1125</v>
      </c>
      <c r="AJ28" s="267"/>
      <c r="AK28" s="657" t="s">
        <v>866</v>
      </c>
      <c r="AL28" s="657"/>
      <c r="AM28" s="55">
        <f>+AVERAGE(AM24:AM26,AM22)</f>
        <v>0.13789863217633205</v>
      </c>
      <c r="AN28" s="267"/>
      <c r="AO28" s="657" t="s">
        <v>865</v>
      </c>
      <c r="AP28" s="657"/>
      <c r="AQ28" s="55">
        <f>+AVERAGE(AQ23:AQ27)</f>
        <v>0.13120000000000001</v>
      </c>
      <c r="AR28" s="267"/>
      <c r="AS28" s="657" t="s">
        <v>866</v>
      </c>
      <c r="AT28" s="657"/>
      <c r="AU28" s="55">
        <f>+AVERAGE(AU24:AU27,AU22)</f>
        <v>0.17745559816118972</v>
      </c>
      <c r="AV28" s="267"/>
      <c r="AW28" s="657" t="s">
        <v>865</v>
      </c>
      <c r="AX28" s="657"/>
      <c r="AY28" s="55">
        <f>+AVERAGE(AY23:AY27)</f>
        <v>9.06E-2</v>
      </c>
      <c r="AZ28" s="267"/>
      <c r="BA28" s="657" t="s">
        <v>866</v>
      </c>
      <c r="BB28" s="657"/>
      <c r="BC28" s="55">
        <f>+AVERAGE(BC24:BC27,BC22)</f>
        <v>0.19481922638838589</v>
      </c>
      <c r="BD28" s="267"/>
      <c r="BE28" s="657" t="s">
        <v>865</v>
      </c>
      <c r="BF28" s="657"/>
      <c r="BG28" s="55">
        <f>+AVERAGE(BG23:BG27)</f>
        <v>0.14374999999999999</v>
      </c>
      <c r="BH28" s="267"/>
      <c r="BI28" s="657" t="s">
        <v>866</v>
      </c>
      <c r="BJ28" s="657"/>
      <c r="BK28" s="55">
        <f>+AVERAGE(BK24:BK27)</f>
        <v>0.28749999999999998</v>
      </c>
      <c r="BL28" s="267"/>
      <c r="BM28" s="657" t="s">
        <v>865</v>
      </c>
      <c r="BN28" s="657"/>
      <c r="BO28" s="55">
        <f>+AVERAGE(BO23:BO27)</f>
        <v>0.36875000000000002</v>
      </c>
      <c r="BP28" s="267"/>
      <c r="BQ28" s="657" t="s">
        <v>866</v>
      </c>
      <c r="BR28" s="657"/>
      <c r="BS28" s="55">
        <f>+AVERAGE(BS24:BS27)</f>
        <v>0.36875000000000002</v>
      </c>
      <c r="BT28" s="267"/>
      <c r="BU28" s="571">
        <f t="shared" ref="BU28" si="4">+AVERAGE(BU23:BU27)</f>
        <v>8.1199999999999994E-2</v>
      </c>
    </row>
    <row r="29" spans="1:73" s="250" customFormat="1" ht="76.5" customHeight="1" x14ac:dyDescent="0.25">
      <c r="A29" s="792" t="s">
        <v>43</v>
      </c>
      <c r="B29" s="792" t="s">
        <v>44</v>
      </c>
      <c r="C29" s="792" t="s">
        <v>45</v>
      </c>
      <c r="D29" s="792" t="s">
        <v>349</v>
      </c>
      <c r="E29" s="792" t="s">
        <v>47</v>
      </c>
      <c r="F29" s="792" t="s">
        <v>326</v>
      </c>
      <c r="G29" s="792" t="s">
        <v>629</v>
      </c>
      <c r="H29" s="792" t="s">
        <v>757</v>
      </c>
      <c r="I29" s="792" t="s">
        <v>826</v>
      </c>
      <c r="J29" s="792" t="s">
        <v>726</v>
      </c>
      <c r="K29" s="792" t="s">
        <v>827</v>
      </c>
      <c r="L29" s="524" t="s">
        <v>828</v>
      </c>
      <c r="M29" s="524" t="s">
        <v>829</v>
      </c>
      <c r="N29" s="524" t="s">
        <v>74</v>
      </c>
      <c r="O29" s="524"/>
      <c r="P29" s="525">
        <v>0.2</v>
      </c>
      <c r="Q29" s="241"/>
      <c r="R29" s="241"/>
      <c r="S29" s="241"/>
      <c r="T29" s="241"/>
      <c r="U29" s="241"/>
      <c r="V29" s="273">
        <v>121400399</v>
      </c>
      <c r="W29" s="898"/>
      <c r="X29" s="792" t="s">
        <v>802</v>
      </c>
      <c r="Y29" s="525">
        <v>0.14000000000000001</v>
      </c>
      <c r="Z29" s="525">
        <v>0.2</v>
      </c>
      <c r="AA29" s="525">
        <f>+Y29/Z29</f>
        <v>0.70000000000000007</v>
      </c>
      <c r="AB29" s="525" t="s">
        <v>830</v>
      </c>
      <c r="AC29" s="241"/>
      <c r="AD29" s="241"/>
      <c r="AE29" s="241"/>
      <c r="AF29" s="241"/>
      <c r="AG29" s="525">
        <v>0.35</v>
      </c>
      <c r="AH29" s="525">
        <v>0.2</v>
      </c>
      <c r="AI29" s="525">
        <v>1.23</v>
      </c>
      <c r="AJ29" s="525" t="s">
        <v>831</v>
      </c>
      <c r="AK29" s="241"/>
      <c r="AL29" s="241"/>
      <c r="AM29" s="241"/>
      <c r="AN29" s="241"/>
      <c r="AO29" s="525">
        <v>0.6</v>
      </c>
      <c r="AP29" s="525">
        <v>0.2</v>
      </c>
      <c r="AQ29" s="525">
        <v>1.82</v>
      </c>
      <c r="AR29" s="525" t="s">
        <v>832</v>
      </c>
      <c r="AS29" s="241"/>
      <c r="AT29" s="241"/>
      <c r="AU29" s="241"/>
      <c r="AV29" s="241"/>
      <c r="AW29" s="525">
        <v>0.97</v>
      </c>
      <c r="AX29" s="525">
        <v>0.2</v>
      </c>
      <c r="AY29" s="525">
        <f>51.6%/AX29</f>
        <v>2.58</v>
      </c>
      <c r="AZ29" s="525" t="s">
        <v>1146</v>
      </c>
      <c r="BA29" s="241"/>
      <c r="BB29" s="241"/>
      <c r="BC29" s="241"/>
      <c r="BD29" s="241"/>
      <c r="BE29" s="525">
        <v>0.97</v>
      </c>
      <c r="BF29" s="525">
        <v>0.2</v>
      </c>
      <c r="BG29" s="525">
        <f>60.6%/BF29</f>
        <v>3.03</v>
      </c>
      <c r="BH29" s="525" t="s">
        <v>1147</v>
      </c>
      <c r="BI29" s="241"/>
      <c r="BJ29" s="241"/>
      <c r="BK29" s="241"/>
      <c r="BL29" s="241"/>
      <c r="BM29" s="525">
        <v>0.98</v>
      </c>
      <c r="BN29" s="525">
        <v>0.2</v>
      </c>
      <c r="BO29" s="525">
        <f>66.9%/BN29</f>
        <v>3.3450000000000002</v>
      </c>
      <c r="BP29" s="525" t="s">
        <v>1148</v>
      </c>
      <c r="BQ29" s="241"/>
      <c r="BR29" s="241"/>
      <c r="BS29" s="241"/>
      <c r="BT29" s="241"/>
      <c r="BU29" s="572">
        <v>0.1666666</v>
      </c>
    </row>
    <row r="30" spans="1:73" s="250" customFormat="1" ht="76.5" customHeight="1" x14ac:dyDescent="0.25">
      <c r="A30" s="798"/>
      <c r="B30" s="798"/>
      <c r="C30" s="798"/>
      <c r="D30" s="798"/>
      <c r="E30" s="798"/>
      <c r="F30" s="798"/>
      <c r="G30" s="798"/>
      <c r="H30" s="798"/>
      <c r="I30" s="798"/>
      <c r="J30" s="798"/>
      <c r="K30" s="798"/>
      <c r="L30" s="527" t="s">
        <v>833</v>
      </c>
      <c r="M30" s="527" t="s">
        <v>834</v>
      </c>
      <c r="N30" s="527" t="s">
        <v>74</v>
      </c>
      <c r="O30" s="527"/>
      <c r="P30" s="526">
        <v>0.8</v>
      </c>
      <c r="Q30" s="241"/>
      <c r="R30" s="241"/>
      <c r="S30" s="241"/>
      <c r="T30" s="241"/>
      <c r="U30" s="241"/>
      <c r="V30" s="274">
        <v>748823868</v>
      </c>
      <c r="W30" s="898"/>
      <c r="X30" s="798"/>
      <c r="Y30" s="526">
        <f>84/92</f>
        <v>0.91304347826086951</v>
      </c>
      <c r="Z30" s="526">
        <v>0.8</v>
      </c>
      <c r="AA30" s="526">
        <f>+Y30/Z30</f>
        <v>1.1413043478260869</v>
      </c>
      <c r="AB30" s="526" t="s">
        <v>835</v>
      </c>
      <c r="AC30" s="241"/>
      <c r="AD30" s="241"/>
      <c r="AE30" s="241"/>
      <c r="AF30" s="241"/>
      <c r="AG30" s="526">
        <f>54.7/58</f>
        <v>0.94310344827586212</v>
      </c>
      <c r="AH30" s="526">
        <v>0.8</v>
      </c>
      <c r="AI30" s="526">
        <v>1.1599999999999999</v>
      </c>
      <c r="AJ30" s="526" t="s">
        <v>836</v>
      </c>
      <c r="AK30" s="241"/>
      <c r="AL30" s="241"/>
      <c r="AM30" s="241"/>
      <c r="AN30" s="241"/>
      <c r="AO30" s="526">
        <v>0.87</v>
      </c>
      <c r="AP30" s="526">
        <v>0.8</v>
      </c>
      <c r="AQ30" s="526">
        <v>1.1399999999999999</v>
      </c>
      <c r="AR30" s="526" t="s">
        <v>837</v>
      </c>
      <c r="AS30" s="241"/>
      <c r="AT30" s="241"/>
      <c r="AU30" s="241"/>
      <c r="AV30" s="241"/>
      <c r="AW30" s="526" t="s">
        <v>732</v>
      </c>
      <c r="AX30" s="526">
        <v>0.8</v>
      </c>
      <c r="AY30" s="526">
        <f>114%*33.3333%</f>
        <v>0.37999961999999998</v>
      </c>
      <c r="AZ30" s="526" t="s">
        <v>1149</v>
      </c>
      <c r="BA30" s="241"/>
      <c r="BB30" s="241"/>
      <c r="BC30" s="241"/>
      <c r="BD30" s="241"/>
      <c r="BE30" s="526" t="s">
        <v>732</v>
      </c>
      <c r="BF30" s="526">
        <v>0.8</v>
      </c>
      <c r="BG30" s="526">
        <f>114%*41.666%</f>
        <v>0.47499239999999993</v>
      </c>
      <c r="BH30" s="526" t="s">
        <v>1150</v>
      </c>
      <c r="BI30" s="241"/>
      <c r="BJ30" s="241"/>
      <c r="BK30" s="241"/>
      <c r="BL30" s="241"/>
      <c r="BM30" s="526" t="s">
        <v>732</v>
      </c>
      <c r="BN30" s="526">
        <v>0</v>
      </c>
      <c r="BO30" s="526">
        <f>114%*50%</f>
        <v>0.56999999999999995</v>
      </c>
      <c r="BP30" s="526" t="s">
        <v>1151</v>
      </c>
      <c r="BQ30" s="241"/>
      <c r="BR30" s="241"/>
      <c r="BS30" s="241"/>
      <c r="BT30" s="241"/>
      <c r="BU30" s="577">
        <v>0.1666666</v>
      </c>
    </row>
    <row r="31" spans="1:73" s="250" customFormat="1" ht="76.5" customHeight="1" x14ac:dyDescent="0.25">
      <c r="A31" s="793"/>
      <c r="B31" s="793"/>
      <c r="C31" s="793"/>
      <c r="D31" s="793"/>
      <c r="E31" s="793"/>
      <c r="F31" s="793"/>
      <c r="G31" s="793"/>
      <c r="H31" s="793"/>
      <c r="I31" s="793"/>
      <c r="J31" s="793"/>
      <c r="K31" s="793"/>
      <c r="L31" s="524" t="s">
        <v>838</v>
      </c>
      <c r="M31" s="524" t="s">
        <v>839</v>
      </c>
      <c r="N31" s="524" t="s">
        <v>74</v>
      </c>
      <c r="O31" s="524"/>
      <c r="P31" s="525">
        <v>0.9</v>
      </c>
      <c r="Q31" s="241"/>
      <c r="R31" s="241"/>
      <c r="S31" s="241"/>
      <c r="T31" s="241"/>
      <c r="U31" s="241"/>
      <c r="V31" s="273">
        <v>1303883335</v>
      </c>
      <c r="W31" s="898"/>
      <c r="X31" s="793"/>
      <c r="Y31" s="525"/>
      <c r="Z31" s="525"/>
      <c r="AA31" s="525"/>
      <c r="AB31" s="525"/>
      <c r="AC31" s="241"/>
      <c r="AD31" s="241"/>
      <c r="AE31" s="241"/>
      <c r="AF31" s="241"/>
      <c r="AG31" s="525">
        <v>0.5</v>
      </c>
      <c r="AH31" s="525">
        <v>1</v>
      </c>
      <c r="AI31" s="525">
        <v>0.5</v>
      </c>
      <c r="AJ31" s="525" t="s">
        <v>840</v>
      </c>
      <c r="AK31" s="241"/>
      <c r="AL31" s="241"/>
      <c r="AM31" s="241"/>
      <c r="AN31" s="241"/>
      <c r="AO31" s="525">
        <v>0.625</v>
      </c>
      <c r="AP31" s="525">
        <v>1</v>
      </c>
      <c r="AQ31" s="525">
        <v>0.625</v>
      </c>
      <c r="AR31" s="525" t="s">
        <v>841</v>
      </c>
      <c r="AS31" s="241"/>
      <c r="AT31" s="241"/>
      <c r="AU31" s="241"/>
      <c r="AV31" s="241"/>
      <c r="AW31" s="525">
        <f>+AO31</f>
        <v>0.625</v>
      </c>
      <c r="AX31" s="525">
        <v>1</v>
      </c>
      <c r="AY31" s="525">
        <f>+AQ31</f>
        <v>0.625</v>
      </c>
      <c r="AZ31" s="525" t="s">
        <v>1152</v>
      </c>
      <c r="BA31" s="241"/>
      <c r="BB31" s="241"/>
      <c r="BC31" s="241"/>
      <c r="BD31" s="241"/>
      <c r="BE31" s="525">
        <f>+AW31</f>
        <v>0.625</v>
      </c>
      <c r="BF31" s="525">
        <v>1</v>
      </c>
      <c r="BG31" s="525">
        <f>+AY31</f>
        <v>0.625</v>
      </c>
      <c r="BH31" s="525" t="s">
        <v>1153</v>
      </c>
      <c r="BI31" s="241"/>
      <c r="BJ31" s="241"/>
      <c r="BK31" s="241"/>
      <c r="BL31" s="241"/>
      <c r="BM31" s="525" t="s">
        <v>732</v>
      </c>
      <c r="BN31" s="525">
        <v>0</v>
      </c>
      <c r="BO31" s="525">
        <f>+BG31</f>
        <v>0.625</v>
      </c>
      <c r="BP31" s="525" t="s">
        <v>1154</v>
      </c>
      <c r="BQ31" s="241"/>
      <c r="BR31" s="241"/>
      <c r="BS31" s="241"/>
      <c r="BT31" s="241"/>
      <c r="BU31" s="570">
        <v>0.5</v>
      </c>
    </row>
    <row r="32" spans="1:73" s="265" customFormat="1" ht="76.5" customHeight="1" x14ac:dyDescent="0.25">
      <c r="A32" s="278"/>
      <c r="B32" s="278"/>
      <c r="C32" s="278"/>
      <c r="G32" s="278"/>
      <c r="J32" s="278"/>
      <c r="L32" s="279"/>
      <c r="P32" s="284"/>
      <c r="V32" s="281"/>
      <c r="W32" s="898"/>
      <c r="X32" s="267"/>
      <c r="Y32" s="657" t="s">
        <v>99</v>
      </c>
      <c r="Z32" s="657"/>
      <c r="AA32" s="55">
        <f>+AVERAGE(AA29:AA31)</f>
        <v>0.92065217391304355</v>
      </c>
      <c r="AB32" s="267"/>
      <c r="AC32" s="989"/>
      <c r="AD32" s="989"/>
      <c r="AE32" s="283"/>
      <c r="AF32" s="267"/>
      <c r="AG32" s="657" t="s">
        <v>865</v>
      </c>
      <c r="AH32" s="657"/>
      <c r="AI32" s="55">
        <f>+AVERAGE(AI29:AI31)</f>
        <v>0.96333333333333326</v>
      </c>
      <c r="AJ32" s="267"/>
      <c r="AK32" s="989"/>
      <c r="AL32" s="989"/>
      <c r="AM32" s="283"/>
      <c r="AN32" s="267"/>
      <c r="AO32" s="657" t="s">
        <v>865</v>
      </c>
      <c r="AP32" s="657"/>
      <c r="AQ32" s="55">
        <f>+AVERAGE(AQ29:AQ31)</f>
        <v>1.1950000000000001</v>
      </c>
      <c r="AR32" s="267"/>
      <c r="AS32" s="989"/>
      <c r="AT32" s="989"/>
      <c r="AU32" s="283"/>
      <c r="AV32" s="267"/>
      <c r="AW32" s="657" t="s">
        <v>865</v>
      </c>
      <c r="AX32" s="657"/>
      <c r="AY32" s="55">
        <f>+AVERAGE(AY29:AY31)</f>
        <v>1.1949998733333334</v>
      </c>
      <c r="AZ32" s="267"/>
      <c r="BA32" s="989"/>
      <c r="BB32" s="989"/>
      <c r="BC32" s="283"/>
      <c r="BD32" s="267"/>
      <c r="BE32" s="657" t="s">
        <v>865</v>
      </c>
      <c r="BF32" s="657"/>
      <c r="BG32" s="55">
        <f>+AVERAGE(BG29:BG31)</f>
        <v>1.3766641333333334</v>
      </c>
      <c r="BH32" s="267"/>
      <c r="BI32" s="989"/>
      <c r="BJ32" s="989"/>
      <c r="BK32" s="283"/>
      <c r="BL32" s="267"/>
      <c r="BM32" s="657" t="s">
        <v>865</v>
      </c>
      <c r="BN32" s="657"/>
      <c r="BO32" s="55">
        <f>+AVERAGE(BO29:BO31)</f>
        <v>1.5133333333333334</v>
      </c>
      <c r="BP32" s="267"/>
      <c r="BQ32" s="989"/>
      <c r="BR32" s="989"/>
      <c r="BS32" s="283"/>
      <c r="BT32" s="267"/>
      <c r="BU32" s="573">
        <f>+AVERAGE(BU29:BU31)</f>
        <v>0.27777773333333333</v>
      </c>
    </row>
    <row r="33" spans="1:73" s="250" customFormat="1" ht="136.5" customHeight="1" x14ac:dyDescent="0.25">
      <c r="A33" s="702" t="s">
        <v>43</v>
      </c>
      <c r="B33" s="702" t="s">
        <v>44</v>
      </c>
      <c r="C33" s="702" t="s">
        <v>45</v>
      </c>
      <c r="D33" s="702" t="s">
        <v>349</v>
      </c>
      <c r="E33" s="702" t="s">
        <v>422</v>
      </c>
      <c r="F33" s="702" t="s">
        <v>422</v>
      </c>
      <c r="G33" s="702" t="s">
        <v>629</v>
      </c>
      <c r="H33" s="702" t="s">
        <v>757</v>
      </c>
      <c r="I33" s="702" t="s">
        <v>842</v>
      </c>
      <c r="J33" s="702" t="s">
        <v>726</v>
      </c>
      <c r="K33" s="702" t="s">
        <v>843</v>
      </c>
      <c r="L33" s="524" t="s">
        <v>844</v>
      </c>
      <c r="M33" s="524" t="s">
        <v>845</v>
      </c>
      <c r="N33" s="524" t="s">
        <v>74</v>
      </c>
      <c r="O33" s="524"/>
      <c r="P33" s="525">
        <v>0.9</v>
      </c>
      <c r="Q33" s="525" t="s">
        <v>846</v>
      </c>
      <c r="R33" s="525" t="s">
        <v>847</v>
      </c>
      <c r="S33" s="525" t="s">
        <v>74</v>
      </c>
      <c r="T33" s="525"/>
      <c r="U33" s="525">
        <v>0.5</v>
      </c>
      <c r="V33" s="273">
        <v>158897394</v>
      </c>
      <c r="W33" s="898"/>
      <c r="X33" s="702" t="s">
        <v>848</v>
      </c>
      <c r="Y33" s="525">
        <v>0</v>
      </c>
      <c r="Z33" s="525">
        <v>0.9</v>
      </c>
      <c r="AA33" s="525" t="s">
        <v>732</v>
      </c>
      <c r="AB33" s="524" t="s">
        <v>849</v>
      </c>
      <c r="AC33" s="525">
        <v>0</v>
      </c>
      <c r="AD33" s="525">
        <v>0.5</v>
      </c>
      <c r="AE33" s="525" t="s">
        <v>732</v>
      </c>
      <c r="AF33" s="524" t="s">
        <v>850</v>
      </c>
      <c r="AG33" s="525">
        <v>0.97919999999999996</v>
      </c>
      <c r="AH33" s="525">
        <v>0.9</v>
      </c>
      <c r="AI33" s="525">
        <f>(AG33/AH33)*16.66666%</f>
        <v>0.18133326079999998</v>
      </c>
      <c r="AJ33" s="524" t="s">
        <v>851</v>
      </c>
      <c r="AK33" s="525">
        <v>0</v>
      </c>
      <c r="AL33" s="525">
        <v>0.5</v>
      </c>
      <c r="AM33" s="525" t="s">
        <v>732</v>
      </c>
      <c r="AN33" s="525" t="s">
        <v>850</v>
      </c>
      <c r="AO33" s="525">
        <v>0.84</v>
      </c>
      <c r="AP33" s="525">
        <v>0.9</v>
      </c>
      <c r="AQ33" s="525">
        <f>91.42%*25%</f>
        <v>0.22855</v>
      </c>
      <c r="AR33" s="524" t="s">
        <v>852</v>
      </c>
      <c r="AS33" s="525">
        <v>0</v>
      </c>
      <c r="AT33" s="525">
        <v>0.5</v>
      </c>
      <c r="AU33" s="525" t="s">
        <v>732</v>
      </c>
      <c r="AV33" s="525" t="s">
        <v>850</v>
      </c>
      <c r="AW33" s="525" t="s">
        <v>732</v>
      </c>
      <c r="AX33" s="525">
        <v>0.9</v>
      </c>
      <c r="AY33" s="525">
        <f>+AQ33</f>
        <v>0.22855</v>
      </c>
      <c r="AZ33" s="524" t="s">
        <v>1155</v>
      </c>
      <c r="BA33" s="525" t="s">
        <v>732</v>
      </c>
      <c r="BB33" s="525">
        <v>0.5</v>
      </c>
      <c r="BC33" s="525">
        <v>0</v>
      </c>
      <c r="BD33" s="525" t="s">
        <v>850</v>
      </c>
      <c r="BE33" s="525">
        <v>0.95</v>
      </c>
      <c r="BF33" s="525">
        <v>0.9</v>
      </c>
      <c r="BG33" s="525">
        <f>+BE33/BF33</f>
        <v>1.0555555555555556</v>
      </c>
      <c r="BH33" s="524" t="s">
        <v>1156</v>
      </c>
      <c r="BI33" s="525" t="s">
        <v>732</v>
      </c>
      <c r="BJ33" s="525">
        <v>0.5</v>
      </c>
      <c r="BK33" s="525">
        <v>0</v>
      </c>
      <c r="BL33" s="525" t="s">
        <v>850</v>
      </c>
      <c r="BM33" s="525">
        <v>0.92333333333333301</v>
      </c>
      <c r="BN33" s="525">
        <v>0.9</v>
      </c>
      <c r="BO33" s="525">
        <f>+BM33/BN33</f>
        <v>1.0259259259259255</v>
      </c>
      <c r="BP33" s="524" t="s">
        <v>1157</v>
      </c>
      <c r="BQ33" s="525">
        <v>0.45454545454545497</v>
      </c>
      <c r="BR33" s="525">
        <v>1</v>
      </c>
      <c r="BS33" s="525">
        <v>0.45454545454545497</v>
      </c>
      <c r="BT33" s="525" t="s">
        <v>1158</v>
      </c>
      <c r="BU33" s="577">
        <v>0.18099999999999999</v>
      </c>
    </row>
    <row r="34" spans="1:73" s="250" customFormat="1" ht="131.25" customHeight="1" x14ac:dyDescent="0.25">
      <c r="A34" s="983"/>
      <c r="B34" s="983"/>
      <c r="C34" s="983"/>
      <c r="D34" s="983"/>
      <c r="E34" s="983"/>
      <c r="F34" s="983"/>
      <c r="G34" s="983"/>
      <c r="H34" s="983"/>
      <c r="I34" s="983"/>
      <c r="J34" s="983"/>
      <c r="K34" s="983"/>
      <c r="L34" s="527" t="s">
        <v>853</v>
      </c>
      <c r="M34" s="527" t="s">
        <v>845</v>
      </c>
      <c r="N34" s="527" t="s">
        <v>74</v>
      </c>
      <c r="O34" s="527"/>
      <c r="P34" s="526">
        <v>0.9</v>
      </c>
      <c r="Q34" s="241"/>
      <c r="R34" s="241"/>
      <c r="S34" s="241"/>
      <c r="T34" s="241"/>
      <c r="U34" s="241"/>
      <c r="V34" s="274">
        <v>326753660</v>
      </c>
      <c r="W34" s="898"/>
      <c r="X34" s="983"/>
      <c r="Y34" s="526">
        <v>0.94989400000000002</v>
      </c>
      <c r="Z34" s="526">
        <v>0.9</v>
      </c>
      <c r="AA34" s="526">
        <f>+(Y34/Z34)*8.33333%</f>
        <v>8.7953112966888874E-2</v>
      </c>
      <c r="AB34" s="527" t="s">
        <v>854</v>
      </c>
      <c r="AC34" s="255"/>
      <c r="AD34" s="241"/>
      <c r="AE34" s="241"/>
      <c r="AF34" s="241"/>
      <c r="AG34" s="526">
        <v>0.96445000000000003</v>
      </c>
      <c r="AH34" s="526">
        <v>0.9</v>
      </c>
      <c r="AI34" s="526">
        <f>(AG34/AH34)*16.6666%</f>
        <v>0.17860113744444442</v>
      </c>
      <c r="AJ34" s="527" t="s">
        <v>855</v>
      </c>
      <c r="AK34" s="255"/>
      <c r="AL34" s="241"/>
      <c r="AM34" s="241"/>
      <c r="AN34" s="241"/>
      <c r="AO34" s="526">
        <v>0.94940000000000002</v>
      </c>
      <c r="AP34" s="526">
        <v>0.9</v>
      </c>
      <c r="AQ34" s="526">
        <f>+(95.45%)*25%</f>
        <v>0.238625</v>
      </c>
      <c r="AR34" s="527" t="s">
        <v>856</v>
      </c>
      <c r="AS34" s="255"/>
      <c r="AT34" s="241"/>
      <c r="AU34" s="241"/>
      <c r="AV34" s="241"/>
      <c r="AW34" s="526">
        <v>0.96799999999999997</v>
      </c>
      <c r="AX34" s="526">
        <v>0.9</v>
      </c>
      <c r="AY34" s="526">
        <f>+AW34/AX34</f>
        <v>1.0755555555555556</v>
      </c>
      <c r="AZ34" s="527" t="s">
        <v>1159</v>
      </c>
      <c r="BA34" s="255"/>
      <c r="BB34" s="241"/>
      <c r="BC34" s="241"/>
      <c r="BD34" s="241"/>
      <c r="BE34" s="526">
        <v>0.96499999999999997</v>
      </c>
      <c r="BF34" s="526">
        <v>0.9</v>
      </c>
      <c r="BG34" s="526">
        <f>+BE34/BF34</f>
        <v>1.0722222222222222</v>
      </c>
      <c r="BH34" s="527" t="s">
        <v>1160</v>
      </c>
      <c r="BI34" s="255"/>
      <c r="BJ34" s="241"/>
      <c r="BK34" s="241"/>
      <c r="BL34" s="241"/>
      <c r="BM34" s="526">
        <v>0.96042192450851804</v>
      </c>
      <c r="BN34" s="526">
        <v>0.9</v>
      </c>
      <c r="BO34" s="526">
        <f>+BM34/BN34</f>
        <v>1.0671354716761312</v>
      </c>
      <c r="BP34" s="527" t="s">
        <v>1161</v>
      </c>
      <c r="BQ34" s="255"/>
      <c r="BR34" s="241"/>
      <c r="BS34" s="241"/>
      <c r="BT34" s="241"/>
      <c r="BU34" s="577">
        <f>+AI34</f>
        <v>0.17860113744444442</v>
      </c>
    </row>
    <row r="35" spans="1:73" s="250" customFormat="1" ht="300" customHeight="1" x14ac:dyDescent="0.25">
      <c r="A35" s="703"/>
      <c r="B35" s="703"/>
      <c r="C35" s="703"/>
      <c r="D35" s="703"/>
      <c r="E35" s="703"/>
      <c r="F35" s="703"/>
      <c r="G35" s="703"/>
      <c r="H35" s="703"/>
      <c r="I35" s="703"/>
      <c r="J35" s="703"/>
      <c r="K35" s="703"/>
      <c r="L35" s="524" t="s">
        <v>857</v>
      </c>
      <c r="M35" s="524" t="s">
        <v>858</v>
      </c>
      <c r="N35" s="524" t="s">
        <v>74</v>
      </c>
      <c r="O35" s="524">
        <v>35</v>
      </c>
      <c r="P35" s="525">
        <v>0.3</v>
      </c>
      <c r="Q35" s="525" t="s">
        <v>859</v>
      </c>
      <c r="R35" s="525" t="s">
        <v>860</v>
      </c>
      <c r="S35" s="525" t="s">
        <v>74</v>
      </c>
      <c r="T35" s="525">
        <v>0</v>
      </c>
      <c r="U35" s="525">
        <v>0.9</v>
      </c>
      <c r="V35" s="273">
        <v>190433866</v>
      </c>
      <c r="W35" s="898"/>
      <c r="X35" s="703"/>
      <c r="Y35" s="525">
        <v>0</v>
      </c>
      <c r="Z35" s="525">
        <v>0.9</v>
      </c>
      <c r="AA35" s="525" t="s">
        <v>732</v>
      </c>
      <c r="AB35" s="524" t="s">
        <v>861</v>
      </c>
      <c r="AC35" s="249">
        <v>0</v>
      </c>
      <c r="AD35" s="249">
        <v>0.9</v>
      </c>
      <c r="AE35" s="253" t="s">
        <v>732</v>
      </c>
      <c r="AF35" s="520" t="s">
        <v>861</v>
      </c>
      <c r="AG35" s="525">
        <v>0</v>
      </c>
      <c r="AH35" s="525">
        <v>0.9</v>
      </c>
      <c r="AI35" s="525" t="s">
        <v>732</v>
      </c>
      <c r="AJ35" s="524" t="s">
        <v>862</v>
      </c>
      <c r="AK35" s="256">
        <v>7.69230769230769E-2</v>
      </c>
      <c r="AL35" s="249">
        <v>0.9</v>
      </c>
      <c r="AM35" s="251">
        <f>AK35</f>
        <v>7.69230769230769E-2</v>
      </c>
      <c r="AN35" s="254" t="s">
        <v>863</v>
      </c>
      <c r="AO35" s="525">
        <v>0</v>
      </c>
      <c r="AP35" s="525">
        <v>0.9</v>
      </c>
      <c r="AQ35" s="525" t="s">
        <v>732</v>
      </c>
      <c r="AR35" s="524" t="s">
        <v>862</v>
      </c>
      <c r="AS35" s="256">
        <v>0.123076923076923</v>
      </c>
      <c r="AT35" s="249">
        <v>0.9</v>
      </c>
      <c r="AU35" s="251">
        <f>SUM(AS35+AM35)</f>
        <v>0.1999999999999999</v>
      </c>
      <c r="AV35" s="254" t="s">
        <v>864</v>
      </c>
      <c r="AW35" s="525" t="s">
        <v>732</v>
      </c>
      <c r="AX35" s="525">
        <v>0.9</v>
      </c>
      <c r="AY35" s="525">
        <v>0</v>
      </c>
      <c r="AZ35" s="524" t="s">
        <v>862</v>
      </c>
      <c r="BA35" s="256">
        <v>0.30769999999999997</v>
      </c>
      <c r="BB35" s="249">
        <v>0.9</v>
      </c>
      <c r="BC35" s="251">
        <f>+BA35/BB35</f>
        <v>0.34188888888888885</v>
      </c>
      <c r="BD35" s="254" t="s">
        <v>1162</v>
      </c>
      <c r="BE35" s="525" t="s">
        <v>732</v>
      </c>
      <c r="BF35" s="525">
        <v>0.9</v>
      </c>
      <c r="BG35" s="525">
        <v>0</v>
      </c>
      <c r="BH35" s="524" t="s">
        <v>862</v>
      </c>
      <c r="BI35" s="256">
        <v>0.4</v>
      </c>
      <c r="BJ35" s="249">
        <v>0.9</v>
      </c>
      <c r="BK35" s="251">
        <f>+BI35/BJ35</f>
        <v>0.44444444444444448</v>
      </c>
      <c r="BL35" s="254" t="s">
        <v>1163</v>
      </c>
      <c r="BM35" s="525" t="s">
        <v>732</v>
      </c>
      <c r="BN35" s="525">
        <v>0.9</v>
      </c>
      <c r="BO35" s="525">
        <v>0</v>
      </c>
      <c r="BP35" s="524" t="s">
        <v>862</v>
      </c>
      <c r="BQ35" s="256">
        <v>0.47689999999999999</v>
      </c>
      <c r="BR35" s="249">
        <v>0.9</v>
      </c>
      <c r="BS35" s="251">
        <f>+BQ35/BR35</f>
        <v>0.52988888888888885</v>
      </c>
      <c r="BT35" s="254" t="s">
        <v>1164</v>
      </c>
      <c r="BU35" s="578"/>
    </row>
    <row r="36" spans="1:73" s="267" customFormat="1" ht="72.75" customHeight="1" x14ac:dyDescent="0.25">
      <c r="V36" s="268"/>
      <c r="W36" s="268"/>
      <c r="Y36" s="657" t="s">
        <v>99</v>
      </c>
      <c r="Z36" s="657"/>
      <c r="AA36" s="55">
        <f>+AVERAGE(AA33:AA35)</f>
        <v>8.7953112966888874E-2</v>
      </c>
      <c r="AC36" s="657" t="s">
        <v>866</v>
      </c>
      <c r="AD36" s="657"/>
      <c r="AE36" s="55"/>
      <c r="AG36" s="657" t="s">
        <v>865</v>
      </c>
      <c r="AH36" s="657"/>
      <c r="AI36" s="55">
        <f>+AVERAGE(AI33:AI35)</f>
        <v>0.1799671991222222</v>
      </c>
      <c r="AK36" s="657" t="s">
        <v>866</v>
      </c>
      <c r="AL36" s="657"/>
      <c r="AM36" s="55">
        <f>+AVERAGE(AM33:AM35,AM31)</f>
        <v>7.69230769230769E-2</v>
      </c>
      <c r="AO36" s="657" t="s">
        <v>865</v>
      </c>
      <c r="AP36" s="657"/>
      <c r="AQ36" s="55">
        <f>+AVERAGE(AQ33:AQ35)</f>
        <v>0.2335875</v>
      </c>
      <c r="AS36" s="657" t="s">
        <v>866</v>
      </c>
      <c r="AT36" s="657"/>
      <c r="AU36" s="55">
        <f>+AVERAGE(AU33:AU35)</f>
        <v>0.1999999999999999</v>
      </c>
      <c r="AW36" s="657" t="s">
        <v>865</v>
      </c>
      <c r="AX36" s="657"/>
      <c r="AY36" s="55">
        <f>+AVERAGE(AY33:AY35)</f>
        <v>0.43470185185185189</v>
      </c>
      <c r="BA36" s="657" t="s">
        <v>866</v>
      </c>
      <c r="BB36" s="657"/>
      <c r="BC36" s="55">
        <f>+AVERAGE(BC35,BC33)</f>
        <v>0.17094444444444443</v>
      </c>
      <c r="BE36" s="657" t="s">
        <v>865</v>
      </c>
      <c r="BF36" s="657"/>
      <c r="BG36" s="55">
        <f>+AVERAGE(BG33:BG35)</f>
        <v>0.70925925925925926</v>
      </c>
      <c r="BI36" s="657" t="s">
        <v>866</v>
      </c>
      <c r="BJ36" s="657"/>
      <c r="BK36" s="55">
        <f>+AVERAGE(BK35,BK33)</f>
        <v>0.22222222222222224</v>
      </c>
      <c r="BM36" s="657" t="s">
        <v>865</v>
      </c>
      <c r="BN36" s="657"/>
      <c r="BO36" s="55">
        <f>+AVERAGE(BO33:BO35)</f>
        <v>0.69768713253401893</v>
      </c>
      <c r="BQ36" s="657" t="s">
        <v>866</v>
      </c>
      <c r="BR36" s="657"/>
      <c r="BS36" s="55">
        <f>+AVERAGE(BS35,BS33)</f>
        <v>0.49221717171717194</v>
      </c>
      <c r="BU36" s="573">
        <f t="shared" ref="BU36" si="5">+AVERAGE(BU33:BU35)</f>
        <v>0.17980056872222222</v>
      </c>
    </row>
    <row r="37" spans="1:73" s="271" customFormat="1" x14ac:dyDescent="0.25">
      <c r="V37" s="272"/>
      <c r="W37" s="272"/>
      <c r="BU37" s="579"/>
    </row>
    <row r="38" spans="1:73" s="267" customFormat="1" ht="78" customHeight="1" x14ac:dyDescent="0.25">
      <c r="V38" s="268"/>
      <c r="W38" s="268"/>
      <c r="Y38" s="657" t="s">
        <v>868</v>
      </c>
      <c r="Z38" s="657"/>
      <c r="AA38" s="55">
        <f>+AVERAGE(AA13,AA17,AA22,AA28,AA32,AA36)</f>
        <v>0.29632441953357519</v>
      </c>
      <c r="AC38" s="657" t="s">
        <v>869</v>
      </c>
      <c r="AD38" s="657"/>
      <c r="AE38" s="55">
        <f>+AVERAGE(AE13,AE17,AE22,AE28,AE32,AE36)</f>
        <v>0.19347766663401592</v>
      </c>
      <c r="AG38" s="657" t="s">
        <v>868</v>
      </c>
      <c r="AH38" s="657"/>
      <c r="AI38" s="55">
        <f>+AVERAGE(AI13,AI17,AI22,AI28,AI32,AI36)</f>
        <v>0.31135830949307403</v>
      </c>
      <c r="AK38" s="657" t="s">
        <v>869</v>
      </c>
      <c r="AL38" s="657"/>
      <c r="AM38" s="55">
        <f>+AVERAGE(AM13,AM17,AM22,AM28,AM32,AM36)</f>
        <v>0.20332523474043457</v>
      </c>
      <c r="AO38" s="657" t="s">
        <v>870</v>
      </c>
      <c r="AP38" s="657"/>
      <c r="AQ38" s="55">
        <f>+AVERAGE(AQ17,AQ22,AQ28,AQ32,AQ36)</f>
        <v>0.46027721909565394</v>
      </c>
      <c r="AS38" s="657" t="s">
        <v>869</v>
      </c>
      <c r="AT38" s="657"/>
      <c r="AU38" s="55">
        <f>+AVERAGE(AU10,AU17,AU22,AU28,AU32,AU36)</f>
        <v>0.2729194977014871</v>
      </c>
      <c r="AW38" s="657" t="s">
        <v>870</v>
      </c>
      <c r="AX38" s="657"/>
      <c r="AY38" s="55">
        <f>+AVERAGE(AY17,AY22,AY28,AY32,AY36)</f>
        <v>0.60525632244697758</v>
      </c>
      <c r="BA38" s="657" t="s">
        <v>869</v>
      </c>
      <c r="BB38" s="657"/>
      <c r="BC38" s="55">
        <f>+AVERAGE(BC10,BC17,BC22,BC28,BC32,BC36)</f>
        <v>0.38510383958257877</v>
      </c>
      <c r="BE38" s="657" t="s">
        <v>870</v>
      </c>
      <c r="BF38" s="657"/>
      <c r="BG38" s="55">
        <f>+AVERAGE(BG17,BG22,BG28,BG32,BG36)</f>
        <v>0.61583493456939475</v>
      </c>
      <c r="BI38" s="657" t="s">
        <v>869</v>
      </c>
      <c r="BJ38" s="657"/>
      <c r="BK38" s="55">
        <f>+AVERAGE(BK10,BK17,BK22,BK28,BK32,BK36)</f>
        <v>0.45029272442358692</v>
      </c>
      <c r="BM38" s="657" t="s">
        <v>870</v>
      </c>
      <c r="BN38" s="657"/>
      <c r="BO38" s="55">
        <f>+AVERAGE(BO17,BO22,BO28,BO32,BO36)</f>
        <v>0.74860207150101388</v>
      </c>
      <c r="BQ38" s="657" t="s">
        <v>869</v>
      </c>
      <c r="BR38" s="657"/>
      <c r="BS38" s="55">
        <f>+AVERAGE(BS10,BS17,BS22,BS28,BS32,BS36)</f>
        <v>0.60553098092902213</v>
      </c>
      <c r="BU38" s="580">
        <f t="shared" ref="BU38" si="6">+AVERAGE(BU13,BU17,BU22,BU28,BU32,BU36)</f>
        <v>0.20133937930258247</v>
      </c>
    </row>
    <row r="39" spans="1:73" s="271" customFormat="1" x14ac:dyDescent="0.25">
      <c r="V39" s="272"/>
      <c r="W39" s="272"/>
      <c r="BU39" s="579"/>
    </row>
    <row r="40" spans="1:73" s="271" customFormat="1" x14ac:dyDescent="0.25">
      <c r="V40" s="272"/>
      <c r="W40" s="272"/>
      <c r="BU40" s="579"/>
    </row>
    <row r="41" spans="1:73" s="271" customFormat="1" x14ac:dyDescent="0.25">
      <c r="V41" s="272"/>
      <c r="W41" s="272"/>
      <c r="BU41" s="579"/>
    </row>
    <row r="42" spans="1:73" s="271" customFormat="1" x14ac:dyDescent="0.25">
      <c r="V42" s="272"/>
      <c r="W42" s="272"/>
      <c r="BU42" s="579"/>
    </row>
    <row r="43" spans="1:73" s="271" customFormat="1" x14ac:dyDescent="0.25">
      <c r="V43" s="272"/>
      <c r="W43" s="272"/>
      <c r="BU43" s="579"/>
    </row>
    <row r="44" spans="1:73" s="271" customFormat="1" x14ac:dyDescent="0.25">
      <c r="V44" s="272"/>
      <c r="W44" s="272"/>
      <c r="BU44" s="579"/>
    </row>
    <row r="45" spans="1:73" s="271" customFormat="1" x14ac:dyDescent="0.25">
      <c r="V45" s="272"/>
      <c r="W45" s="272"/>
      <c r="BU45" s="579"/>
    </row>
    <row r="46" spans="1:73" s="271" customFormat="1" x14ac:dyDescent="0.25">
      <c r="V46" s="272"/>
      <c r="W46" s="272"/>
      <c r="BU46" s="579"/>
    </row>
    <row r="47" spans="1:73" s="271" customFormat="1" x14ac:dyDescent="0.25">
      <c r="V47" s="272"/>
      <c r="W47" s="272"/>
      <c r="BU47" s="579"/>
    </row>
    <row r="48" spans="1:73" s="271" customFormat="1" x14ac:dyDescent="0.25">
      <c r="V48" s="272"/>
      <c r="W48" s="272"/>
      <c r="BU48" s="579"/>
    </row>
    <row r="49" spans="22:73" s="271" customFormat="1" x14ac:dyDescent="0.25">
      <c r="V49" s="272"/>
      <c r="W49" s="272"/>
      <c r="BU49" s="579"/>
    </row>
    <row r="50" spans="22:73" s="271" customFormat="1" x14ac:dyDescent="0.25">
      <c r="V50" s="272"/>
      <c r="W50" s="272"/>
      <c r="BU50" s="579"/>
    </row>
    <row r="51" spans="22:73" s="271" customFormat="1" x14ac:dyDescent="0.25">
      <c r="V51" s="272"/>
      <c r="W51" s="272"/>
      <c r="BU51" s="579"/>
    </row>
    <row r="52" spans="22:73" s="271" customFormat="1" x14ac:dyDescent="0.25">
      <c r="V52" s="272"/>
      <c r="W52" s="272"/>
      <c r="BU52" s="579"/>
    </row>
    <row r="53" spans="22:73" s="271" customFormat="1" x14ac:dyDescent="0.25">
      <c r="V53" s="272"/>
      <c r="W53" s="272"/>
      <c r="BU53" s="579"/>
    </row>
    <row r="54" spans="22:73" s="271" customFormat="1" x14ac:dyDescent="0.25">
      <c r="V54" s="272"/>
      <c r="W54" s="272"/>
      <c r="BU54" s="579"/>
    </row>
    <row r="55" spans="22:73" s="271" customFormat="1" x14ac:dyDescent="0.25">
      <c r="V55" s="272"/>
      <c r="W55" s="272"/>
      <c r="BU55" s="579"/>
    </row>
    <row r="56" spans="22:73" s="271" customFormat="1" x14ac:dyDescent="0.25">
      <c r="V56" s="272"/>
      <c r="W56" s="272"/>
      <c r="BU56" s="579"/>
    </row>
    <row r="57" spans="22:73" s="271" customFormat="1" x14ac:dyDescent="0.25">
      <c r="V57" s="272"/>
      <c r="W57" s="272"/>
      <c r="BU57" s="579"/>
    </row>
    <row r="58" spans="22:73" s="271" customFormat="1" x14ac:dyDescent="0.25">
      <c r="V58" s="272"/>
      <c r="W58" s="272"/>
      <c r="BU58" s="579"/>
    </row>
    <row r="59" spans="22:73" s="271" customFormat="1" x14ac:dyDescent="0.25">
      <c r="V59" s="272"/>
      <c r="W59" s="272"/>
      <c r="BU59" s="579"/>
    </row>
    <row r="60" spans="22:73" s="271" customFormat="1" x14ac:dyDescent="0.25">
      <c r="V60" s="272"/>
      <c r="W60" s="272"/>
      <c r="BU60" s="579"/>
    </row>
    <row r="61" spans="22:73" s="271" customFormat="1" x14ac:dyDescent="0.25">
      <c r="V61" s="272"/>
      <c r="W61" s="272"/>
      <c r="BU61" s="579"/>
    </row>
    <row r="62" spans="22:73" s="271" customFormat="1" x14ac:dyDescent="0.25">
      <c r="V62" s="272"/>
      <c r="W62" s="272"/>
      <c r="BU62" s="579"/>
    </row>
    <row r="63" spans="22:73" s="271" customFormat="1" x14ac:dyDescent="0.25">
      <c r="V63" s="272"/>
      <c r="W63" s="272"/>
      <c r="BU63" s="579"/>
    </row>
    <row r="64" spans="22:73" s="271" customFormat="1" x14ac:dyDescent="0.25">
      <c r="V64" s="272"/>
      <c r="W64" s="272"/>
      <c r="BU64" s="579"/>
    </row>
    <row r="65" spans="22:73" s="271" customFormat="1" x14ac:dyDescent="0.25">
      <c r="V65" s="272"/>
      <c r="W65" s="272"/>
      <c r="BU65" s="579"/>
    </row>
    <row r="66" spans="22:73" s="271" customFormat="1" x14ac:dyDescent="0.25">
      <c r="V66" s="272"/>
      <c r="W66" s="272"/>
      <c r="BU66" s="579"/>
    </row>
    <row r="67" spans="22:73" s="271" customFormat="1" x14ac:dyDescent="0.25">
      <c r="V67" s="272"/>
      <c r="W67" s="272"/>
      <c r="BU67" s="579"/>
    </row>
    <row r="68" spans="22:73" s="271" customFormat="1" x14ac:dyDescent="0.25">
      <c r="V68" s="272"/>
      <c r="W68" s="272"/>
      <c r="BU68" s="579"/>
    </row>
    <row r="69" spans="22:73" s="271" customFormat="1" x14ac:dyDescent="0.25">
      <c r="V69" s="272"/>
      <c r="W69" s="272"/>
      <c r="BU69" s="579"/>
    </row>
    <row r="70" spans="22:73" s="271" customFormat="1" x14ac:dyDescent="0.25">
      <c r="V70" s="272"/>
      <c r="W70" s="272"/>
      <c r="BU70" s="579"/>
    </row>
    <row r="71" spans="22:73" s="271" customFormat="1" x14ac:dyDescent="0.25">
      <c r="V71" s="272"/>
      <c r="W71" s="272"/>
      <c r="BU71" s="579"/>
    </row>
    <row r="72" spans="22:73" s="271" customFormat="1" x14ac:dyDescent="0.25">
      <c r="V72" s="272"/>
      <c r="W72" s="272"/>
      <c r="BU72" s="579"/>
    </row>
    <row r="73" spans="22:73" s="271" customFormat="1" x14ac:dyDescent="0.25">
      <c r="V73" s="272"/>
      <c r="W73" s="272"/>
      <c r="BU73" s="579"/>
    </row>
    <row r="74" spans="22:73" s="271" customFormat="1" x14ac:dyDescent="0.25">
      <c r="V74" s="272"/>
      <c r="W74" s="272"/>
      <c r="BU74" s="579"/>
    </row>
    <row r="75" spans="22:73" s="271" customFormat="1" x14ac:dyDescent="0.25">
      <c r="V75" s="272"/>
      <c r="W75" s="272"/>
      <c r="BU75" s="579"/>
    </row>
    <row r="76" spans="22:73" s="271" customFormat="1" x14ac:dyDescent="0.25">
      <c r="V76" s="272"/>
      <c r="W76" s="272"/>
      <c r="BU76" s="579"/>
    </row>
    <row r="77" spans="22:73" s="271" customFormat="1" x14ac:dyDescent="0.25">
      <c r="V77" s="272"/>
      <c r="W77" s="272"/>
      <c r="BU77" s="579"/>
    </row>
    <row r="78" spans="22:73" s="271" customFormat="1" x14ac:dyDescent="0.25">
      <c r="V78" s="272"/>
      <c r="W78" s="272"/>
      <c r="BU78" s="579"/>
    </row>
    <row r="79" spans="22:73" s="271" customFormat="1" x14ac:dyDescent="0.25">
      <c r="V79" s="272"/>
      <c r="W79" s="272"/>
      <c r="BU79" s="579"/>
    </row>
    <row r="80" spans="22:73" s="271" customFormat="1" x14ac:dyDescent="0.25">
      <c r="V80" s="272"/>
      <c r="W80" s="272"/>
      <c r="BU80" s="579"/>
    </row>
    <row r="81" spans="22:73" s="271" customFormat="1" x14ac:dyDescent="0.25">
      <c r="V81" s="272"/>
      <c r="W81" s="272"/>
      <c r="BU81" s="579"/>
    </row>
    <row r="82" spans="22:73" s="271" customFormat="1" x14ac:dyDescent="0.25">
      <c r="V82" s="272"/>
      <c r="W82" s="272"/>
      <c r="BU82" s="579"/>
    </row>
    <row r="83" spans="22:73" s="271" customFormat="1" x14ac:dyDescent="0.25">
      <c r="V83" s="272"/>
      <c r="W83" s="272"/>
      <c r="BU83" s="579"/>
    </row>
    <row r="84" spans="22:73" s="271" customFormat="1" x14ac:dyDescent="0.25">
      <c r="V84" s="272"/>
      <c r="W84" s="272"/>
      <c r="BU84" s="579"/>
    </row>
    <row r="85" spans="22:73" s="271" customFormat="1" x14ac:dyDescent="0.25">
      <c r="V85" s="272"/>
      <c r="W85" s="272"/>
      <c r="BU85" s="579"/>
    </row>
    <row r="86" spans="22:73" s="271" customFormat="1" x14ac:dyDescent="0.25">
      <c r="V86" s="272"/>
      <c r="W86" s="272"/>
      <c r="BU86" s="579"/>
    </row>
    <row r="87" spans="22:73" s="271" customFormat="1" x14ac:dyDescent="0.25">
      <c r="V87" s="272"/>
      <c r="W87" s="272"/>
      <c r="BU87" s="579"/>
    </row>
    <row r="88" spans="22:73" s="271" customFormat="1" x14ac:dyDescent="0.25">
      <c r="V88" s="272"/>
      <c r="W88" s="272"/>
      <c r="BU88" s="579"/>
    </row>
    <row r="89" spans="22:73" s="271" customFormat="1" x14ac:dyDescent="0.25">
      <c r="V89" s="272"/>
      <c r="W89" s="272"/>
      <c r="BU89" s="579"/>
    </row>
    <row r="90" spans="22:73" s="271" customFormat="1" x14ac:dyDescent="0.25">
      <c r="V90" s="272"/>
      <c r="W90" s="272"/>
      <c r="BU90" s="579"/>
    </row>
    <row r="91" spans="22:73" s="271" customFormat="1" x14ac:dyDescent="0.25">
      <c r="V91" s="272"/>
      <c r="W91" s="272"/>
      <c r="BU91" s="579"/>
    </row>
    <row r="92" spans="22:73" s="271" customFormat="1" x14ac:dyDescent="0.25">
      <c r="V92" s="272"/>
      <c r="W92" s="272"/>
      <c r="BU92" s="579"/>
    </row>
    <row r="93" spans="22:73" s="271" customFormat="1" x14ac:dyDescent="0.25">
      <c r="V93" s="272"/>
      <c r="W93" s="272"/>
      <c r="BU93" s="579"/>
    </row>
    <row r="94" spans="22:73" s="271" customFormat="1" x14ac:dyDescent="0.25">
      <c r="V94" s="272"/>
      <c r="W94" s="272"/>
      <c r="BU94" s="579"/>
    </row>
    <row r="95" spans="22:73" s="271" customFormat="1" x14ac:dyDescent="0.25">
      <c r="V95" s="272"/>
      <c r="W95" s="272"/>
      <c r="BU95" s="579"/>
    </row>
    <row r="96" spans="22:73" s="271" customFormat="1" x14ac:dyDescent="0.25">
      <c r="V96" s="272"/>
      <c r="W96" s="272"/>
      <c r="BU96" s="579"/>
    </row>
    <row r="97" spans="22:73" s="271" customFormat="1" x14ac:dyDescent="0.25">
      <c r="V97" s="272"/>
      <c r="W97" s="272"/>
      <c r="BU97" s="579"/>
    </row>
    <row r="98" spans="22:73" s="271" customFormat="1" x14ac:dyDescent="0.25">
      <c r="V98" s="272"/>
      <c r="W98" s="272"/>
      <c r="BU98" s="579"/>
    </row>
    <row r="99" spans="22:73" s="271" customFormat="1" x14ac:dyDescent="0.25">
      <c r="V99" s="272"/>
      <c r="W99" s="272"/>
      <c r="BU99" s="579"/>
    </row>
    <row r="100" spans="22:73" s="271" customFormat="1" x14ac:dyDescent="0.25">
      <c r="V100" s="272"/>
      <c r="W100" s="272"/>
      <c r="BU100" s="579"/>
    </row>
    <row r="101" spans="22:73" s="271" customFormat="1" x14ac:dyDescent="0.25">
      <c r="V101" s="272"/>
      <c r="W101" s="272"/>
      <c r="BU101" s="579"/>
    </row>
    <row r="102" spans="22:73" s="271" customFormat="1" x14ac:dyDescent="0.25">
      <c r="V102" s="272"/>
      <c r="W102" s="272"/>
      <c r="BU102" s="579"/>
    </row>
    <row r="103" spans="22:73" s="271" customFormat="1" x14ac:dyDescent="0.25">
      <c r="V103" s="272"/>
      <c r="W103" s="272"/>
      <c r="BU103" s="579"/>
    </row>
    <row r="104" spans="22:73" s="271" customFormat="1" x14ac:dyDescent="0.25">
      <c r="V104" s="272"/>
      <c r="W104" s="272"/>
      <c r="BU104" s="579"/>
    </row>
    <row r="105" spans="22:73" s="271" customFormat="1" x14ac:dyDescent="0.25">
      <c r="V105" s="272"/>
      <c r="W105" s="272"/>
      <c r="BU105" s="579"/>
    </row>
    <row r="106" spans="22:73" s="271" customFormat="1" x14ac:dyDescent="0.25">
      <c r="V106" s="272"/>
      <c r="W106" s="272"/>
      <c r="BU106" s="579"/>
    </row>
    <row r="107" spans="22:73" s="271" customFormat="1" x14ac:dyDescent="0.25">
      <c r="V107" s="272"/>
      <c r="W107" s="272"/>
      <c r="BU107" s="579"/>
    </row>
    <row r="108" spans="22:73" s="271" customFormat="1" x14ac:dyDescent="0.25">
      <c r="V108" s="272"/>
      <c r="W108" s="272"/>
      <c r="BU108" s="579"/>
    </row>
    <row r="109" spans="22:73" s="271" customFormat="1" x14ac:dyDescent="0.25">
      <c r="V109" s="272"/>
      <c r="W109" s="272"/>
      <c r="BU109" s="579"/>
    </row>
    <row r="110" spans="22:73" s="271" customFormat="1" x14ac:dyDescent="0.25">
      <c r="V110" s="272"/>
      <c r="W110" s="272"/>
      <c r="BU110" s="579"/>
    </row>
    <row r="111" spans="22:73" s="271" customFormat="1" x14ac:dyDescent="0.25">
      <c r="V111" s="272"/>
      <c r="W111" s="272"/>
      <c r="BU111" s="579"/>
    </row>
    <row r="112" spans="22:73" s="271" customFormat="1" x14ac:dyDescent="0.25">
      <c r="V112" s="272"/>
      <c r="W112" s="272"/>
      <c r="BU112" s="579"/>
    </row>
    <row r="113" spans="22:73" s="271" customFormat="1" x14ac:dyDescent="0.25">
      <c r="V113" s="272"/>
      <c r="W113" s="272"/>
      <c r="BU113" s="579"/>
    </row>
    <row r="114" spans="22:73" s="271" customFormat="1" x14ac:dyDescent="0.25">
      <c r="V114" s="272"/>
      <c r="W114" s="272"/>
      <c r="BU114" s="579"/>
    </row>
    <row r="115" spans="22:73" s="271" customFormat="1" x14ac:dyDescent="0.25">
      <c r="V115" s="272"/>
      <c r="W115" s="272"/>
      <c r="BU115" s="579"/>
    </row>
    <row r="116" spans="22:73" s="271" customFormat="1" x14ac:dyDescent="0.25">
      <c r="V116" s="272"/>
      <c r="W116" s="272"/>
      <c r="BU116" s="579"/>
    </row>
    <row r="117" spans="22:73" s="271" customFormat="1" x14ac:dyDescent="0.25">
      <c r="V117" s="272"/>
      <c r="W117" s="272"/>
      <c r="BU117" s="579"/>
    </row>
  </sheetData>
  <sheetProtection algorithmName="SHA-512" hashValue="d9E3gU308Eo806Jj2S5M+IVgAxkk6058sYWYwO8Uf0MJgnbyVTNlVG9mx1+Z0NItmA9qSd2uSLN/xYYt1ngUkQ==" saltValue="Xktotg2sr1mSk3QuxFgwdQ==" spinCount="100000" sheet="1" objects="1" scenarios="1" selectLockedCells="1" selectUnlockedCells="1"/>
  <mergeCells count="255">
    <mergeCell ref="Y4:AF4"/>
    <mergeCell ref="AG4:AN4"/>
    <mergeCell ref="AO4:AV4"/>
    <mergeCell ref="AW4:BD4"/>
    <mergeCell ref="BE4:BL4"/>
    <mergeCell ref="BM4:BT4"/>
    <mergeCell ref="C1:X3"/>
    <mergeCell ref="A4:K4"/>
    <mergeCell ref="L4:P5"/>
    <mergeCell ref="Q4:U5"/>
    <mergeCell ref="V4:W5"/>
    <mergeCell ref="X4:X5"/>
    <mergeCell ref="A5:C5"/>
    <mergeCell ref="E5:F5"/>
    <mergeCell ref="G5:I5"/>
    <mergeCell ref="J5:J6"/>
    <mergeCell ref="BQ5:BT5"/>
    <mergeCell ref="A7:A12"/>
    <mergeCell ref="B7:B12"/>
    <mergeCell ref="C7:C8"/>
    <mergeCell ref="D7:D8"/>
    <mergeCell ref="E7:E8"/>
    <mergeCell ref="F7:F8"/>
    <mergeCell ref="G7:G8"/>
    <mergeCell ref="H7:H8"/>
    <mergeCell ref="I7:I8"/>
    <mergeCell ref="AS5:AV5"/>
    <mergeCell ref="AW5:AZ5"/>
    <mergeCell ref="BA5:BD5"/>
    <mergeCell ref="BE5:BH5"/>
    <mergeCell ref="BI5:BL5"/>
    <mergeCell ref="BM5:BP5"/>
    <mergeCell ref="K5:K6"/>
    <mergeCell ref="Y5:AB5"/>
    <mergeCell ref="AC5:AF5"/>
    <mergeCell ref="AG5:AJ5"/>
    <mergeCell ref="AK5:AN5"/>
    <mergeCell ref="AO5:AR5"/>
    <mergeCell ref="AQ9:AQ11"/>
    <mergeCell ref="AR9:AR11"/>
    <mergeCell ref="Y9:Y11"/>
    <mergeCell ref="Z9:Z11"/>
    <mergeCell ref="AA9:AA11"/>
    <mergeCell ref="AB9:AB11"/>
    <mergeCell ref="AG9:AG11"/>
    <mergeCell ref="AH9:AH11"/>
    <mergeCell ref="J7:J12"/>
    <mergeCell ref="K7:K12"/>
    <mergeCell ref="W7:W35"/>
    <mergeCell ref="X7:X12"/>
    <mergeCell ref="L9:L11"/>
    <mergeCell ref="M9:M11"/>
    <mergeCell ref="N9:N11"/>
    <mergeCell ref="O9:O11"/>
    <mergeCell ref="P9:P11"/>
    <mergeCell ref="V9:V11"/>
    <mergeCell ref="BU9:BU11"/>
    <mergeCell ref="C10:C12"/>
    <mergeCell ref="D10:D12"/>
    <mergeCell ref="E10:E12"/>
    <mergeCell ref="F10:F12"/>
    <mergeCell ref="G10:G12"/>
    <mergeCell ref="H10:H12"/>
    <mergeCell ref="I10:I12"/>
    <mergeCell ref="BG9:BG11"/>
    <mergeCell ref="BH9:BH11"/>
    <mergeCell ref="BM9:BM11"/>
    <mergeCell ref="BN9:BN11"/>
    <mergeCell ref="BO9:BO11"/>
    <mergeCell ref="BP9:BP11"/>
    <mergeCell ref="AW9:AW11"/>
    <mergeCell ref="AX9:AX11"/>
    <mergeCell ref="AY9:AY11"/>
    <mergeCell ref="AZ9:AZ11"/>
    <mergeCell ref="BE9:BE11"/>
    <mergeCell ref="BF9:BF11"/>
    <mergeCell ref="AI9:AI11"/>
    <mergeCell ref="AJ9:AJ11"/>
    <mergeCell ref="AO9:AO11"/>
    <mergeCell ref="AP9:AP11"/>
    <mergeCell ref="AW13:AX13"/>
    <mergeCell ref="BA13:BB13"/>
    <mergeCell ref="BE13:BF13"/>
    <mergeCell ref="BI13:BJ13"/>
    <mergeCell ref="BM13:BN13"/>
    <mergeCell ref="BQ13:BR13"/>
    <mergeCell ref="Y13:Z13"/>
    <mergeCell ref="AC13:AD13"/>
    <mergeCell ref="AG13:AH13"/>
    <mergeCell ref="AK13:AL13"/>
    <mergeCell ref="AO13:AP13"/>
    <mergeCell ref="AS13:AT13"/>
    <mergeCell ref="G14:G16"/>
    <mergeCell ref="H14:H16"/>
    <mergeCell ref="I14:I16"/>
    <mergeCell ref="J14:J16"/>
    <mergeCell ref="K14:K16"/>
    <mergeCell ref="X14:X16"/>
    <mergeCell ref="A14:A16"/>
    <mergeCell ref="B14:B16"/>
    <mergeCell ref="C14:C16"/>
    <mergeCell ref="D14:D16"/>
    <mergeCell ref="E14:E16"/>
    <mergeCell ref="F14:F16"/>
    <mergeCell ref="AW17:AX17"/>
    <mergeCell ref="BA17:BB17"/>
    <mergeCell ref="BE17:BF17"/>
    <mergeCell ref="BI17:BJ17"/>
    <mergeCell ref="BM17:BN17"/>
    <mergeCell ref="BQ17:BR17"/>
    <mergeCell ref="Y17:Z17"/>
    <mergeCell ref="AC17:AD17"/>
    <mergeCell ref="AG17:AH17"/>
    <mergeCell ref="AK17:AL17"/>
    <mergeCell ref="AO17:AP17"/>
    <mergeCell ref="AS17:AT17"/>
    <mergeCell ref="G18:G21"/>
    <mergeCell ref="H18:H21"/>
    <mergeCell ref="I18:I21"/>
    <mergeCell ref="J18:J21"/>
    <mergeCell ref="K18:K21"/>
    <mergeCell ref="X18:X21"/>
    <mergeCell ref="A18:A21"/>
    <mergeCell ref="B18:B21"/>
    <mergeCell ref="C18:C21"/>
    <mergeCell ref="D18:D21"/>
    <mergeCell ref="E18:E21"/>
    <mergeCell ref="F18:F21"/>
    <mergeCell ref="BI22:BJ22"/>
    <mergeCell ref="BM22:BN22"/>
    <mergeCell ref="BQ22:BR22"/>
    <mergeCell ref="Y22:Z22"/>
    <mergeCell ref="AC22:AD22"/>
    <mergeCell ref="AG22:AH22"/>
    <mergeCell ref="AK22:AL22"/>
    <mergeCell ref="AO22:AP22"/>
    <mergeCell ref="AS22:AT22"/>
    <mergeCell ref="A23:A27"/>
    <mergeCell ref="B23:B27"/>
    <mergeCell ref="C23:C27"/>
    <mergeCell ref="D23:D27"/>
    <mergeCell ref="E23:E27"/>
    <mergeCell ref="F23:F27"/>
    <mergeCell ref="AW22:AX22"/>
    <mergeCell ref="BA22:BB22"/>
    <mergeCell ref="BE22:BF22"/>
    <mergeCell ref="G23:G27"/>
    <mergeCell ref="H23:H27"/>
    <mergeCell ref="I23:I27"/>
    <mergeCell ref="J23:J27"/>
    <mergeCell ref="K23:K27"/>
    <mergeCell ref="X23:X27"/>
    <mergeCell ref="L24:L27"/>
    <mergeCell ref="M24:M27"/>
    <mergeCell ref="N24:N27"/>
    <mergeCell ref="O24:O27"/>
    <mergeCell ref="AI24:AI27"/>
    <mergeCell ref="AJ24:AJ27"/>
    <mergeCell ref="AO24:AO27"/>
    <mergeCell ref="AP24:AP27"/>
    <mergeCell ref="P24:P27"/>
    <mergeCell ref="V24:V27"/>
    <mergeCell ref="Y24:Y27"/>
    <mergeCell ref="Z24:Z27"/>
    <mergeCell ref="AA24:AA27"/>
    <mergeCell ref="AB24:AB27"/>
    <mergeCell ref="BO24:BO27"/>
    <mergeCell ref="BP24:BP27"/>
    <mergeCell ref="BU24:BU27"/>
    <mergeCell ref="Y28:Z28"/>
    <mergeCell ref="AC28:AD28"/>
    <mergeCell ref="AG28:AH28"/>
    <mergeCell ref="AK28:AL28"/>
    <mergeCell ref="AO28:AP28"/>
    <mergeCell ref="AS28:AT28"/>
    <mergeCell ref="AW28:AX28"/>
    <mergeCell ref="BE24:BE27"/>
    <mergeCell ref="BF24:BF27"/>
    <mergeCell ref="BG24:BG27"/>
    <mergeCell ref="BH24:BH27"/>
    <mergeCell ref="BM24:BM27"/>
    <mergeCell ref="BN24:BN27"/>
    <mergeCell ref="AQ24:AQ27"/>
    <mergeCell ref="AR24:AR27"/>
    <mergeCell ref="AW24:AW27"/>
    <mergeCell ref="AX24:AX27"/>
    <mergeCell ref="AY24:AY27"/>
    <mergeCell ref="AZ24:AZ27"/>
    <mergeCell ref="AG24:AG27"/>
    <mergeCell ref="AH24:AH27"/>
    <mergeCell ref="BA28:BB28"/>
    <mergeCell ref="BE28:BF28"/>
    <mergeCell ref="BI28:BJ28"/>
    <mergeCell ref="BM28:BN28"/>
    <mergeCell ref="BQ28:BR28"/>
    <mergeCell ref="A29:A31"/>
    <mergeCell ref="B29:B31"/>
    <mergeCell ref="C29:C31"/>
    <mergeCell ref="D29:D31"/>
    <mergeCell ref="E29:E31"/>
    <mergeCell ref="X29:X31"/>
    <mergeCell ref="Y32:Z32"/>
    <mergeCell ref="AC32:AD32"/>
    <mergeCell ref="AG32:AH32"/>
    <mergeCell ref="AK32:AL32"/>
    <mergeCell ref="AO32:AP32"/>
    <mergeCell ref="F29:F31"/>
    <mergeCell ref="G29:G31"/>
    <mergeCell ref="H29:H31"/>
    <mergeCell ref="I29:I31"/>
    <mergeCell ref="J29:J31"/>
    <mergeCell ref="K29:K31"/>
    <mergeCell ref="J33:J35"/>
    <mergeCell ref="K33:K35"/>
    <mergeCell ref="X33:X35"/>
    <mergeCell ref="Y36:Z36"/>
    <mergeCell ref="AC36:AD36"/>
    <mergeCell ref="AG36:AH36"/>
    <mergeCell ref="BQ32:BR32"/>
    <mergeCell ref="A33:A35"/>
    <mergeCell ref="B33:B35"/>
    <mergeCell ref="C33:C35"/>
    <mergeCell ref="D33:D35"/>
    <mergeCell ref="E33:E35"/>
    <mergeCell ref="F33:F35"/>
    <mergeCell ref="G33:G35"/>
    <mergeCell ref="H33:H35"/>
    <mergeCell ref="I33:I35"/>
    <mergeCell ref="AS32:AT32"/>
    <mergeCell ref="AW32:AX32"/>
    <mergeCell ref="BA32:BB32"/>
    <mergeCell ref="BE32:BF32"/>
    <mergeCell ref="BI32:BJ32"/>
    <mergeCell ref="BM32:BN32"/>
    <mergeCell ref="BA38:BB38"/>
    <mergeCell ref="BE38:BF38"/>
    <mergeCell ref="BI38:BJ38"/>
    <mergeCell ref="BM38:BN38"/>
    <mergeCell ref="BQ38:BR38"/>
    <mergeCell ref="BI36:BJ36"/>
    <mergeCell ref="BM36:BN36"/>
    <mergeCell ref="BQ36:BR36"/>
    <mergeCell ref="Y38:Z38"/>
    <mergeCell ref="AC38:AD38"/>
    <mergeCell ref="AG38:AH38"/>
    <mergeCell ref="AK38:AL38"/>
    <mergeCell ref="AO38:AP38"/>
    <mergeCell ref="AS38:AT38"/>
    <mergeCell ref="AW38:AX38"/>
    <mergeCell ref="AK36:AL36"/>
    <mergeCell ref="AO36:AP36"/>
    <mergeCell ref="AS36:AT36"/>
    <mergeCell ref="AW36:AX36"/>
    <mergeCell ref="BA36:BB36"/>
    <mergeCell ref="BE36:BF36"/>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C63E0-18F3-420A-870A-2157A2D06D76}">
  <sheetPr>
    <tabColor theme="7"/>
  </sheetPr>
  <dimension ref="A1:BW33"/>
  <sheetViews>
    <sheetView topLeftCell="AX1" zoomScale="80" zoomScaleNormal="80" workbookViewId="0">
      <selection activeCell="BO15" sqref="BO15"/>
    </sheetView>
  </sheetViews>
  <sheetFormatPr baseColWidth="10" defaultColWidth="11.42578125" defaultRowHeight="15" x14ac:dyDescent="0.25"/>
  <cols>
    <col min="1" max="1" width="21.140625" style="247" customWidth="1"/>
    <col min="2" max="2" width="17.85546875" style="247" customWidth="1"/>
    <col min="3" max="3" width="24.140625" style="247" customWidth="1"/>
    <col min="4" max="4" width="26.42578125" style="247" customWidth="1"/>
    <col min="5" max="5" width="18.140625" style="247" customWidth="1"/>
    <col min="6" max="6" width="20.5703125" style="247" customWidth="1"/>
    <col min="7" max="7" width="14" style="247" customWidth="1"/>
    <col min="8" max="8" width="16.5703125" style="247" customWidth="1"/>
    <col min="9" max="9" width="15.140625" style="247" customWidth="1"/>
    <col min="10" max="10" width="15.85546875" style="247" customWidth="1"/>
    <col min="11" max="11" width="16.42578125" style="247" customWidth="1"/>
    <col min="12" max="12" width="21.85546875" style="247" customWidth="1"/>
    <col min="13" max="13" width="23" style="247" customWidth="1"/>
    <col min="14" max="14" width="11.42578125" style="247"/>
    <col min="15" max="15" width="13.5703125" style="247" customWidth="1"/>
    <col min="16" max="16" width="11.42578125" style="247"/>
    <col min="17" max="17" width="20.28515625" style="247" customWidth="1"/>
    <col min="18" max="18" width="20.140625" style="247" customWidth="1"/>
    <col min="19" max="19" width="12.28515625" style="247" customWidth="1"/>
    <col min="20" max="20" width="11.42578125" style="247"/>
    <col min="21" max="21" width="11.5703125" style="247" customWidth="1"/>
    <col min="22" max="22" width="14.140625" style="248" bestFit="1" customWidth="1"/>
    <col min="23" max="23" width="16.7109375" style="248" customWidth="1"/>
    <col min="24" max="24" width="16.7109375" style="247" customWidth="1"/>
    <col min="25" max="25" width="16.28515625" style="247" customWidth="1"/>
    <col min="26" max="26" width="11.42578125" style="247"/>
    <col min="27" max="27" width="16" style="247" customWidth="1"/>
    <col min="28" max="28" width="40.5703125" style="247" customWidth="1"/>
    <col min="29" max="29" width="14.5703125" style="247" customWidth="1"/>
    <col min="30" max="30" width="11.42578125" style="247"/>
    <col min="31" max="31" width="13" style="247" customWidth="1"/>
    <col min="32" max="32" width="32.85546875" style="247" customWidth="1"/>
    <col min="33" max="33" width="18.140625" style="247" bestFit="1" customWidth="1"/>
    <col min="34" max="34" width="11.42578125" style="247"/>
    <col min="35" max="35" width="16" style="247" customWidth="1"/>
    <col min="36" max="36" width="40.5703125" style="247" customWidth="1"/>
    <col min="37" max="37" width="17.140625" style="247" bestFit="1" customWidth="1"/>
    <col min="38" max="38" width="11.42578125" style="247"/>
    <col min="39" max="39" width="13" style="247" customWidth="1"/>
    <col min="40" max="40" width="32.85546875" style="247" customWidth="1"/>
    <col min="41" max="41" width="18.140625" style="247" bestFit="1" customWidth="1"/>
    <col min="42" max="42" width="11.42578125" style="247"/>
    <col min="43" max="43" width="16" style="247" customWidth="1"/>
    <col min="44" max="44" width="40.5703125" style="247" customWidth="1"/>
    <col min="45" max="45" width="17.140625" style="247" bestFit="1" customWidth="1"/>
    <col min="46" max="46" width="11.42578125" style="247"/>
    <col min="47" max="47" width="13" style="247" customWidth="1"/>
    <col min="48" max="48" width="32.85546875" style="247" customWidth="1"/>
    <col min="49" max="49" width="18.140625" style="247" bestFit="1" customWidth="1"/>
    <col min="50" max="50" width="11.42578125" style="247"/>
    <col min="51" max="51" width="16" style="247" customWidth="1"/>
    <col min="52" max="52" width="40.5703125" style="247" customWidth="1"/>
    <col min="53" max="53" width="17.140625" style="247" bestFit="1" customWidth="1"/>
    <col min="54" max="54" width="11.42578125" style="247"/>
    <col min="55" max="55" width="13" style="247" customWidth="1"/>
    <col min="56" max="56" width="32.85546875" style="247" customWidth="1"/>
    <col min="57" max="57" width="18.140625" style="247" bestFit="1" customWidth="1"/>
    <col min="58" max="58" width="11.42578125" style="247"/>
    <col min="59" max="59" width="16" style="247" customWidth="1"/>
    <col min="60" max="60" width="40.5703125" style="247" customWidth="1"/>
    <col min="61" max="61" width="17.140625" style="247" bestFit="1" customWidth="1"/>
    <col min="62" max="62" width="11.42578125" style="247"/>
    <col min="63" max="63" width="13" style="247" customWidth="1"/>
    <col min="64" max="64" width="32.85546875" style="247" customWidth="1"/>
    <col min="65" max="65" width="18.140625" style="247" bestFit="1" customWidth="1"/>
    <col min="66" max="66" width="11.42578125" style="247"/>
    <col min="67" max="67" width="16" style="247" customWidth="1"/>
    <col min="68" max="68" width="40.5703125" style="247" customWidth="1"/>
    <col min="69" max="69" width="17.140625" style="247" bestFit="1" customWidth="1"/>
    <col min="70" max="70" width="11.42578125" style="247"/>
    <col min="71" max="71" width="13" style="247" customWidth="1"/>
    <col min="72" max="72" width="32.85546875" style="247" customWidth="1"/>
    <col min="73" max="16384" width="11.42578125" style="247"/>
  </cols>
  <sheetData>
    <row r="1" spans="1:75" s="1" customFormat="1" ht="15.75" x14ac:dyDescent="0.25">
      <c r="C1" s="769" t="s">
        <v>0</v>
      </c>
      <c r="D1" s="769"/>
      <c r="E1" s="769"/>
      <c r="F1" s="769"/>
      <c r="G1" s="769"/>
      <c r="H1" s="769"/>
      <c r="I1" s="769"/>
      <c r="J1" s="769"/>
      <c r="K1" s="769"/>
      <c r="L1" s="769"/>
      <c r="M1" s="769"/>
      <c r="N1" s="769"/>
      <c r="O1" s="769"/>
      <c r="P1" s="769"/>
      <c r="Q1" s="769"/>
      <c r="R1" s="769"/>
      <c r="S1" s="769"/>
      <c r="T1" s="769"/>
      <c r="U1" s="769"/>
      <c r="V1" s="769"/>
      <c r="W1" s="769"/>
      <c r="X1" s="769"/>
      <c r="AE1" s="2"/>
      <c r="AF1" s="3"/>
      <c r="AM1" s="2"/>
      <c r="AN1" s="3"/>
      <c r="AU1" s="2"/>
      <c r="AV1" s="3"/>
      <c r="BC1" s="2"/>
      <c r="BD1" s="3"/>
      <c r="BK1" s="2"/>
      <c r="BL1" s="3"/>
      <c r="BS1" s="4" t="s">
        <v>1</v>
      </c>
      <c r="BT1" s="5">
        <v>43458</v>
      </c>
    </row>
    <row r="2" spans="1:75" s="1" customFormat="1" ht="30" customHeight="1" x14ac:dyDescent="0.25">
      <c r="C2" s="769"/>
      <c r="D2" s="769"/>
      <c r="E2" s="769"/>
      <c r="F2" s="769"/>
      <c r="G2" s="769"/>
      <c r="H2" s="769"/>
      <c r="I2" s="769"/>
      <c r="J2" s="769"/>
      <c r="K2" s="769"/>
      <c r="L2" s="769"/>
      <c r="M2" s="769"/>
      <c r="N2" s="769"/>
      <c r="O2" s="769"/>
      <c r="P2" s="769"/>
      <c r="Q2" s="769"/>
      <c r="R2" s="769"/>
      <c r="S2" s="769"/>
      <c r="T2" s="769"/>
      <c r="U2" s="769"/>
      <c r="V2" s="769"/>
      <c r="W2" s="769"/>
      <c r="X2" s="769"/>
      <c r="AE2" s="2"/>
      <c r="AF2" s="2"/>
      <c r="AM2" s="2"/>
      <c r="AN2" s="2"/>
      <c r="AU2" s="2"/>
      <c r="AV2" s="2"/>
      <c r="BC2" s="2"/>
      <c r="BD2" s="2"/>
      <c r="BK2" s="2"/>
      <c r="BL2" s="2"/>
      <c r="BS2" s="4" t="s">
        <v>2</v>
      </c>
      <c r="BT2" s="4">
        <v>5</v>
      </c>
    </row>
    <row r="3" spans="1:75" s="1" customFormat="1" ht="29.25" customHeight="1" x14ac:dyDescent="0.25">
      <c r="C3" s="769"/>
      <c r="D3" s="769"/>
      <c r="E3" s="769"/>
      <c r="F3" s="769"/>
      <c r="G3" s="769"/>
      <c r="H3" s="769"/>
      <c r="I3" s="769"/>
      <c r="J3" s="769"/>
      <c r="K3" s="769"/>
      <c r="L3" s="769"/>
      <c r="M3" s="769"/>
      <c r="N3" s="769"/>
      <c r="O3" s="769"/>
      <c r="P3" s="769"/>
      <c r="Q3" s="769"/>
      <c r="R3" s="769"/>
      <c r="S3" s="769"/>
      <c r="T3" s="769"/>
      <c r="U3" s="769"/>
      <c r="V3" s="769"/>
      <c r="W3" s="769"/>
      <c r="X3" s="769"/>
      <c r="AE3" s="2"/>
      <c r="AF3" s="2"/>
      <c r="AM3" s="2"/>
      <c r="AN3" s="2"/>
      <c r="AT3" s="560"/>
      <c r="AU3" s="559"/>
      <c r="AV3" s="559"/>
      <c r="AW3" s="560"/>
      <c r="AX3" s="560"/>
      <c r="AY3" s="560"/>
      <c r="AZ3" s="560"/>
      <c r="BA3" s="560"/>
      <c r="BB3" s="560"/>
      <c r="BC3" s="559"/>
      <c r="BD3" s="559"/>
      <c r="BE3" s="560"/>
      <c r="BF3" s="560"/>
      <c r="BG3" s="560"/>
      <c r="BH3" s="560"/>
      <c r="BI3" s="560"/>
      <c r="BJ3" s="560"/>
      <c r="BK3" s="559"/>
      <c r="BL3" s="559"/>
      <c r="BS3" s="4" t="s">
        <v>3</v>
      </c>
      <c r="BT3" s="4" t="s">
        <v>4</v>
      </c>
    </row>
    <row r="4" spans="1:75" s="194" customFormat="1" ht="15" customHeight="1" x14ac:dyDescent="0.25">
      <c r="A4" s="815" t="s">
        <v>5</v>
      </c>
      <c r="B4" s="816"/>
      <c r="C4" s="816"/>
      <c r="D4" s="816"/>
      <c r="E4" s="816"/>
      <c r="F4" s="816"/>
      <c r="G4" s="816"/>
      <c r="H4" s="816"/>
      <c r="I4" s="816"/>
      <c r="J4" s="816"/>
      <c r="K4" s="817"/>
      <c r="L4" s="818" t="s">
        <v>6</v>
      </c>
      <c r="M4" s="819"/>
      <c r="N4" s="819"/>
      <c r="O4" s="819"/>
      <c r="P4" s="820"/>
      <c r="Q4" s="818" t="s">
        <v>7</v>
      </c>
      <c r="R4" s="819"/>
      <c r="S4" s="819"/>
      <c r="T4" s="819"/>
      <c r="U4" s="820"/>
      <c r="V4" s="821" t="s">
        <v>8</v>
      </c>
      <c r="W4" s="822"/>
      <c r="X4" s="825" t="s">
        <v>9</v>
      </c>
      <c r="Y4" s="812" t="s">
        <v>10</v>
      </c>
      <c r="Z4" s="813"/>
      <c r="AA4" s="813"/>
      <c r="AB4" s="813"/>
      <c r="AC4" s="813"/>
      <c r="AD4" s="813"/>
      <c r="AE4" s="813"/>
      <c r="AF4" s="814"/>
      <c r="AG4" s="812" t="s">
        <v>11</v>
      </c>
      <c r="AH4" s="813"/>
      <c r="AI4" s="813"/>
      <c r="AJ4" s="813"/>
      <c r="AK4" s="813"/>
      <c r="AL4" s="813"/>
      <c r="AM4" s="813"/>
      <c r="AN4" s="814"/>
      <c r="AO4" s="812" t="s">
        <v>12</v>
      </c>
      <c r="AP4" s="813"/>
      <c r="AQ4" s="813"/>
      <c r="AR4" s="813"/>
      <c r="AS4" s="813"/>
      <c r="AT4" s="813"/>
      <c r="AU4" s="813"/>
      <c r="AV4" s="814"/>
      <c r="AW4" s="812" t="s">
        <v>892</v>
      </c>
      <c r="AX4" s="813"/>
      <c r="AY4" s="813"/>
      <c r="AZ4" s="813"/>
      <c r="BA4" s="813"/>
      <c r="BB4" s="813"/>
      <c r="BC4" s="813"/>
      <c r="BD4" s="814"/>
      <c r="BE4" s="812" t="s">
        <v>893</v>
      </c>
      <c r="BF4" s="813"/>
      <c r="BG4" s="813"/>
      <c r="BH4" s="813"/>
      <c r="BI4" s="813"/>
      <c r="BJ4" s="813"/>
      <c r="BK4" s="813"/>
      <c r="BL4" s="814"/>
      <c r="BM4" s="812" t="s">
        <v>894</v>
      </c>
      <c r="BN4" s="813"/>
      <c r="BO4" s="813"/>
      <c r="BP4" s="813"/>
      <c r="BQ4" s="813"/>
      <c r="BR4" s="813"/>
      <c r="BS4" s="813"/>
      <c r="BT4" s="814"/>
      <c r="BU4" s="263"/>
      <c r="BV4" s="263"/>
      <c r="BW4" s="263"/>
    </row>
    <row r="5" spans="1:75" s="194" customFormat="1" ht="30" x14ac:dyDescent="0.25">
      <c r="A5" s="808" t="s">
        <v>13</v>
      </c>
      <c r="B5" s="803"/>
      <c r="C5" s="804"/>
      <c r="D5" s="522" t="s">
        <v>14</v>
      </c>
      <c r="E5" s="808" t="s">
        <v>15</v>
      </c>
      <c r="F5" s="804"/>
      <c r="G5" s="808" t="s">
        <v>16</v>
      </c>
      <c r="H5" s="803"/>
      <c r="I5" s="804"/>
      <c r="J5" s="810" t="s">
        <v>17</v>
      </c>
      <c r="K5" s="810" t="s">
        <v>18</v>
      </c>
      <c r="L5" s="812"/>
      <c r="M5" s="813"/>
      <c r="N5" s="813"/>
      <c r="O5" s="813"/>
      <c r="P5" s="814"/>
      <c r="Q5" s="812"/>
      <c r="R5" s="813"/>
      <c r="S5" s="813"/>
      <c r="T5" s="813"/>
      <c r="U5" s="814"/>
      <c r="V5" s="823"/>
      <c r="W5" s="824"/>
      <c r="X5" s="826"/>
      <c r="Y5" s="808" t="s">
        <v>19</v>
      </c>
      <c r="Z5" s="803"/>
      <c r="AA5" s="803"/>
      <c r="AB5" s="809"/>
      <c r="AC5" s="802" t="s">
        <v>20</v>
      </c>
      <c r="AD5" s="803"/>
      <c r="AE5" s="803"/>
      <c r="AF5" s="804"/>
      <c r="AG5" s="808" t="s">
        <v>19</v>
      </c>
      <c r="AH5" s="803"/>
      <c r="AI5" s="803"/>
      <c r="AJ5" s="809"/>
      <c r="AK5" s="802" t="s">
        <v>20</v>
      </c>
      <c r="AL5" s="803"/>
      <c r="AM5" s="803"/>
      <c r="AN5" s="804"/>
      <c r="AO5" s="808" t="s">
        <v>19</v>
      </c>
      <c r="AP5" s="803"/>
      <c r="AQ5" s="803"/>
      <c r="AR5" s="809"/>
      <c r="AS5" s="802" t="s">
        <v>20</v>
      </c>
      <c r="AT5" s="803"/>
      <c r="AU5" s="803"/>
      <c r="AV5" s="804"/>
      <c r="AW5" s="808" t="s">
        <v>19</v>
      </c>
      <c r="AX5" s="803"/>
      <c r="AY5" s="803"/>
      <c r="AZ5" s="809"/>
      <c r="BA5" s="802" t="s">
        <v>20</v>
      </c>
      <c r="BB5" s="803"/>
      <c r="BC5" s="803"/>
      <c r="BD5" s="804"/>
      <c r="BE5" s="808" t="s">
        <v>19</v>
      </c>
      <c r="BF5" s="803"/>
      <c r="BG5" s="803"/>
      <c r="BH5" s="809"/>
      <c r="BI5" s="802" t="s">
        <v>20</v>
      </c>
      <c r="BJ5" s="803"/>
      <c r="BK5" s="803"/>
      <c r="BL5" s="804"/>
      <c r="BM5" s="808" t="s">
        <v>19</v>
      </c>
      <c r="BN5" s="803"/>
      <c r="BO5" s="803"/>
      <c r="BP5" s="809"/>
      <c r="BQ5" s="802" t="s">
        <v>20</v>
      </c>
      <c r="BR5" s="803"/>
      <c r="BS5" s="803"/>
      <c r="BT5" s="804"/>
      <c r="BU5" s="263"/>
      <c r="BV5" s="263"/>
      <c r="BW5" s="263"/>
    </row>
    <row r="6" spans="1:75" s="194" customFormat="1" ht="45" x14ac:dyDescent="0.25">
      <c r="A6" s="235" t="s">
        <v>21</v>
      </c>
      <c r="B6" s="235" t="s">
        <v>22</v>
      </c>
      <c r="C6" s="235" t="s">
        <v>23</v>
      </c>
      <c r="D6" s="235" t="s">
        <v>24</v>
      </c>
      <c r="E6" s="235" t="s">
        <v>25</v>
      </c>
      <c r="F6" s="235" t="s">
        <v>26</v>
      </c>
      <c r="G6" s="235" t="s">
        <v>27</v>
      </c>
      <c r="H6" s="235" t="s">
        <v>28</v>
      </c>
      <c r="I6" s="235" t="s">
        <v>29</v>
      </c>
      <c r="J6" s="811"/>
      <c r="K6" s="811"/>
      <c r="L6" s="235" t="s">
        <v>6</v>
      </c>
      <c r="M6" s="235" t="s">
        <v>30</v>
      </c>
      <c r="N6" s="235" t="s">
        <v>31</v>
      </c>
      <c r="O6" s="235" t="s">
        <v>32</v>
      </c>
      <c r="P6" s="235" t="s">
        <v>33</v>
      </c>
      <c r="Q6" s="235" t="s">
        <v>7</v>
      </c>
      <c r="R6" s="235" t="s">
        <v>34</v>
      </c>
      <c r="S6" s="235" t="s">
        <v>31</v>
      </c>
      <c r="T6" s="235" t="s">
        <v>32</v>
      </c>
      <c r="U6" s="235" t="s">
        <v>35</v>
      </c>
      <c r="V6" s="246" t="s">
        <v>36</v>
      </c>
      <c r="W6" s="246" t="s">
        <v>37</v>
      </c>
      <c r="X6" s="235" t="s">
        <v>38</v>
      </c>
      <c r="Y6" s="235" t="s">
        <v>39</v>
      </c>
      <c r="Z6" s="235" t="s">
        <v>40</v>
      </c>
      <c r="AA6" s="235" t="s">
        <v>41</v>
      </c>
      <c r="AB6" s="235" t="s">
        <v>42</v>
      </c>
      <c r="AC6" s="235" t="s">
        <v>39</v>
      </c>
      <c r="AD6" s="235" t="s">
        <v>40</v>
      </c>
      <c r="AE6" s="235" t="s">
        <v>41</v>
      </c>
      <c r="AF6" s="235" t="s">
        <v>42</v>
      </c>
      <c r="AG6" s="235" t="s">
        <v>39</v>
      </c>
      <c r="AH6" s="235" t="s">
        <v>40</v>
      </c>
      <c r="AI6" s="235" t="s">
        <v>41</v>
      </c>
      <c r="AJ6" s="235" t="s">
        <v>42</v>
      </c>
      <c r="AK6" s="235" t="s">
        <v>39</v>
      </c>
      <c r="AL6" s="235" t="s">
        <v>40</v>
      </c>
      <c r="AM6" s="235" t="s">
        <v>41</v>
      </c>
      <c r="AN6" s="235" t="s">
        <v>42</v>
      </c>
      <c r="AO6" s="235" t="s">
        <v>39</v>
      </c>
      <c r="AP6" s="235" t="s">
        <v>40</v>
      </c>
      <c r="AQ6" s="235" t="s">
        <v>41</v>
      </c>
      <c r="AR6" s="235" t="s">
        <v>42</v>
      </c>
      <c r="AS6" s="235" t="s">
        <v>39</v>
      </c>
      <c r="AT6" s="235" t="s">
        <v>40</v>
      </c>
      <c r="AU6" s="235" t="s">
        <v>41</v>
      </c>
      <c r="AV6" s="235" t="s">
        <v>42</v>
      </c>
      <c r="AW6" s="235" t="s">
        <v>39</v>
      </c>
      <c r="AX6" s="235" t="s">
        <v>40</v>
      </c>
      <c r="AY6" s="235" t="s">
        <v>41</v>
      </c>
      <c r="AZ6" s="235" t="s">
        <v>42</v>
      </c>
      <c r="BA6" s="235" t="s">
        <v>39</v>
      </c>
      <c r="BB6" s="235" t="s">
        <v>40</v>
      </c>
      <c r="BC6" s="235" t="s">
        <v>41</v>
      </c>
      <c r="BD6" s="235" t="s">
        <v>42</v>
      </c>
      <c r="BE6" s="235" t="s">
        <v>39</v>
      </c>
      <c r="BF6" s="235" t="s">
        <v>40</v>
      </c>
      <c r="BG6" s="235" t="s">
        <v>41</v>
      </c>
      <c r="BH6" s="235" t="s">
        <v>42</v>
      </c>
      <c r="BI6" s="235" t="s">
        <v>39</v>
      </c>
      <c r="BJ6" s="235" t="s">
        <v>40</v>
      </c>
      <c r="BK6" s="235" t="s">
        <v>41</v>
      </c>
      <c r="BL6" s="235" t="s">
        <v>42</v>
      </c>
      <c r="BM6" s="235" t="s">
        <v>39</v>
      </c>
      <c r="BN6" s="235" t="s">
        <v>40</v>
      </c>
      <c r="BO6" s="235" t="s">
        <v>41</v>
      </c>
      <c r="BP6" s="235" t="s">
        <v>42</v>
      </c>
      <c r="BQ6" s="235" t="s">
        <v>39</v>
      </c>
      <c r="BR6" s="235" t="s">
        <v>40</v>
      </c>
      <c r="BS6" s="235" t="s">
        <v>41</v>
      </c>
      <c r="BT6" s="235" t="s">
        <v>42</v>
      </c>
      <c r="BU6" s="263"/>
      <c r="BV6" s="263"/>
      <c r="BW6" s="263"/>
    </row>
    <row r="7" spans="1:75" s="250" customFormat="1" ht="144.75" customHeight="1" x14ac:dyDescent="0.25">
      <c r="A7" s="805" t="s">
        <v>43</v>
      </c>
      <c r="B7" s="690" t="s">
        <v>44</v>
      </c>
      <c r="C7" s="690" t="s">
        <v>45</v>
      </c>
      <c r="D7" s="690" t="s">
        <v>540</v>
      </c>
      <c r="E7" s="690" t="s">
        <v>47</v>
      </c>
      <c r="F7" s="690" t="s">
        <v>326</v>
      </c>
      <c r="G7" s="690"/>
      <c r="H7" s="690" t="s">
        <v>660</v>
      </c>
      <c r="I7" s="690" t="s">
        <v>590</v>
      </c>
      <c r="J7" s="690" t="s">
        <v>661</v>
      </c>
      <c r="K7" s="690" t="s">
        <v>662</v>
      </c>
      <c r="L7" s="524" t="s">
        <v>663</v>
      </c>
      <c r="M7" s="524" t="s">
        <v>664</v>
      </c>
      <c r="N7" s="524" t="s">
        <v>74</v>
      </c>
      <c r="O7" s="524">
        <v>0</v>
      </c>
      <c r="P7" s="545">
        <v>1</v>
      </c>
      <c r="Q7" s="241"/>
      <c r="R7" s="241"/>
      <c r="S7" s="241"/>
      <c r="T7" s="241"/>
      <c r="U7" s="241"/>
      <c r="V7" s="264">
        <v>154683793</v>
      </c>
      <c r="W7" s="897">
        <v>45317466258</v>
      </c>
      <c r="X7" s="807" t="s">
        <v>665</v>
      </c>
      <c r="Y7" s="525">
        <v>1</v>
      </c>
      <c r="Z7" s="525">
        <v>1</v>
      </c>
      <c r="AA7" s="525">
        <v>1</v>
      </c>
      <c r="AB7" s="63" t="s">
        <v>666</v>
      </c>
      <c r="AC7" s="241"/>
      <c r="AD7" s="241"/>
      <c r="AE7" s="241"/>
      <c r="AF7" s="241"/>
      <c r="AG7" s="525">
        <v>1</v>
      </c>
      <c r="AH7" s="525">
        <v>1</v>
      </c>
      <c r="AI7" s="525">
        <v>1</v>
      </c>
      <c r="AJ7" s="63" t="s">
        <v>667</v>
      </c>
      <c r="AK7" s="241"/>
      <c r="AL7" s="241"/>
      <c r="AM7" s="241"/>
      <c r="AN7" s="241"/>
      <c r="AO7" s="525">
        <v>1</v>
      </c>
      <c r="AP7" s="525">
        <v>1</v>
      </c>
      <c r="AQ7" s="525">
        <v>1</v>
      </c>
      <c r="AR7" s="63" t="s">
        <v>668</v>
      </c>
      <c r="AS7" s="241"/>
      <c r="AT7" s="241"/>
      <c r="AU7" s="241"/>
      <c r="AV7" s="241"/>
      <c r="AW7" s="525" t="s">
        <v>732</v>
      </c>
      <c r="AX7" s="525">
        <v>1</v>
      </c>
      <c r="AY7" s="525">
        <v>1</v>
      </c>
      <c r="AZ7" s="63" t="s">
        <v>1165</v>
      </c>
      <c r="BA7" s="241"/>
      <c r="BB7" s="241"/>
      <c r="BC7" s="241"/>
      <c r="BD7" s="241"/>
      <c r="BE7" s="525" t="s">
        <v>732</v>
      </c>
      <c r="BF7" s="525">
        <v>1</v>
      </c>
      <c r="BG7" s="525">
        <v>1</v>
      </c>
      <c r="BH7" s="63" t="s">
        <v>1166</v>
      </c>
      <c r="BI7" s="241"/>
      <c r="BJ7" s="241"/>
      <c r="BK7" s="241"/>
      <c r="BL7" s="241"/>
      <c r="BM7" s="525">
        <v>0</v>
      </c>
      <c r="BN7" s="525">
        <v>0</v>
      </c>
      <c r="BO7" s="525">
        <v>1</v>
      </c>
      <c r="BP7" s="63" t="s">
        <v>1167</v>
      </c>
      <c r="BQ7" s="241"/>
      <c r="BR7" s="241"/>
      <c r="BS7" s="241"/>
      <c r="BT7" s="241"/>
      <c r="BU7" s="265"/>
      <c r="BV7" s="265"/>
      <c r="BW7" s="265"/>
    </row>
    <row r="8" spans="1:75" s="250" customFormat="1" ht="51" customHeight="1" x14ac:dyDescent="0.25">
      <c r="A8" s="797"/>
      <c r="B8" s="690"/>
      <c r="C8" s="690"/>
      <c r="D8" s="690"/>
      <c r="E8" s="690"/>
      <c r="F8" s="690"/>
      <c r="G8" s="690"/>
      <c r="H8" s="690"/>
      <c r="I8" s="690"/>
      <c r="J8" s="690"/>
      <c r="K8" s="690"/>
      <c r="L8" s="527" t="s">
        <v>669</v>
      </c>
      <c r="M8" s="527" t="s">
        <v>670</v>
      </c>
      <c r="N8" s="527" t="s">
        <v>74</v>
      </c>
      <c r="O8" s="527">
        <v>0</v>
      </c>
      <c r="P8" s="526">
        <v>1</v>
      </c>
      <c r="Q8" s="241"/>
      <c r="R8" s="241"/>
      <c r="S8" s="241"/>
      <c r="T8" s="241"/>
      <c r="U8" s="241"/>
      <c r="V8" s="266">
        <v>74818490</v>
      </c>
      <c r="W8" s="898"/>
      <c r="X8" s="807"/>
      <c r="Y8" s="526">
        <v>1</v>
      </c>
      <c r="Z8" s="81">
        <v>1</v>
      </c>
      <c r="AA8" s="526">
        <v>1</v>
      </c>
      <c r="AB8" s="70" t="s">
        <v>671</v>
      </c>
      <c r="AC8" s="241"/>
      <c r="AD8" s="241"/>
      <c r="AE8" s="241"/>
      <c r="AF8" s="241"/>
      <c r="AG8" s="526">
        <v>1</v>
      </c>
      <c r="AH8" s="81">
        <v>1</v>
      </c>
      <c r="AI8" s="526">
        <v>1</v>
      </c>
      <c r="AJ8" s="70" t="s">
        <v>672</v>
      </c>
      <c r="AK8" s="241"/>
      <c r="AL8" s="241"/>
      <c r="AM8" s="241"/>
      <c r="AN8" s="241"/>
      <c r="AO8" s="526">
        <v>1</v>
      </c>
      <c r="AP8" s="81">
        <v>1</v>
      </c>
      <c r="AQ8" s="526">
        <v>1</v>
      </c>
      <c r="AR8" s="70" t="s">
        <v>673</v>
      </c>
      <c r="AS8" s="241"/>
      <c r="AT8" s="241"/>
      <c r="AU8" s="241"/>
      <c r="AV8" s="241"/>
      <c r="AW8" s="526" t="s">
        <v>732</v>
      </c>
      <c r="AX8" s="81">
        <v>1</v>
      </c>
      <c r="AY8" s="526">
        <v>1</v>
      </c>
      <c r="AZ8" s="70" t="s">
        <v>1168</v>
      </c>
      <c r="BA8" s="241"/>
      <c r="BB8" s="241"/>
      <c r="BC8" s="241"/>
      <c r="BD8" s="241"/>
      <c r="BE8" s="526" t="s">
        <v>732</v>
      </c>
      <c r="BF8" s="81">
        <v>1</v>
      </c>
      <c r="BG8" s="526">
        <v>1</v>
      </c>
      <c r="BH8" s="70" t="s">
        <v>1168</v>
      </c>
      <c r="BI8" s="241"/>
      <c r="BJ8" s="241"/>
      <c r="BK8" s="241"/>
      <c r="BL8" s="241"/>
      <c r="BM8" s="581">
        <v>30</v>
      </c>
      <c r="BN8" s="81">
        <v>1</v>
      </c>
      <c r="BO8" s="526">
        <v>1</v>
      </c>
      <c r="BP8" s="70" t="s">
        <v>1169</v>
      </c>
      <c r="BQ8" s="241"/>
      <c r="BR8" s="241"/>
      <c r="BS8" s="241"/>
      <c r="BT8" s="241"/>
      <c r="BU8" s="265"/>
      <c r="BV8" s="265"/>
      <c r="BW8" s="265"/>
    </row>
    <row r="9" spans="1:75" s="250" customFormat="1" ht="156" x14ac:dyDescent="0.25">
      <c r="A9" s="797"/>
      <c r="B9" s="690"/>
      <c r="C9" s="690"/>
      <c r="D9" s="690"/>
      <c r="E9" s="690"/>
      <c r="F9" s="690"/>
      <c r="G9" s="690"/>
      <c r="H9" s="690"/>
      <c r="I9" s="690"/>
      <c r="J9" s="690"/>
      <c r="K9" s="690"/>
      <c r="L9" s="524" t="s">
        <v>674</v>
      </c>
      <c r="M9" s="524" t="s">
        <v>675</v>
      </c>
      <c r="N9" s="524" t="s">
        <v>74</v>
      </c>
      <c r="O9" s="524"/>
      <c r="P9" s="545">
        <v>1</v>
      </c>
      <c r="Q9" s="241"/>
      <c r="R9" s="241"/>
      <c r="S9" s="241"/>
      <c r="T9" s="241"/>
      <c r="U9" s="241"/>
      <c r="V9" s="264">
        <v>74818490</v>
      </c>
      <c r="W9" s="898"/>
      <c r="X9" s="807"/>
      <c r="Y9" s="525">
        <v>0.35</v>
      </c>
      <c r="Z9" s="525">
        <v>1</v>
      </c>
      <c r="AA9" s="525">
        <v>0.35</v>
      </c>
      <c r="AB9" s="63" t="s">
        <v>676</v>
      </c>
      <c r="AC9" s="241"/>
      <c r="AD9" s="241"/>
      <c r="AE9" s="241"/>
      <c r="AF9" s="241"/>
      <c r="AG9" s="525">
        <v>0.36</v>
      </c>
      <c r="AH9" s="524">
        <v>1</v>
      </c>
      <c r="AI9" s="525">
        <v>0.35</v>
      </c>
      <c r="AJ9" s="63" t="s">
        <v>676</v>
      </c>
      <c r="AK9" s="241"/>
      <c r="AL9" s="241"/>
      <c r="AM9" s="241"/>
      <c r="AN9" s="241"/>
      <c r="AO9" s="525">
        <v>0.37</v>
      </c>
      <c r="AP9" s="524">
        <v>1</v>
      </c>
      <c r="AQ9" s="525">
        <v>0.37</v>
      </c>
      <c r="AR9" s="63" t="s">
        <v>677</v>
      </c>
      <c r="AS9" s="241"/>
      <c r="AT9" s="241"/>
      <c r="AU9" s="241"/>
      <c r="AV9" s="241"/>
      <c r="AW9" s="525">
        <v>0.37</v>
      </c>
      <c r="AX9" s="524">
        <v>1</v>
      </c>
      <c r="AY9" s="525">
        <v>0.37</v>
      </c>
      <c r="AZ9" s="63" t="s">
        <v>677</v>
      </c>
      <c r="BA9" s="241"/>
      <c r="BB9" s="241"/>
      <c r="BC9" s="241"/>
      <c r="BD9" s="241"/>
      <c r="BE9" s="525" t="s">
        <v>732</v>
      </c>
      <c r="BF9" s="525">
        <v>1</v>
      </c>
      <c r="BG9" s="525">
        <v>0.37</v>
      </c>
      <c r="BH9" s="63" t="s">
        <v>1166</v>
      </c>
      <c r="BI9" s="241"/>
      <c r="BJ9" s="241"/>
      <c r="BK9" s="241"/>
      <c r="BL9" s="241"/>
      <c r="BM9" s="525" t="s">
        <v>732</v>
      </c>
      <c r="BN9" s="525">
        <v>1</v>
      </c>
      <c r="BO9" s="525">
        <v>0.37</v>
      </c>
      <c r="BP9" s="63" t="s">
        <v>1166</v>
      </c>
      <c r="BQ9" s="241"/>
      <c r="BR9" s="241"/>
      <c r="BS9" s="241"/>
      <c r="BT9" s="241"/>
      <c r="BU9" s="265"/>
      <c r="BV9" s="265"/>
      <c r="BW9" s="265"/>
    </row>
    <row r="10" spans="1:75" s="270" customFormat="1" ht="49.5" customHeight="1" x14ac:dyDescent="0.25">
      <c r="A10" s="267"/>
      <c r="B10" s="267"/>
      <c r="C10" s="267"/>
      <c r="D10" s="267"/>
      <c r="E10" s="267"/>
      <c r="F10" s="267"/>
      <c r="G10" s="267"/>
      <c r="H10" s="267"/>
      <c r="I10" s="267"/>
      <c r="J10" s="267"/>
      <c r="K10" s="267"/>
      <c r="L10" s="267"/>
      <c r="M10" s="267"/>
      <c r="N10" s="267"/>
      <c r="O10" s="267"/>
      <c r="P10" s="267"/>
      <c r="Q10" s="267"/>
      <c r="R10" s="267"/>
      <c r="S10" s="267"/>
      <c r="T10" s="267"/>
      <c r="U10" s="267"/>
      <c r="V10" s="268"/>
      <c r="W10" s="268"/>
      <c r="X10" s="267"/>
      <c r="Y10" s="657" t="s">
        <v>99</v>
      </c>
      <c r="Z10" s="657"/>
      <c r="AA10" s="269">
        <f>+AVERAGE(AA7:AA9)</f>
        <v>0.78333333333333333</v>
      </c>
      <c r="AB10" s="267"/>
      <c r="AC10" s="267"/>
      <c r="AD10" s="267"/>
      <c r="AE10" s="267"/>
      <c r="AF10" s="267"/>
      <c r="AG10" s="657" t="s">
        <v>865</v>
      </c>
      <c r="AH10" s="657"/>
      <c r="AI10" s="269">
        <f>+AVERAGE(AI7:AI9)</f>
        <v>0.78333333333333333</v>
      </c>
      <c r="AJ10" s="267"/>
      <c r="AK10" s="267"/>
      <c r="AL10" s="267"/>
      <c r="AM10" s="267"/>
      <c r="AN10" s="267"/>
      <c r="AO10" s="657" t="s">
        <v>865</v>
      </c>
      <c r="AP10" s="657"/>
      <c r="AQ10" s="269">
        <f>+AVERAGE(AQ7:AQ9)</f>
        <v>0.79</v>
      </c>
      <c r="AR10" s="267"/>
      <c r="AS10" s="267"/>
      <c r="AT10" s="267"/>
      <c r="AU10" s="267"/>
      <c r="AV10" s="267"/>
      <c r="AW10" s="657" t="s">
        <v>865</v>
      </c>
      <c r="AX10" s="657"/>
      <c r="AY10" s="269">
        <f>+AVERAGE(AY7:AY9)</f>
        <v>0.79</v>
      </c>
      <c r="AZ10" s="267"/>
      <c r="BA10" s="267"/>
      <c r="BB10" s="267"/>
      <c r="BC10" s="267"/>
      <c r="BD10" s="267"/>
      <c r="BE10" s="657" t="s">
        <v>865</v>
      </c>
      <c r="BF10" s="657"/>
      <c r="BG10" s="269">
        <f>+AVERAGE(BG7:BG9)</f>
        <v>0.79</v>
      </c>
      <c r="BH10" s="267"/>
      <c r="BI10" s="267"/>
      <c r="BJ10" s="267"/>
      <c r="BK10" s="267"/>
      <c r="BL10" s="267"/>
      <c r="BM10" s="657" t="s">
        <v>865</v>
      </c>
      <c r="BN10" s="657"/>
      <c r="BO10" s="269">
        <f>+AVERAGE(BO7:BO9)</f>
        <v>0.79</v>
      </c>
      <c r="BP10" s="267"/>
      <c r="BQ10" s="267"/>
      <c r="BR10" s="267"/>
      <c r="BS10" s="267"/>
      <c r="BT10" s="267"/>
      <c r="BU10" s="267"/>
      <c r="BV10" s="267"/>
      <c r="BW10" s="267"/>
    </row>
    <row r="11" spans="1:75" x14ac:dyDescent="0.25">
      <c r="A11" s="271"/>
      <c r="B11" s="271"/>
      <c r="C11" s="271"/>
      <c r="D11" s="271"/>
      <c r="E11" s="271"/>
      <c r="F11" s="271"/>
      <c r="G11" s="271"/>
      <c r="H11" s="271"/>
      <c r="I11" s="271"/>
      <c r="J11" s="271"/>
      <c r="K11" s="271"/>
      <c r="L11" s="271"/>
      <c r="M11" s="271"/>
      <c r="N11" s="271"/>
      <c r="O11" s="271"/>
      <c r="P11" s="271"/>
      <c r="Q11" s="271"/>
      <c r="R11" s="271"/>
      <c r="S11" s="271"/>
      <c r="T11" s="271"/>
      <c r="U11" s="271"/>
      <c r="V11" s="272"/>
      <c r="W11" s="272"/>
      <c r="X11" s="271"/>
      <c r="Y11" s="271"/>
      <c r="Z11" s="271"/>
      <c r="AA11" s="271"/>
      <c r="AB11" s="271"/>
      <c r="AC11" s="271"/>
      <c r="AD11" s="271"/>
      <c r="AE11" s="271"/>
      <c r="AF11" s="271"/>
      <c r="AG11" s="271"/>
      <c r="AH11" s="271"/>
      <c r="AI11" s="271"/>
      <c r="AJ11" s="271"/>
      <c r="AK11" s="271"/>
      <c r="AL11" s="271"/>
      <c r="AM11" s="271"/>
      <c r="AN11" s="271"/>
      <c r="AO11" s="271"/>
      <c r="AP11" s="271"/>
      <c r="AQ11" s="271"/>
      <c r="AR11" s="271"/>
      <c r="AS11" s="271"/>
      <c r="AT11" s="271"/>
      <c r="AU11" s="271"/>
      <c r="AV11" s="271"/>
      <c r="AW11" s="271"/>
      <c r="AX11" s="271"/>
      <c r="AY11" s="271"/>
      <c r="AZ11" s="271"/>
      <c r="BA11" s="271"/>
      <c r="BB11" s="271"/>
      <c r="BC11" s="271"/>
      <c r="BD11" s="271"/>
      <c r="BE11" s="271"/>
      <c r="BF11" s="271"/>
      <c r="BG11" s="271"/>
      <c r="BH11" s="271"/>
      <c r="BI11" s="271"/>
      <c r="BJ11" s="271"/>
      <c r="BK11" s="271"/>
      <c r="BL11" s="271"/>
      <c r="BM11" s="271"/>
      <c r="BN11" s="271"/>
      <c r="BO11" s="271"/>
      <c r="BP11" s="271"/>
      <c r="BQ11" s="271"/>
      <c r="BR11" s="271"/>
      <c r="BS11" s="271"/>
      <c r="BT11" s="271"/>
      <c r="BU11" s="271"/>
      <c r="BV11" s="271"/>
      <c r="BW11" s="271"/>
    </row>
    <row r="12" spans="1:75" x14ac:dyDescent="0.25">
      <c r="A12" s="271"/>
      <c r="B12" s="271"/>
      <c r="C12" s="271"/>
      <c r="D12" s="271"/>
      <c r="E12" s="271"/>
      <c r="F12" s="271"/>
      <c r="G12" s="271"/>
      <c r="H12" s="271"/>
      <c r="I12" s="271"/>
      <c r="J12" s="271"/>
      <c r="K12" s="271"/>
      <c r="L12" s="271"/>
      <c r="M12" s="271"/>
      <c r="N12" s="271"/>
      <c r="O12" s="271"/>
      <c r="P12" s="271"/>
      <c r="Q12" s="271"/>
      <c r="R12" s="271"/>
      <c r="S12" s="271"/>
      <c r="T12" s="271"/>
      <c r="U12" s="271"/>
      <c r="V12" s="272"/>
      <c r="W12" s="272"/>
      <c r="X12" s="271"/>
      <c r="Y12" s="271"/>
      <c r="Z12" s="271"/>
      <c r="AA12" s="271"/>
      <c r="AB12" s="271"/>
      <c r="AC12" s="271"/>
      <c r="AD12" s="271"/>
      <c r="AE12" s="271"/>
      <c r="AF12" s="271"/>
      <c r="AG12" s="271"/>
      <c r="AH12" s="271"/>
      <c r="AI12" s="271"/>
      <c r="AJ12" s="271"/>
      <c r="AK12" s="271"/>
      <c r="AL12" s="271"/>
      <c r="AM12" s="271"/>
      <c r="AN12" s="271"/>
      <c r="AO12" s="271"/>
      <c r="AP12" s="271"/>
      <c r="AQ12" s="271"/>
      <c r="AR12" s="271"/>
      <c r="AS12" s="271"/>
      <c r="AT12" s="271"/>
      <c r="AU12" s="271"/>
      <c r="AV12" s="271"/>
      <c r="AW12" s="271"/>
      <c r="AX12" s="271"/>
      <c r="AY12" s="271"/>
      <c r="AZ12" s="271"/>
      <c r="BA12" s="271"/>
      <c r="BB12" s="271"/>
      <c r="BC12" s="271"/>
      <c r="BD12" s="271"/>
      <c r="BE12" s="271"/>
      <c r="BF12" s="271"/>
      <c r="BG12" s="271"/>
      <c r="BH12" s="271"/>
      <c r="BI12" s="271"/>
      <c r="BJ12" s="271"/>
      <c r="BK12" s="271"/>
      <c r="BL12" s="271"/>
      <c r="BM12" s="271"/>
      <c r="BN12" s="271"/>
      <c r="BO12" s="271"/>
      <c r="BP12" s="271"/>
      <c r="BQ12" s="271"/>
      <c r="BR12" s="271"/>
      <c r="BS12" s="271"/>
      <c r="BT12" s="271"/>
      <c r="BU12" s="271"/>
      <c r="BV12" s="271"/>
      <c r="BW12" s="271"/>
    </row>
    <row r="13" spans="1:75" x14ac:dyDescent="0.25">
      <c r="A13" s="271"/>
      <c r="B13" s="271"/>
      <c r="C13" s="271"/>
      <c r="D13" s="271"/>
      <c r="E13" s="271"/>
      <c r="F13" s="271"/>
      <c r="G13" s="271"/>
      <c r="H13" s="271"/>
      <c r="I13" s="271"/>
      <c r="J13" s="271"/>
      <c r="K13" s="271"/>
      <c r="L13" s="271"/>
      <c r="M13" s="271"/>
      <c r="N13" s="271"/>
      <c r="O13" s="271"/>
      <c r="P13" s="271"/>
      <c r="Q13" s="271"/>
      <c r="R13" s="271"/>
      <c r="S13" s="271"/>
      <c r="T13" s="271"/>
      <c r="U13" s="271"/>
      <c r="V13" s="272"/>
      <c r="W13" s="272"/>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1"/>
      <c r="AY13" s="271"/>
      <c r="AZ13" s="271"/>
      <c r="BA13" s="271"/>
      <c r="BB13" s="271"/>
      <c r="BC13" s="271"/>
      <c r="BD13" s="271"/>
      <c r="BE13" s="271"/>
      <c r="BF13" s="271"/>
      <c r="BG13" s="271"/>
      <c r="BH13" s="271"/>
      <c r="BI13" s="271"/>
      <c r="BJ13" s="271"/>
      <c r="BK13" s="271"/>
      <c r="BL13" s="271"/>
      <c r="BM13" s="271"/>
      <c r="BN13" s="271"/>
      <c r="BO13" s="271"/>
      <c r="BP13" s="271"/>
      <c r="BQ13" s="271"/>
      <c r="BR13" s="271"/>
      <c r="BS13" s="271"/>
      <c r="BT13" s="271"/>
      <c r="BU13" s="271"/>
      <c r="BV13" s="271"/>
      <c r="BW13" s="271"/>
    </row>
    <row r="14" spans="1:75" x14ac:dyDescent="0.25">
      <c r="A14" s="271"/>
      <c r="B14" s="271"/>
      <c r="C14" s="271"/>
      <c r="D14" s="271"/>
      <c r="E14" s="271"/>
      <c r="F14" s="271"/>
      <c r="G14" s="271"/>
      <c r="H14" s="271"/>
      <c r="I14" s="271"/>
      <c r="J14" s="271"/>
      <c r="K14" s="271"/>
      <c r="L14" s="271"/>
      <c r="M14" s="271"/>
      <c r="N14" s="271"/>
      <c r="O14" s="271"/>
      <c r="P14" s="271"/>
      <c r="Q14" s="271"/>
      <c r="R14" s="271"/>
      <c r="S14" s="271"/>
      <c r="T14" s="271"/>
      <c r="U14" s="271"/>
      <c r="V14" s="272"/>
      <c r="W14" s="272"/>
      <c r="X14" s="271"/>
      <c r="Y14" s="271"/>
      <c r="Z14" s="271"/>
      <c r="AA14" s="271"/>
      <c r="AB14" s="271"/>
      <c r="AC14" s="271"/>
      <c r="AD14" s="271"/>
      <c r="AE14" s="271"/>
      <c r="AF14" s="271"/>
      <c r="AG14" s="271"/>
      <c r="AH14" s="271"/>
      <c r="AI14" s="271"/>
      <c r="AJ14" s="271"/>
      <c r="AK14" s="271"/>
      <c r="AL14" s="271"/>
      <c r="AM14" s="271"/>
      <c r="AN14" s="271"/>
      <c r="AO14" s="271"/>
      <c r="AP14" s="271"/>
      <c r="AQ14" s="271"/>
      <c r="AR14" s="271"/>
      <c r="AS14" s="271"/>
      <c r="AT14" s="271"/>
      <c r="AU14" s="271"/>
      <c r="AV14" s="271"/>
      <c r="AW14" s="271"/>
      <c r="AX14" s="271"/>
      <c r="AY14" s="271"/>
      <c r="AZ14" s="271"/>
      <c r="BA14" s="271"/>
      <c r="BB14" s="271"/>
      <c r="BC14" s="271"/>
      <c r="BD14" s="271"/>
      <c r="BE14" s="271"/>
      <c r="BF14" s="271"/>
      <c r="BG14" s="271"/>
      <c r="BH14" s="271"/>
      <c r="BI14" s="271"/>
      <c r="BJ14" s="271"/>
      <c r="BK14" s="271"/>
      <c r="BL14" s="271"/>
      <c r="BM14" s="271"/>
      <c r="BN14" s="271"/>
      <c r="BO14" s="271"/>
      <c r="BP14" s="271"/>
      <c r="BQ14" s="271"/>
      <c r="BR14" s="271"/>
      <c r="BS14" s="271"/>
      <c r="BT14" s="271"/>
      <c r="BU14" s="271"/>
      <c r="BV14" s="271"/>
      <c r="BW14" s="271"/>
    </row>
    <row r="15" spans="1:75" x14ac:dyDescent="0.25">
      <c r="A15" s="271"/>
      <c r="B15" s="271"/>
      <c r="C15" s="271"/>
      <c r="D15" s="271"/>
      <c r="E15" s="271"/>
      <c r="F15" s="271"/>
      <c r="G15" s="271"/>
      <c r="H15" s="271"/>
      <c r="I15" s="271"/>
      <c r="J15" s="271"/>
      <c r="K15" s="271"/>
      <c r="L15" s="271"/>
      <c r="M15" s="271"/>
      <c r="N15" s="271"/>
      <c r="O15" s="271"/>
      <c r="P15" s="271"/>
      <c r="Q15" s="271"/>
      <c r="R15" s="271"/>
      <c r="S15" s="271"/>
      <c r="T15" s="271"/>
      <c r="U15" s="271"/>
      <c r="V15" s="272"/>
      <c r="W15" s="272"/>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1"/>
      <c r="AY15" s="271"/>
      <c r="AZ15" s="271"/>
      <c r="BA15" s="271"/>
      <c r="BB15" s="271"/>
      <c r="BC15" s="271"/>
      <c r="BD15" s="271"/>
      <c r="BE15" s="271"/>
      <c r="BF15" s="271"/>
      <c r="BG15" s="271"/>
      <c r="BH15" s="271"/>
      <c r="BI15" s="271"/>
      <c r="BJ15" s="271"/>
      <c r="BK15" s="271"/>
      <c r="BL15" s="271"/>
      <c r="BM15" s="271"/>
      <c r="BN15" s="271"/>
      <c r="BO15" s="271"/>
      <c r="BP15" s="271"/>
      <c r="BQ15" s="271"/>
      <c r="BR15" s="271"/>
      <c r="BS15" s="271"/>
      <c r="BT15" s="271"/>
      <c r="BU15" s="271"/>
      <c r="BV15" s="271"/>
      <c r="BW15" s="271"/>
    </row>
    <row r="16" spans="1:75" x14ac:dyDescent="0.25">
      <c r="A16" s="271"/>
      <c r="B16" s="271"/>
      <c r="C16" s="271"/>
      <c r="D16" s="271"/>
      <c r="E16" s="271"/>
      <c r="F16" s="271"/>
      <c r="G16" s="271"/>
      <c r="H16" s="271"/>
      <c r="I16" s="271"/>
      <c r="J16" s="271"/>
      <c r="K16" s="271"/>
      <c r="L16" s="271"/>
      <c r="M16" s="271"/>
      <c r="N16" s="271"/>
      <c r="O16" s="271"/>
      <c r="P16" s="271"/>
      <c r="Q16" s="271"/>
      <c r="R16" s="271"/>
      <c r="S16" s="271"/>
      <c r="T16" s="271"/>
      <c r="U16" s="271"/>
      <c r="V16" s="272"/>
      <c r="W16" s="272"/>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271"/>
      <c r="AV16" s="271"/>
      <c r="AW16" s="271"/>
      <c r="AX16" s="271"/>
      <c r="AY16" s="271"/>
      <c r="AZ16" s="271"/>
      <c r="BA16" s="271"/>
      <c r="BB16" s="271"/>
      <c r="BC16" s="271"/>
      <c r="BD16" s="271"/>
      <c r="BE16" s="271"/>
      <c r="BF16" s="271"/>
      <c r="BG16" s="271"/>
      <c r="BH16" s="271"/>
      <c r="BI16" s="271"/>
      <c r="BJ16" s="271"/>
      <c r="BK16" s="271"/>
      <c r="BL16" s="271"/>
      <c r="BM16" s="271"/>
      <c r="BN16" s="271"/>
      <c r="BO16" s="271"/>
      <c r="BP16" s="271"/>
      <c r="BQ16" s="271"/>
      <c r="BR16" s="271"/>
      <c r="BS16" s="271"/>
      <c r="BT16" s="271"/>
      <c r="BU16" s="271"/>
      <c r="BV16" s="271"/>
      <c r="BW16" s="271"/>
    </row>
    <row r="17" spans="1:75" x14ac:dyDescent="0.25">
      <c r="A17" s="271"/>
      <c r="B17" s="271"/>
      <c r="C17" s="271"/>
      <c r="D17" s="271"/>
      <c r="E17" s="271"/>
      <c r="F17" s="271"/>
      <c r="G17" s="271"/>
      <c r="H17" s="271"/>
      <c r="I17" s="271"/>
      <c r="J17" s="271"/>
      <c r="K17" s="271"/>
      <c r="L17" s="271"/>
      <c r="M17" s="271"/>
      <c r="N17" s="271"/>
      <c r="O17" s="271"/>
      <c r="P17" s="271"/>
      <c r="Q17" s="271"/>
      <c r="R17" s="271"/>
      <c r="S17" s="271"/>
      <c r="T17" s="271"/>
      <c r="U17" s="271"/>
      <c r="V17" s="272"/>
      <c r="W17" s="272"/>
      <c r="X17" s="271"/>
      <c r="Y17" s="271"/>
      <c r="Z17" s="271"/>
      <c r="AA17" s="271"/>
      <c r="AB17" s="271"/>
      <c r="AC17" s="271"/>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1"/>
      <c r="BC17" s="271"/>
      <c r="BD17" s="271"/>
      <c r="BE17" s="271"/>
      <c r="BF17" s="271"/>
      <c r="BG17" s="271"/>
      <c r="BH17" s="271"/>
      <c r="BI17" s="271"/>
      <c r="BJ17" s="271"/>
      <c r="BK17" s="271"/>
      <c r="BL17" s="271"/>
      <c r="BM17" s="271"/>
      <c r="BN17" s="271"/>
      <c r="BO17" s="271"/>
      <c r="BP17" s="271"/>
      <c r="BQ17" s="271"/>
      <c r="BR17" s="271"/>
      <c r="BS17" s="271"/>
      <c r="BT17" s="271"/>
      <c r="BU17" s="271"/>
      <c r="BV17" s="271"/>
      <c r="BW17" s="271"/>
    </row>
    <row r="18" spans="1:75" x14ac:dyDescent="0.25">
      <c r="A18" s="271"/>
      <c r="B18" s="271"/>
      <c r="C18" s="271"/>
      <c r="D18" s="271"/>
      <c r="E18" s="271"/>
      <c r="F18" s="271"/>
      <c r="G18" s="271"/>
      <c r="H18" s="271"/>
      <c r="I18" s="271"/>
      <c r="J18" s="271"/>
      <c r="K18" s="271"/>
      <c r="L18" s="271"/>
      <c r="M18" s="271"/>
      <c r="N18" s="271"/>
      <c r="O18" s="271"/>
      <c r="P18" s="271"/>
      <c r="Q18" s="271"/>
      <c r="R18" s="271"/>
      <c r="S18" s="271"/>
      <c r="T18" s="271"/>
      <c r="U18" s="271"/>
      <c r="V18" s="272"/>
      <c r="W18" s="272"/>
      <c r="X18" s="271"/>
      <c r="Y18" s="271"/>
      <c r="Z18" s="271"/>
      <c r="AA18" s="271"/>
      <c r="AB18" s="271"/>
      <c r="AC18" s="271"/>
      <c r="AD18" s="271"/>
      <c r="AE18" s="271"/>
      <c r="AF18" s="271"/>
      <c r="AG18" s="271"/>
      <c r="AH18" s="271"/>
      <c r="AI18" s="271"/>
      <c r="AJ18" s="271"/>
      <c r="AK18" s="271"/>
      <c r="AL18" s="271"/>
      <c r="AM18" s="271"/>
      <c r="AN18" s="271"/>
      <c r="AO18" s="271"/>
      <c r="AP18" s="271"/>
      <c r="AQ18" s="271"/>
      <c r="AR18" s="271"/>
      <c r="AS18" s="271"/>
      <c r="AT18" s="271"/>
      <c r="AU18" s="271"/>
      <c r="AV18" s="271"/>
      <c r="AW18" s="271"/>
      <c r="AX18" s="271"/>
      <c r="AY18" s="271"/>
      <c r="AZ18" s="271"/>
      <c r="BA18" s="271"/>
      <c r="BB18" s="271"/>
      <c r="BC18" s="271"/>
      <c r="BD18" s="271"/>
      <c r="BE18" s="271"/>
      <c r="BF18" s="271"/>
      <c r="BG18" s="271"/>
      <c r="BH18" s="271"/>
      <c r="BI18" s="271"/>
      <c r="BJ18" s="271"/>
      <c r="BK18" s="271"/>
      <c r="BL18" s="271"/>
      <c r="BM18" s="271"/>
      <c r="BN18" s="271"/>
      <c r="BO18" s="271"/>
      <c r="BP18" s="271"/>
      <c r="BQ18" s="271"/>
      <c r="BR18" s="271"/>
      <c r="BS18" s="271"/>
      <c r="BT18" s="271"/>
      <c r="BU18" s="271"/>
      <c r="BV18" s="271"/>
      <c r="BW18" s="271"/>
    </row>
    <row r="19" spans="1:75" x14ac:dyDescent="0.25">
      <c r="A19" s="271"/>
      <c r="B19" s="271"/>
      <c r="C19" s="271"/>
      <c r="D19" s="271"/>
      <c r="E19" s="271"/>
      <c r="F19" s="271"/>
      <c r="G19" s="271"/>
      <c r="H19" s="271"/>
      <c r="I19" s="271"/>
      <c r="J19" s="271"/>
      <c r="K19" s="271"/>
      <c r="L19" s="271"/>
      <c r="M19" s="271"/>
      <c r="N19" s="271"/>
      <c r="O19" s="271"/>
      <c r="P19" s="271"/>
      <c r="Q19" s="271"/>
      <c r="R19" s="271"/>
      <c r="S19" s="271"/>
      <c r="T19" s="271"/>
      <c r="U19" s="271"/>
      <c r="V19" s="272"/>
      <c r="W19" s="272"/>
      <c r="X19" s="271"/>
      <c r="Y19" s="271"/>
      <c r="Z19" s="271"/>
      <c r="AA19" s="271"/>
      <c r="AB19" s="271"/>
      <c r="AC19" s="271"/>
      <c r="AD19" s="271"/>
      <c r="AE19" s="271"/>
      <c r="AF19" s="271"/>
      <c r="AG19" s="271"/>
      <c r="AH19" s="271"/>
      <c r="AI19" s="271"/>
      <c r="AJ19" s="271"/>
      <c r="AK19" s="271"/>
      <c r="AL19" s="271"/>
      <c r="AM19" s="271"/>
      <c r="AN19" s="271"/>
      <c r="AO19" s="271"/>
      <c r="AP19" s="271"/>
      <c r="AQ19" s="271"/>
      <c r="AR19" s="271"/>
      <c r="AS19" s="271"/>
      <c r="AT19" s="271"/>
      <c r="AU19" s="271"/>
      <c r="AV19" s="271"/>
      <c r="AW19" s="271"/>
      <c r="AX19" s="271"/>
      <c r="AY19" s="271"/>
      <c r="AZ19" s="271"/>
      <c r="BA19" s="271"/>
      <c r="BB19" s="271"/>
      <c r="BC19" s="271"/>
      <c r="BD19" s="271"/>
      <c r="BE19" s="271"/>
      <c r="BF19" s="271"/>
      <c r="BG19" s="271"/>
      <c r="BH19" s="271"/>
      <c r="BI19" s="271"/>
      <c r="BJ19" s="271"/>
      <c r="BK19" s="271"/>
      <c r="BL19" s="271"/>
      <c r="BM19" s="271"/>
      <c r="BN19" s="271"/>
      <c r="BO19" s="271"/>
      <c r="BP19" s="271"/>
      <c r="BQ19" s="271"/>
      <c r="BR19" s="271"/>
      <c r="BS19" s="271"/>
      <c r="BT19" s="271"/>
      <c r="BU19" s="271"/>
      <c r="BV19" s="271"/>
      <c r="BW19" s="271"/>
    </row>
    <row r="20" spans="1:75" x14ac:dyDescent="0.25">
      <c r="A20" s="271"/>
      <c r="B20" s="271"/>
      <c r="C20" s="271"/>
      <c r="D20" s="271"/>
      <c r="E20" s="271"/>
      <c r="F20" s="271"/>
      <c r="G20" s="271"/>
      <c r="H20" s="271"/>
      <c r="I20" s="271"/>
      <c r="J20" s="271"/>
      <c r="K20" s="271"/>
      <c r="L20" s="271"/>
      <c r="M20" s="271"/>
      <c r="N20" s="271"/>
      <c r="O20" s="271"/>
      <c r="P20" s="271"/>
      <c r="Q20" s="271"/>
      <c r="R20" s="271"/>
      <c r="S20" s="271"/>
      <c r="T20" s="271"/>
      <c r="U20" s="271"/>
      <c r="V20" s="272"/>
      <c r="W20" s="272"/>
      <c r="X20" s="271"/>
      <c r="Y20" s="271"/>
      <c r="Z20" s="271"/>
      <c r="AA20" s="271"/>
      <c r="AB20" s="271"/>
      <c r="AC20" s="271"/>
      <c r="AD20" s="271"/>
      <c r="AE20" s="271"/>
      <c r="AF20" s="271"/>
      <c r="AG20" s="271"/>
      <c r="AH20" s="271"/>
      <c r="AI20" s="271"/>
      <c r="AJ20" s="271"/>
      <c r="AK20" s="271"/>
      <c r="AL20" s="271"/>
      <c r="AM20" s="271"/>
      <c r="AN20" s="271"/>
      <c r="AO20" s="271"/>
      <c r="AP20" s="271"/>
      <c r="AQ20" s="271"/>
      <c r="AR20" s="271"/>
      <c r="AS20" s="271"/>
      <c r="AT20" s="271"/>
      <c r="AU20" s="271"/>
      <c r="AV20" s="271"/>
      <c r="AW20" s="271"/>
      <c r="AX20" s="271"/>
      <c r="AY20" s="271"/>
      <c r="AZ20" s="271"/>
      <c r="BA20" s="271"/>
      <c r="BB20" s="271"/>
      <c r="BC20" s="271"/>
      <c r="BD20" s="271"/>
      <c r="BE20" s="271"/>
      <c r="BF20" s="271"/>
      <c r="BG20" s="271"/>
      <c r="BH20" s="271"/>
      <c r="BI20" s="271"/>
      <c r="BJ20" s="271"/>
      <c r="BK20" s="271"/>
      <c r="BL20" s="271"/>
      <c r="BM20" s="271"/>
      <c r="BN20" s="271"/>
      <c r="BO20" s="271"/>
      <c r="BP20" s="271"/>
      <c r="BQ20" s="271"/>
      <c r="BR20" s="271"/>
      <c r="BS20" s="271"/>
      <c r="BT20" s="271"/>
      <c r="BU20" s="271"/>
      <c r="BV20" s="271"/>
      <c r="BW20" s="271"/>
    </row>
    <row r="21" spans="1:75" x14ac:dyDescent="0.25">
      <c r="A21" s="271"/>
      <c r="B21" s="271"/>
      <c r="C21" s="271"/>
      <c r="D21" s="271"/>
      <c r="E21" s="271"/>
      <c r="F21" s="271"/>
      <c r="G21" s="271"/>
      <c r="H21" s="271"/>
      <c r="I21" s="271"/>
      <c r="J21" s="271"/>
      <c r="K21" s="271"/>
      <c r="L21" s="271"/>
      <c r="M21" s="271"/>
      <c r="N21" s="271"/>
      <c r="O21" s="271"/>
      <c r="P21" s="271"/>
      <c r="Q21" s="271"/>
      <c r="R21" s="271"/>
      <c r="S21" s="271"/>
      <c r="T21" s="271"/>
      <c r="U21" s="271"/>
      <c r="V21" s="272"/>
      <c r="W21" s="272"/>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1"/>
      <c r="AY21" s="271"/>
      <c r="AZ21" s="271"/>
      <c r="BA21" s="271"/>
      <c r="BB21" s="271"/>
      <c r="BC21" s="271"/>
      <c r="BD21" s="271"/>
      <c r="BE21" s="271"/>
      <c r="BF21" s="271"/>
      <c r="BG21" s="271"/>
      <c r="BH21" s="271"/>
      <c r="BI21" s="271"/>
      <c r="BJ21" s="271"/>
      <c r="BK21" s="271"/>
      <c r="BL21" s="271"/>
      <c r="BM21" s="271"/>
      <c r="BN21" s="271"/>
      <c r="BO21" s="271"/>
      <c r="BP21" s="271"/>
      <c r="BQ21" s="271"/>
      <c r="BR21" s="271"/>
      <c r="BS21" s="271"/>
      <c r="BT21" s="271"/>
      <c r="BU21" s="271"/>
      <c r="BV21" s="271"/>
      <c r="BW21" s="271"/>
    </row>
    <row r="22" spans="1:75" x14ac:dyDescent="0.25">
      <c r="A22" s="271"/>
      <c r="B22" s="271"/>
      <c r="C22" s="271"/>
      <c r="D22" s="271"/>
      <c r="E22" s="271"/>
      <c r="F22" s="271"/>
      <c r="G22" s="271"/>
      <c r="H22" s="271"/>
      <c r="I22" s="271"/>
      <c r="J22" s="271"/>
      <c r="K22" s="271"/>
      <c r="L22" s="271"/>
      <c r="M22" s="271"/>
      <c r="N22" s="271"/>
      <c r="O22" s="271"/>
      <c r="P22" s="271"/>
      <c r="Q22" s="271"/>
      <c r="R22" s="271"/>
      <c r="S22" s="271"/>
      <c r="T22" s="271"/>
      <c r="U22" s="271"/>
      <c r="V22" s="272"/>
      <c r="W22" s="272"/>
      <c r="X22" s="271"/>
      <c r="Y22" s="271"/>
      <c r="Z22" s="271"/>
      <c r="AA22" s="271"/>
      <c r="AB22" s="271"/>
      <c r="AC22" s="271"/>
      <c r="AD22" s="271"/>
      <c r="AE22" s="271"/>
      <c r="AF22" s="271"/>
      <c r="AG22" s="271"/>
      <c r="AH22" s="271"/>
      <c r="AI22" s="271"/>
      <c r="AJ22" s="271"/>
      <c r="AK22" s="271"/>
      <c r="AL22" s="271"/>
      <c r="AM22" s="271"/>
      <c r="AN22" s="271"/>
      <c r="AO22" s="271"/>
      <c r="AP22" s="271"/>
      <c r="AQ22" s="271"/>
      <c r="AR22" s="271"/>
      <c r="AS22" s="271"/>
      <c r="AT22" s="271"/>
      <c r="AU22" s="271"/>
      <c r="AV22" s="271"/>
      <c r="AW22" s="271"/>
      <c r="AX22" s="271"/>
      <c r="AY22" s="271"/>
      <c r="AZ22" s="271"/>
      <c r="BA22" s="271"/>
      <c r="BB22" s="271"/>
      <c r="BC22" s="271"/>
      <c r="BD22" s="271"/>
      <c r="BE22" s="271"/>
      <c r="BF22" s="271"/>
      <c r="BG22" s="271"/>
      <c r="BH22" s="271"/>
      <c r="BI22" s="271"/>
      <c r="BJ22" s="271"/>
      <c r="BK22" s="271"/>
      <c r="BL22" s="271"/>
      <c r="BM22" s="271"/>
      <c r="BN22" s="271"/>
      <c r="BO22" s="271"/>
      <c r="BP22" s="271"/>
      <c r="BQ22" s="271"/>
      <c r="BR22" s="271"/>
      <c r="BS22" s="271"/>
      <c r="BT22" s="271"/>
      <c r="BU22" s="271"/>
      <c r="BV22" s="271"/>
      <c r="BW22" s="271"/>
    </row>
    <row r="23" spans="1:75" x14ac:dyDescent="0.25">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1"/>
      <c r="AY23" s="271"/>
      <c r="AZ23" s="271"/>
      <c r="BA23" s="271"/>
      <c r="BB23" s="271"/>
      <c r="BC23" s="271"/>
      <c r="BD23" s="271"/>
      <c r="BE23" s="271"/>
      <c r="BF23" s="271"/>
      <c r="BG23" s="271"/>
      <c r="BH23" s="271"/>
      <c r="BI23" s="271"/>
      <c r="BJ23" s="271"/>
      <c r="BK23" s="271"/>
      <c r="BL23" s="271"/>
      <c r="BM23" s="271"/>
      <c r="BN23" s="271"/>
      <c r="BO23" s="271"/>
      <c r="BP23" s="271"/>
      <c r="BQ23" s="271"/>
      <c r="BR23" s="271"/>
      <c r="BS23" s="271"/>
      <c r="BT23" s="271"/>
      <c r="BU23" s="271"/>
      <c r="BV23" s="271"/>
      <c r="BW23" s="271"/>
    </row>
    <row r="24" spans="1:75" x14ac:dyDescent="0.25">
      <c r="Y24" s="271"/>
      <c r="Z24" s="271"/>
      <c r="AA24" s="271"/>
      <c r="AB24" s="271"/>
      <c r="AC24" s="271"/>
      <c r="AD24" s="271"/>
      <c r="AE24" s="271"/>
      <c r="AF24" s="271"/>
      <c r="AG24" s="271"/>
      <c r="AH24" s="271"/>
      <c r="AI24" s="271"/>
      <c r="AJ24" s="271"/>
      <c r="AK24" s="271"/>
      <c r="AL24" s="271"/>
      <c r="AM24" s="271"/>
      <c r="AN24" s="271"/>
      <c r="AO24" s="271"/>
      <c r="AP24" s="271"/>
      <c r="AQ24" s="271"/>
      <c r="AR24" s="271"/>
      <c r="AS24" s="271"/>
      <c r="AT24" s="271"/>
      <c r="AU24" s="271"/>
      <c r="AV24" s="271"/>
      <c r="AW24" s="271"/>
      <c r="AX24" s="271"/>
      <c r="AY24" s="271"/>
      <c r="AZ24" s="271"/>
      <c r="BA24" s="271"/>
      <c r="BB24" s="271"/>
      <c r="BC24" s="271"/>
      <c r="BD24" s="271"/>
      <c r="BE24" s="271"/>
      <c r="BF24" s="271"/>
      <c r="BG24" s="271"/>
      <c r="BH24" s="271"/>
      <c r="BI24" s="271"/>
      <c r="BJ24" s="271"/>
      <c r="BK24" s="271"/>
      <c r="BL24" s="271"/>
      <c r="BM24" s="271"/>
      <c r="BN24" s="271"/>
      <c r="BO24" s="271"/>
      <c r="BP24" s="271"/>
      <c r="BQ24" s="271"/>
      <c r="BR24" s="271"/>
      <c r="BS24" s="271"/>
      <c r="BT24" s="271"/>
      <c r="BU24" s="271"/>
      <c r="BV24" s="271"/>
      <c r="BW24" s="271"/>
    </row>
    <row r="25" spans="1:75" x14ac:dyDescent="0.25">
      <c r="Y25" s="271"/>
      <c r="Z25" s="271"/>
      <c r="AA25" s="271"/>
      <c r="AB25" s="271"/>
      <c r="AC25" s="271"/>
      <c r="AD25" s="271"/>
      <c r="AE25" s="271"/>
      <c r="AF25" s="271"/>
      <c r="AG25" s="271"/>
      <c r="AH25" s="271"/>
      <c r="AI25" s="271"/>
      <c r="AJ25" s="271"/>
      <c r="AK25" s="271"/>
      <c r="AL25" s="271"/>
      <c r="AM25" s="271"/>
      <c r="AN25" s="271"/>
      <c r="AO25" s="271"/>
      <c r="AP25" s="271"/>
      <c r="AQ25" s="271"/>
      <c r="AR25" s="271"/>
      <c r="AS25" s="271"/>
      <c r="AT25" s="271"/>
      <c r="AU25" s="271"/>
      <c r="AV25" s="271"/>
      <c r="AW25" s="271"/>
      <c r="AX25" s="271"/>
      <c r="AY25" s="271"/>
      <c r="AZ25" s="271"/>
      <c r="BA25" s="271"/>
      <c r="BB25" s="271"/>
      <c r="BC25" s="271"/>
      <c r="BD25" s="271"/>
      <c r="BE25" s="271"/>
      <c r="BF25" s="271"/>
      <c r="BG25" s="271"/>
      <c r="BH25" s="271"/>
      <c r="BI25" s="271"/>
      <c r="BJ25" s="271"/>
      <c r="BK25" s="271"/>
      <c r="BL25" s="271"/>
      <c r="BM25" s="271"/>
      <c r="BN25" s="271"/>
      <c r="BO25" s="271"/>
      <c r="BP25" s="271"/>
      <c r="BQ25" s="271"/>
      <c r="BR25" s="271"/>
      <c r="BS25" s="271"/>
      <c r="BT25" s="271"/>
      <c r="BU25" s="271"/>
      <c r="BV25" s="271"/>
      <c r="BW25" s="271"/>
    </row>
    <row r="26" spans="1:75" x14ac:dyDescent="0.25">
      <c r="Y26" s="271"/>
      <c r="Z26" s="271"/>
      <c r="AA26" s="271"/>
      <c r="AB26" s="271"/>
      <c r="AC26" s="271"/>
      <c r="AD26" s="271"/>
      <c r="AE26" s="271"/>
      <c r="AF26" s="271"/>
      <c r="AG26" s="271"/>
      <c r="AH26" s="271"/>
      <c r="AI26" s="271"/>
      <c r="AJ26" s="271"/>
      <c r="AK26" s="271"/>
      <c r="AL26" s="271"/>
      <c r="AM26" s="271"/>
      <c r="AN26" s="271"/>
      <c r="AO26" s="271"/>
      <c r="AP26" s="271"/>
      <c r="AQ26" s="271"/>
      <c r="AR26" s="271"/>
      <c r="AS26" s="271"/>
      <c r="AT26" s="271"/>
      <c r="AU26" s="271"/>
      <c r="AV26" s="271"/>
      <c r="AW26" s="271"/>
      <c r="AX26" s="271"/>
      <c r="AY26" s="271"/>
      <c r="AZ26" s="271"/>
      <c r="BA26" s="271"/>
      <c r="BB26" s="271"/>
      <c r="BC26" s="271"/>
      <c r="BD26" s="271"/>
      <c r="BE26" s="271"/>
      <c r="BF26" s="271"/>
      <c r="BG26" s="271"/>
      <c r="BH26" s="271"/>
      <c r="BI26" s="271"/>
      <c r="BJ26" s="271"/>
      <c r="BK26" s="271"/>
      <c r="BL26" s="271"/>
      <c r="BM26" s="271"/>
      <c r="BN26" s="271"/>
      <c r="BO26" s="271"/>
      <c r="BP26" s="271"/>
      <c r="BQ26" s="271"/>
      <c r="BR26" s="271"/>
      <c r="BS26" s="271"/>
      <c r="BT26" s="271"/>
      <c r="BU26" s="271"/>
      <c r="BV26" s="271"/>
      <c r="BW26" s="271"/>
    </row>
    <row r="27" spans="1:75" x14ac:dyDescent="0.25">
      <c r="Y27" s="271"/>
      <c r="Z27" s="271"/>
      <c r="AA27" s="271"/>
      <c r="AB27" s="271"/>
      <c r="AC27" s="271"/>
      <c r="AD27" s="271"/>
      <c r="AE27" s="271"/>
      <c r="AF27" s="271"/>
      <c r="AG27" s="271"/>
      <c r="AH27" s="271"/>
      <c r="AI27" s="271"/>
      <c r="AJ27" s="271"/>
      <c r="AK27" s="271"/>
      <c r="AL27" s="271"/>
      <c r="AM27" s="271"/>
      <c r="AN27" s="271"/>
      <c r="AO27" s="271"/>
      <c r="AP27" s="271"/>
      <c r="AQ27" s="271"/>
      <c r="AR27" s="271"/>
      <c r="AS27" s="271"/>
      <c r="AT27" s="271"/>
      <c r="AU27" s="271"/>
      <c r="AV27" s="271"/>
      <c r="AW27" s="271"/>
      <c r="AX27" s="271"/>
      <c r="AY27" s="271"/>
      <c r="AZ27" s="271"/>
      <c r="BA27" s="271"/>
      <c r="BB27" s="271"/>
      <c r="BC27" s="271"/>
      <c r="BD27" s="271"/>
      <c r="BE27" s="271"/>
      <c r="BF27" s="271"/>
      <c r="BG27" s="271"/>
      <c r="BH27" s="271"/>
      <c r="BI27" s="271"/>
      <c r="BJ27" s="271"/>
      <c r="BK27" s="271"/>
      <c r="BL27" s="271"/>
      <c r="BM27" s="271"/>
      <c r="BN27" s="271"/>
      <c r="BO27" s="271"/>
      <c r="BP27" s="271"/>
      <c r="BQ27" s="271"/>
      <c r="BR27" s="271"/>
      <c r="BS27" s="271"/>
      <c r="BT27" s="271"/>
      <c r="BU27" s="271"/>
      <c r="BV27" s="271"/>
      <c r="BW27" s="271"/>
    </row>
    <row r="28" spans="1:75" x14ac:dyDescent="0.25">
      <c r="Y28" s="271"/>
      <c r="Z28" s="271"/>
      <c r="AA28" s="271"/>
      <c r="AB28" s="271"/>
      <c r="AC28" s="271"/>
      <c r="AD28" s="271"/>
      <c r="AE28" s="271"/>
      <c r="AF28" s="271"/>
      <c r="AG28" s="271"/>
      <c r="AH28" s="271"/>
      <c r="AI28" s="271"/>
      <c r="AJ28" s="271"/>
      <c r="AK28" s="271"/>
      <c r="AL28" s="271"/>
      <c r="AM28" s="271"/>
      <c r="AN28" s="271"/>
      <c r="AO28" s="271"/>
      <c r="AP28" s="271"/>
      <c r="AQ28" s="271"/>
      <c r="AR28" s="271"/>
      <c r="AS28" s="271"/>
      <c r="AT28" s="271"/>
      <c r="AU28" s="271"/>
      <c r="AV28" s="271"/>
      <c r="AW28" s="271"/>
      <c r="AX28" s="271"/>
      <c r="AY28" s="271"/>
      <c r="AZ28" s="271"/>
      <c r="BA28" s="271"/>
      <c r="BB28" s="271"/>
      <c r="BC28" s="271"/>
      <c r="BD28" s="271"/>
      <c r="BE28" s="271"/>
      <c r="BF28" s="271"/>
      <c r="BG28" s="271"/>
      <c r="BH28" s="271"/>
      <c r="BI28" s="271"/>
      <c r="BJ28" s="271"/>
      <c r="BK28" s="271"/>
      <c r="BL28" s="271"/>
      <c r="BM28" s="271"/>
      <c r="BN28" s="271"/>
      <c r="BO28" s="271"/>
      <c r="BP28" s="271"/>
      <c r="BQ28" s="271"/>
      <c r="BR28" s="271"/>
      <c r="BS28" s="271"/>
      <c r="BT28" s="271"/>
      <c r="BU28" s="271"/>
      <c r="BV28" s="271"/>
      <c r="BW28" s="271"/>
    </row>
    <row r="29" spans="1:75" x14ac:dyDescent="0.25">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71"/>
      <c r="BD29" s="271"/>
      <c r="BE29" s="271"/>
      <c r="BF29" s="271"/>
      <c r="BG29" s="271"/>
      <c r="BH29" s="271"/>
      <c r="BI29" s="271"/>
      <c r="BJ29" s="271"/>
      <c r="BK29" s="271"/>
      <c r="BL29" s="271"/>
      <c r="BM29" s="271"/>
      <c r="BN29" s="271"/>
      <c r="BO29" s="271"/>
      <c r="BP29" s="271"/>
      <c r="BQ29" s="271"/>
      <c r="BR29" s="271"/>
      <c r="BS29" s="271"/>
      <c r="BT29" s="271"/>
      <c r="BU29" s="271"/>
      <c r="BV29" s="271"/>
      <c r="BW29" s="271"/>
    </row>
    <row r="30" spans="1:75" x14ac:dyDescent="0.25">
      <c r="Y30" s="271"/>
      <c r="Z30" s="271"/>
      <c r="AA30" s="271"/>
      <c r="AB30" s="271"/>
      <c r="AC30" s="271"/>
      <c r="AD30" s="271"/>
      <c r="AE30" s="271"/>
      <c r="AF30" s="271"/>
      <c r="AG30" s="271"/>
      <c r="AH30" s="271"/>
      <c r="AI30" s="271"/>
      <c r="AJ30" s="271"/>
      <c r="AK30" s="271"/>
      <c r="AL30" s="271"/>
      <c r="AM30" s="271"/>
      <c r="AN30" s="271"/>
      <c r="AO30" s="271"/>
      <c r="AP30" s="271"/>
      <c r="AQ30" s="271"/>
      <c r="AR30" s="271"/>
      <c r="AS30" s="271"/>
      <c r="AT30" s="271"/>
      <c r="AU30" s="271"/>
      <c r="AV30" s="271"/>
      <c r="AW30" s="271"/>
      <c r="AX30" s="271"/>
      <c r="AY30" s="271"/>
      <c r="AZ30" s="271"/>
      <c r="BA30" s="271"/>
      <c r="BB30" s="271"/>
      <c r="BC30" s="271"/>
      <c r="BD30" s="271"/>
      <c r="BE30" s="271"/>
      <c r="BF30" s="271"/>
      <c r="BG30" s="271"/>
      <c r="BH30" s="271"/>
      <c r="BI30" s="271"/>
      <c r="BJ30" s="271"/>
      <c r="BK30" s="271"/>
      <c r="BL30" s="271"/>
      <c r="BM30" s="271"/>
      <c r="BN30" s="271"/>
      <c r="BO30" s="271"/>
      <c r="BP30" s="271"/>
      <c r="BQ30" s="271"/>
      <c r="BR30" s="271"/>
      <c r="BS30" s="271"/>
      <c r="BT30" s="271"/>
      <c r="BU30" s="271"/>
      <c r="BV30" s="271"/>
      <c r="BW30" s="271"/>
    </row>
    <row r="31" spans="1:75" x14ac:dyDescent="0.25">
      <c r="Y31" s="271"/>
      <c r="Z31" s="271"/>
      <c r="AA31" s="271"/>
      <c r="AB31" s="271"/>
      <c r="AC31" s="271"/>
      <c r="AD31" s="271"/>
      <c r="AE31" s="271"/>
      <c r="AF31" s="271"/>
      <c r="AG31" s="271"/>
      <c r="AH31" s="271"/>
      <c r="AI31" s="271"/>
      <c r="AJ31" s="271"/>
      <c r="AK31" s="271"/>
      <c r="AL31" s="271"/>
      <c r="AM31" s="271"/>
      <c r="AN31" s="271"/>
      <c r="AO31" s="271"/>
      <c r="AP31" s="271"/>
      <c r="AQ31" s="271"/>
      <c r="AR31" s="271"/>
      <c r="AS31" s="271"/>
      <c r="AT31" s="271"/>
      <c r="AU31" s="271"/>
      <c r="AV31" s="271"/>
      <c r="AW31" s="271"/>
      <c r="AX31" s="271"/>
      <c r="AY31" s="271"/>
      <c r="AZ31" s="271"/>
      <c r="BA31" s="271"/>
      <c r="BB31" s="271"/>
      <c r="BC31" s="271"/>
      <c r="BD31" s="271"/>
      <c r="BE31" s="271"/>
      <c r="BF31" s="271"/>
      <c r="BG31" s="271"/>
      <c r="BH31" s="271"/>
      <c r="BI31" s="271"/>
      <c r="BJ31" s="271"/>
      <c r="BK31" s="271"/>
      <c r="BL31" s="271"/>
      <c r="BM31" s="271"/>
      <c r="BN31" s="271"/>
      <c r="BO31" s="271"/>
      <c r="BP31" s="271"/>
      <c r="BQ31" s="271"/>
      <c r="BR31" s="271"/>
      <c r="BS31" s="271"/>
      <c r="BT31" s="271"/>
      <c r="BU31" s="271"/>
      <c r="BV31" s="271"/>
      <c r="BW31" s="271"/>
    </row>
    <row r="32" spans="1:75" x14ac:dyDescent="0.25">
      <c r="Y32" s="271"/>
      <c r="Z32" s="271"/>
      <c r="AA32" s="271"/>
      <c r="AB32" s="271"/>
      <c r="AC32" s="271"/>
      <c r="AD32" s="271"/>
      <c r="AE32" s="271"/>
      <c r="AF32" s="271"/>
      <c r="AG32" s="271"/>
      <c r="AH32" s="271"/>
      <c r="AI32" s="271"/>
      <c r="AJ32" s="271"/>
      <c r="AK32" s="271"/>
      <c r="AL32" s="271"/>
      <c r="AM32" s="271"/>
      <c r="AN32" s="271"/>
      <c r="AO32" s="271"/>
      <c r="AP32" s="271"/>
      <c r="AQ32" s="271"/>
      <c r="AR32" s="271"/>
      <c r="AS32" s="271"/>
      <c r="AT32" s="271"/>
      <c r="AU32" s="271"/>
      <c r="AV32" s="271"/>
      <c r="AW32" s="271"/>
      <c r="AX32" s="271"/>
      <c r="AY32" s="271"/>
      <c r="AZ32" s="271"/>
      <c r="BA32" s="271"/>
      <c r="BB32" s="271"/>
      <c r="BC32" s="271"/>
      <c r="BD32" s="271"/>
      <c r="BE32" s="271"/>
      <c r="BF32" s="271"/>
      <c r="BG32" s="271"/>
      <c r="BH32" s="271"/>
      <c r="BI32" s="271"/>
      <c r="BJ32" s="271"/>
      <c r="BK32" s="271"/>
      <c r="BL32" s="271"/>
      <c r="BM32" s="271"/>
      <c r="BN32" s="271"/>
      <c r="BO32" s="271"/>
      <c r="BP32" s="271"/>
      <c r="BQ32" s="271"/>
      <c r="BR32" s="271"/>
      <c r="BS32" s="271"/>
      <c r="BT32" s="271"/>
      <c r="BU32" s="271"/>
      <c r="BV32" s="271"/>
      <c r="BW32" s="271"/>
    </row>
    <row r="33" spans="25:75" x14ac:dyDescent="0.25">
      <c r="Y33" s="271"/>
      <c r="Z33" s="271"/>
      <c r="AA33" s="271"/>
      <c r="AB33" s="271"/>
      <c r="AC33" s="271"/>
      <c r="AD33" s="271"/>
      <c r="AE33" s="271"/>
      <c r="AF33" s="271"/>
      <c r="AG33" s="271"/>
      <c r="AH33" s="271"/>
      <c r="AI33" s="271"/>
      <c r="AJ33" s="271"/>
      <c r="AK33" s="271"/>
      <c r="AL33" s="271"/>
      <c r="AM33" s="271"/>
      <c r="AN33" s="271"/>
      <c r="AO33" s="271"/>
      <c r="AP33" s="271"/>
      <c r="AQ33" s="271"/>
      <c r="AR33" s="271"/>
      <c r="AS33" s="271"/>
      <c r="AT33" s="271"/>
      <c r="AU33" s="271"/>
      <c r="AV33" s="271"/>
      <c r="AW33" s="271"/>
      <c r="AX33" s="271"/>
      <c r="AY33" s="271"/>
      <c r="AZ33" s="271"/>
      <c r="BA33" s="271"/>
      <c r="BB33" s="271"/>
      <c r="BC33" s="271"/>
      <c r="BD33" s="271"/>
      <c r="BE33" s="271"/>
      <c r="BF33" s="271"/>
      <c r="BG33" s="271"/>
      <c r="BH33" s="271"/>
      <c r="BI33" s="271"/>
      <c r="BJ33" s="271"/>
      <c r="BK33" s="271"/>
      <c r="BL33" s="271"/>
      <c r="BM33" s="271"/>
      <c r="BN33" s="271"/>
      <c r="BO33" s="271"/>
      <c r="BP33" s="271"/>
      <c r="BQ33" s="271"/>
      <c r="BR33" s="271"/>
      <c r="BS33" s="271"/>
      <c r="BT33" s="271"/>
      <c r="BU33" s="271"/>
      <c r="BV33" s="271"/>
      <c r="BW33" s="271"/>
    </row>
  </sheetData>
  <sheetProtection algorithmName="SHA-512" hashValue="C4j9YEu92ke5rPFM93byQFrxhmbehpsMxF4RZqXHTVfNngNYl1BujR7bg+iy/ShH2eIcOzuykCKeNewJgvYslw==" saltValue="UFROp1GHiBNRBSgHj6/puA==" spinCount="100000" sheet="1" objects="1" scenarios="1" selectLockedCells="1" selectUnlockedCells="1"/>
  <mergeCells count="48">
    <mergeCell ref="BE4:BL4"/>
    <mergeCell ref="BM4:BT4"/>
    <mergeCell ref="C1:X3"/>
    <mergeCell ref="A4:K4"/>
    <mergeCell ref="L4:P5"/>
    <mergeCell ref="Q4:U5"/>
    <mergeCell ref="V4:W5"/>
    <mergeCell ref="X4:X5"/>
    <mergeCell ref="A5:C5"/>
    <mergeCell ref="E5:F5"/>
    <mergeCell ref="G5:I5"/>
    <mergeCell ref="J5:J6"/>
    <mergeCell ref="AO5:AR5"/>
    <mergeCell ref="Y4:AF4"/>
    <mergeCell ref="AG4:AN4"/>
    <mergeCell ref="AO4:AV4"/>
    <mergeCell ref="AW4:BD4"/>
    <mergeCell ref="K5:K6"/>
    <mergeCell ref="Y5:AB5"/>
    <mergeCell ref="AC5:AF5"/>
    <mergeCell ref="AG5:AJ5"/>
    <mergeCell ref="AK5:AN5"/>
    <mergeCell ref="BQ5:BT5"/>
    <mergeCell ref="A7:A9"/>
    <mergeCell ref="B7:B9"/>
    <mergeCell ref="C7:C9"/>
    <mergeCell ref="D7:D9"/>
    <mergeCell ref="E7:E9"/>
    <mergeCell ref="F7:F9"/>
    <mergeCell ref="G7:G9"/>
    <mergeCell ref="H7:H9"/>
    <mergeCell ref="I7:I9"/>
    <mergeCell ref="AS5:AV5"/>
    <mergeCell ref="AW5:AZ5"/>
    <mergeCell ref="BA5:BD5"/>
    <mergeCell ref="BE5:BH5"/>
    <mergeCell ref="BI5:BL5"/>
    <mergeCell ref="BM5:BP5"/>
    <mergeCell ref="AO10:AP10"/>
    <mergeCell ref="AW10:AX10"/>
    <mergeCell ref="BE10:BF10"/>
    <mergeCell ref="BM10:BN10"/>
    <mergeCell ref="J7:J9"/>
    <mergeCell ref="K7:K9"/>
    <mergeCell ref="W7:W9"/>
    <mergeCell ref="X7:X9"/>
    <mergeCell ref="Y10:Z10"/>
    <mergeCell ref="AG10:AH10"/>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FB4A1-0D0E-49C8-8F23-C3B279A5CE5A}">
  <sheetPr>
    <tabColor theme="7"/>
  </sheetPr>
  <dimension ref="A1:BT10"/>
  <sheetViews>
    <sheetView topLeftCell="BM1" zoomScale="86" zoomScaleNormal="86" workbookViewId="0">
      <selection activeCell="BW8" sqref="BW8"/>
    </sheetView>
  </sheetViews>
  <sheetFormatPr baseColWidth="10" defaultColWidth="11.42578125" defaultRowHeight="15" x14ac:dyDescent="0.25"/>
  <cols>
    <col min="2" max="2" width="14" customWidth="1"/>
    <col min="3" max="3" width="20.7109375" customWidth="1"/>
    <col min="4" max="4" width="19" customWidth="1"/>
    <col min="7" max="7" width="14.42578125" customWidth="1"/>
    <col min="10" max="10" width="14.42578125" customWidth="1"/>
    <col min="12" max="12" width="15.42578125" customWidth="1"/>
    <col min="13" max="13" width="27" customWidth="1"/>
    <col min="17" max="18" width="20.42578125" customWidth="1"/>
    <col min="22" max="22" width="15.7109375" customWidth="1"/>
    <col min="23" max="23" width="15.42578125" customWidth="1"/>
    <col min="24" max="24" width="21.5703125" customWidth="1"/>
    <col min="25" max="25" width="14.140625" customWidth="1"/>
    <col min="26" max="26" width="12.85546875" customWidth="1"/>
    <col min="28" max="28" width="21.42578125" customWidth="1"/>
    <col min="29" max="29" width="14.5703125" customWidth="1"/>
    <col min="32" max="32" width="60.85546875" customWidth="1"/>
    <col min="33" max="33" width="14.140625" customWidth="1"/>
    <col min="34" max="34" width="12.85546875" customWidth="1"/>
    <col min="36" max="36" width="21.42578125" customWidth="1"/>
    <col min="37" max="37" width="14.5703125" customWidth="1"/>
    <col min="40" max="40" width="60.85546875" customWidth="1"/>
    <col min="41" max="41" width="14.140625" customWidth="1"/>
    <col min="42" max="42" width="12.85546875" customWidth="1"/>
    <col min="44" max="44" width="21.42578125" customWidth="1"/>
    <col min="45" max="45" width="14.5703125" customWidth="1"/>
    <col min="48" max="48" width="60.85546875" customWidth="1"/>
    <col min="49" max="49" width="14.140625" customWidth="1"/>
    <col min="50" max="50" width="12.85546875" customWidth="1"/>
    <col min="52" max="52" width="21.42578125" customWidth="1"/>
    <col min="53" max="53" width="14.5703125" customWidth="1"/>
    <col min="56" max="56" width="60.85546875" customWidth="1"/>
    <col min="57" max="57" width="14.140625" customWidth="1"/>
    <col min="58" max="58" width="12.85546875" customWidth="1"/>
    <col min="60" max="60" width="21.42578125" customWidth="1"/>
    <col min="61" max="61" width="14.5703125" customWidth="1"/>
    <col min="64" max="64" width="60.85546875" customWidth="1"/>
    <col min="65" max="65" width="14.140625" customWidth="1"/>
    <col min="66" max="66" width="12.85546875" customWidth="1"/>
    <col min="68" max="68" width="21.42578125" customWidth="1"/>
    <col min="69" max="69" width="14.5703125" customWidth="1"/>
    <col min="72" max="72" width="60.85546875" customWidth="1"/>
  </cols>
  <sheetData>
    <row r="1" spans="1:72" s="53" customFormat="1" ht="15.75" x14ac:dyDescent="0.25">
      <c r="C1" s="901" t="s">
        <v>0</v>
      </c>
      <c r="D1" s="901"/>
      <c r="E1" s="901"/>
      <c r="F1" s="901"/>
      <c r="G1" s="901"/>
      <c r="H1" s="901"/>
      <c r="I1" s="901"/>
      <c r="J1" s="901"/>
      <c r="K1" s="901"/>
      <c r="L1" s="901"/>
      <c r="M1" s="901"/>
      <c r="N1" s="901"/>
      <c r="O1" s="901"/>
      <c r="P1" s="901"/>
      <c r="Q1" s="901"/>
      <c r="R1" s="901"/>
      <c r="S1" s="901"/>
      <c r="T1" s="901"/>
      <c r="U1" s="901"/>
      <c r="V1" s="901"/>
      <c r="W1" s="901"/>
      <c r="X1" s="901"/>
      <c r="AE1" s="582"/>
      <c r="AF1" s="583"/>
      <c r="AM1" s="582"/>
      <c r="AN1" s="583"/>
      <c r="AU1" s="582"/>
      <c r="AV1" s="583"/>
      <c r="BC1" s="582"/>
      <c r="BD1" s="583"/>
      <c r="BK1" s="582"/>
      <c r="BL1" s="583"/>
      <c r="BS1" s="582"/>
      <c r="BT1" s="583"/>
    </row>
    <row r="2" spans="1:72" s="53" customFormat="1" ht="30" customHeight="1" x14ac:dyDescent="0.25">
      <c r="C2" s="901"/>
      <c r="D2" s="901"/>
      <c r="E2" s="901"/>
      <c r="F2" s="901"/>
      <c r="G2" s="901"/>
      <c r="H2" s="901"/>
      <c r="I2" s="901"/>
      <c r="J2" s="901"/>
      <c r="K2" s="901"/>
      <c r="L2" s="901"/>
      <c r="M2" s="901"/>
      <c r="N2" s="901"/>
      <c r="O2" s="901"/>
      <c r="P2" s="901"/>
      <c r="Q2" s="901"/>
      <c r="R2" s="901"/>
      <c r="S2" s="901"/>
      <c r="T2" s="901"/>
      <c r="U2" s="901"/>
      <c r="V2" s="901"/>
      <c r="W2" s="901"/>
      <c r="X2" s="901"/>
      <c r="AE2" s="582"/>
      <c r="AF2" s="582"/>
      <c r="AM2" s="582"/>
      <c r="AN2" s="582"/>
      <c r="AU2" s="582"/>
      <c r="AV2" s="582"/>
      <c r="BC2" s="582"/>
      <c r="BD2" s="582"/>
      <c r="BK2" s="582"/>
      <c r="BL2" s="582"/>
      <c r="BS2" s="582"/>
      <c r="BT2" s="582"/>
    </row>
    <row r="3" spans="1:72" s="53" customFormat="1" ht="29.25" customHeight="1" x14ac:dyDescent="0.25">
      <c r="C3" s="901"/>
      <c r="D3" s="901"/>
      <c r="E3" s="901"/>
      <c r="F3" s="901"/>
      <c r="G3" s="901"/>
      <c r="H3" s="901"/>
      <c r="I3" s="901"/>
      <c r="J3" s="901"/>
      <c r="K3" s="901"/>
      <c r="L3" s="901"/>
      <c r="M3" s="901"/>
      <c r="N3" s="901"/>
      <c r="O3" s="901"/>
      <c r="P3" s="901"/>
      <c r="Q3" s="901"/>
      <c r="R3" s="901"/>
      <c r="S3" s="901"/>
      <c r="T3" s="901"/>
      <c r="U3" s="901"/>
      <c r="V3" s="901"/>
      <c r="W3" s="901"/>
      <c r="X3" s="901"/>
      <c r="Y3" s="584"/>
      <c r="Z3" s="584"/>
      <c r="AA3" s="584"/>
      <c r="AB3" s="584"/>
      <c r="AC3" s="584"/>
      <c r="AD3" s="584"/>
      <c r="AE3" s="458"/>
      <c r="AF3" s="458"/>
      <c r="AG3" s="584"/>
      <c r="AH3" s="584"/>
      <c r="AI3" s="584"/>
      <c r="AJ3" s="584"/>
      <c r="AK3" s="584"/>
      <c r="AL3" s="584"/>
      <c r="AM3" s="458"/>
      <c r="AN3" s="458"/>
      <c r="AO3" s="584"/>
      <c r="AP3" s="584"/>
      <c r="AQ3" s="584"/>
      <c r="AR3" s="584"/>
      <c r="AS3" s="584"/>
      <c r="AT3" s="584"/>
      <c r="AU3" s="458"/>
      <c r="AV3" s="458"/>
      <c r="AW3" s="584"/>
      <c r="AX3" s="584"/>
      <c r="AY3" s="584"/>
      <c r="AZ3" s="584"/>
      <c r="BA3" s="584"/>
      <c r="BB3" s="584"/>
      <c r="BC3" s="458"/>
      <c r="BD3" s="458"/>
      <c r="BE3" s="584"/>
      <c r="BF3" s="584"/>
      <c r="BG3" s="584"/>
      <c r="BH3" s="584"/>
      <c r="BI3" s="584"/>
      <c r="BJ3" s="584"/>
      <c r="BK3" s="458"/>
      <c r="BL3" s="458"/>
      <c r="BM3" s="584"/>
      <c r="BN3" s="584"/>
      <c r="BO3" s="584"/>
      <c r="BP3" s="584"/>
      <c r="BQ3" s="584"/>
      <c r="BR3" s="584"/>
      <c r="BS3" s="458"/>
      <c r="BT3" s="458"/>
    </row>
    <row r="4" spans="1:72" s="7" customFormat="1" x14ac:dyDescent="0.25">
      <c r="A4" s="770" t="s">
        <v>5</v>
      </c>
      <c r="B4" s="771"/>
      <c r="C4" s="771"/>
      <c r="D4" s="771"/>
      <c r="E4" s="771"/>
      <c r="F4" s="771"/>
      <c r="G4" s="771"/>
      <c r="H4" s="771"/>
      <c r="I4" s="771"/>
      <c r="J4" s="771"/>
      <c r="K4" s="772"/>
      <c r="L4" s="773" t="s">
        <v>6</v>
      </c>
      <c r="M4" s="774"/>
      <c r="N4" s="774"/>
      <c r="O4" s="774"/>
      <c r="P4" s="775"/>
      <c r="Q4" s="773" t="s">
        <v>7</v>
      </c>
      <c r="R4" s="774"/>
      <c r="S4" s="774"/>
      <c r="T4" s="774"/>
      <c r="U4" s="775"/>
      <c r="V4" s="845" t="s">
        <v>8</v>
      </c>
      <c r="W4" s="846"/>
      <c r="X4" s="773" t="s">
        <v>9</v>
      </c>
      <c r="Y4" s="1007" t="s">
        <v>10</v>
      </c>
      <c r="Z4" s="1007"/>
      <c r="AA4" s="1007"/>
      <c r="AB4" s="1007"/>
      <c r="AC4" s="1007"/>
      <c r="AD4" s="1007"/>
      <c r="AE4" s="1007"/>
      <c r="AF4" s="1007"/>
      <c r="AG4" s="1007" t="s">
        <v>11</v>
      </c>
      <c r="AH4" s="1007"/>
      <c r="AI4" s="1007"/>
      <c r="AJ4" s="1007"/>
      <c r="AK4" s="1007"/>
      <c r="AL4" s="1007"/>
      <c r="AM4" s="1007"/>
      <c r="AN4" s="1007"/>
      <c r="AO4" s="1007" t="s">
        <v>12</v>
      </c>
      <c r="AP4" s="1007"/>
      <c r="AQ4" s="1007"/>
      <c r="AR4" s="1007"/>
      <c r="AS4" s="1007"/>
      <c r="AT4" s="1007"/>
      <c r="AU4" s="1007"/>
      <c r="AV4" s="1007"/>
      <c r="AW4" s="1007" t="s">
        <v>1170</v>
      </c>
      <c r="AX4" s="1007"/>
      <c r="AY4" s="1007"/>
      <c r="AZ4" s="1007"/>
      <c r="BA4" s="1007"/>
      <c r="BB4" s="1007"/>
      <c r="BC4" s="1007"/>
      <c r="BD4" s="1007"/>
      <c r="BE4" s="1007" t="s">
        <v>1171</v>
      </c>
      <c r="BF4" s="1007"/>
      <c r="BG4" s="1007"/>
      <c r="BH4" s="1007"/>
      <c r="BI4" s="1007"/>
      <c r="BJ4" s="1007"/>
      <c r="BK4" s="1007"/>
      <c r="BL4" s="1007"/>
      <c r="BM4" s="1007" t="s">
        <v>1172</v>
      </c>
      <c r="BN4" s="1007"/>
      <c r="BO4" s="1007"/>
      <c r="BP4" s="1007"/>
      <c r="BQ4" s="1007"/>
      <c r="BR4" s="1007"/>
      <c r="BS4" s="1007"/>
      <c r="BT4" s="1007"/>
    </row>
    <row r="5" spans="1:72" s="533" customFormat="1" x14ac:dyDescent="0.25">
      <c r="A5" s="785" t="s">
        <v>13</v>
      </c>
      <c r="B5" s="786"/>
      <c r="C5" s="787"/>
      <c r="D5" s="534" t="s">
        <v>14</v>
      </c>
      <c r="E5" s="785" t="s">
        <v>15</v>
      </c>
      <c r="F5" s="787"/>
      <c r="G5" s="785" t="s">
        <v>16</v>
      </c>
      <c r="H5" s="786"/>
      <c r="I5" s="787"/>
      <c r="J5" s="788" t="s">
        <v>17</v>
      </c>
      <c r="K5" s="788" t="s">
        <v>18</v>
      </c>
      <c r="L5" s="776"/>
      <c r="M5" s="777"/>
      <c r="N5" s="777"/>
      <c r="O5" s="777"/>
      <c r="P5" s="778"/>
      <c r="Q5" s="776"/>
      <c r="R5" s="777"/>
      <c r="S5" s="777"/>
      <c r="T5" s="777"/>
      <c r="U5" s="778"/>
      <c r="V5" s="847"/>
      <c r="W5" s="848"/>
      <c r="X5" s="776"/>
      <c r="Y5" s="1006" t="s">
        <v>19</v>
      </c>
      <c r="Z5" s="1006"/>
      <c r="AA5" s="1006"/>
      <c r="AB5" s="1006"/>
      <c r="AC5" s="1006" t="s">
        <v>20</v>
      </c>
      <c r="AD5" s="1006"/>
      <c r="AE5" s="1006"/>
      <c r="AF5" s="1006"/>
      <c r="AG5" s="1006" t="s">
        <v>19</v>
      </c>
      <c r="AH5" s="1006"/>
      <c r="AI5" s="1006"/>
      <c r="AJ5" s="1006"/>
      <c r="AK5" s="1006" t="s">
        <v>20</v>
      </c>
      <c r="AL5" s="1006"/>
      <c r="AM5" s="1006"/>
      <c r="AN5" s="1006"/>
      <c r="AO5" s="1006" t="s">
        <v>19</v>
      </c>
      <c r="AP5" s="1006"/>
      <c r="AQ5" s="1006"/>
      <c r="AR5" s="1006"/>
      <c r="AS5" s="1006" t="s">
        <v>20</v>
      </c>
      <c r="AT5" s="1006"/>
      <c r="AU5" s="1006"/>
      <c r="AV5" s="1006"/>
      <c r="AW5" s="1006" t="s">
        <v>19</v>
      </c>
      <c r="AX5" s="1006"/>
      <c r="AY5" s="1006"/>
      <c r="AZ5" s="1006"/>
      <c r="BA5" s="1006" t="s">
        <v>20</v>
      </c>
      <c r="BB5" s="1006"/>
      <c r="BC5" s="1006"/>
      <c r="BD5" s="1006"/>
      <c r="BE5" s="1006" t="s">
        <v>19</v>
      </c>
      <c r="BF5" s="1006"/>
      <c r="BG5" s="1006"/>
      <c r="BH5" s="1006"/>
      <c r="BI5" s="1006" t="s">
        <v>20</v>
      </c>
      <c r="BJ5" s="1006"/>
      <c r="BK5" s="1006"/>
      <c r="BL5" s="1006"/>
      <c r="BM5" s="1006" t="s">
        <v>19</v>
      </c>
      <c r="BN5" s="1006"/>
      <c r="BO5" s="1006"/>
      <c r="BP5" s="1006"/>
      <c r="BQ5" s="1006" t="s">
        <v>20</v>
      </c>
      <c r="BR5" s="1006"/>
      <c r="BS5" s="1006"/>
      <c r="BT5" s="1006"/>
    </row>
    <row r="6" spans="1:72" s="7" customFormat="1" ht="30" x14ac:dyDescent="0.25">
      <c r="A6" s="10" t="s">
        <v>21</v>
      </c>
      <c r="B6" s="10" t="s">
        <v>22</v>
      </c>
      <c r="C6" s="10" t="s">
        <v>23</v>
      </c>
      <c r="D6" s="10" t="s">
        <v>24</v>
      </c>
      <c r="E6" s="10" t="s">
        <v>25</v>
      </c>
      <c r="F6" s="10" t="s">
        <v>26</v>
      </c>
      <c r="G6" s="10" t="s">
        <v>27</v>
      </c>
      <c r="H6" s="10" t="s">
        <v>28</v>
      </c>
      <c r="I6" s="10" t="s">
        <v>29</v>
      </c>
      <c r="J6" s="849"/>
      <c r="K6" s="849"/>
      <c r="L6" s="10" t="s">
        <v>6</v>
      </c>
      <c r="M6" s="10" t="s">
        <v>30</v>
      </c>
      <c r="N6" s="10" t="s">
        <v>31</v>
      </c>
      <c r="O6" s="10" t="s">
        <v>32</v>
      </c>
      <c r="P6" s="10" t="s">
        <v>33</v>
      </c>
      <c r="Q6" s="10" t="s">
        <v>7</v>
      </c>
      <c r="R6" s="10" t="s">
        <v>34</v>
      </c>
      <c r="S6" s="10" t="s">
        <v>31</v>
      </c>
      <c r="T6" s="10" t="s">
        <v>32</v>
      </c>
      <c r="U6" s="10" t="s">
        <v>35</v>
      </c>
      <c r="V6" s="140" t="s">
        <v>36</v>
      </c>
      <c r="W6" s="140" t="s">
        <v>37</v>
      </c>
      <c r="X6" s="234" t="s">
        <v>38</v>
      </c>
      <c r="Y6" s="200" t="s">
        <v>39</v>
      </c>
      <c r="Z6" s="200" t="s">
        <v>40</v>
      </c>
      <c r="AA6" s="200" t="s">
        <v>41</v>
      </c>
      <c r="AB6" s="200" t="s">
        <v>42</v>
      </c>
      <c r="AC6" s="200" t="s">
        <v>39</v>
      </c>
      <c r="AD6" s="200" t="s">
        <v>40</v>
      </c>
      <c r="AE6" s="200" t="s">
        <v>41</v>
      </c>
      <c r="AF6" s="200" t="s">
        <v>42</v>
      </c>
      <c r="AG6" s="200" t="s">
        <v>39</v>
      </c>
      <c r="AH6" s="200" t="s">
        <v>40</v>
      </c>
      <c r="AI6" s="200" t="s">
        <v>41</v>
      </c>
      <c r="AJ6" s="200" t="s">
        <v>42</v>
      </c>
      <c r="AK6" s="200" t="s">
        <v>39</v>
      </c>
      <c r="AL6" s="200" t="s">
        <v>40</v>
      </c>
      <c r="AM6" s="200" t="s">
        <v>41</v>
      </c>
      <c r="AN6" s="200" t="s">
        <v>42</v>
      </c>
      <c r="AO6" s="200" t="s">
        <v>39</v>
      </c>
      <c r="AP6" s="200" t="s">
        <v>40</v>
      </c>
      <c r="AQ6" s="200" t="s">
        <v>41</v>
      </c>
      <c r="AR6" s="200" t="s">
        <v>42</v>
      </c>
      <c r="AS6" s="200" t="s">
        <v>39</v>
      </c>
      <c r="AT6" s="200" t="s">
        <v>40</v>
      </c>
      <c r="AU6" s="200" t="s">
        <v>41</v>
      </c>
      <c r="AV6" s="200" t="s">
        <v>42</v>
      </c>
      <c r="AW6" s="200" t="s">
        <v>39</v>
      </c>
      <c r="AX6" s="200" t="s">
        <v>40</v>
      </c>
      <c r="AY6" s="200" t="s">
        <v>41</v>
      </c>
      <c r="AZ6" s="200" t="s">
        <v>42</v>
      </c>
      <c r="BA6" s="200" t="s">
        <v>39</v>
      </c>
      <c r="BB6" s="200" t="s">
        <v>40</v>
      </c>
      <c r="BC6" s="200" t="s">
        <v>41</v>
      </c>
      <c r="BD6" s="200" t="s">
        <v>42</v>
      </c>
      <c r="BE6" s="200" t="s">
        <v>39</v>
      </c>
      <c r="BF6" s="200" t="s">
        <v>40</v>
      </c>
      <c r="BG6" s="200" t="s">
        <v>41</v>
      </c>
      <c r="BH6" s="200" t="s">
        <v>42</v>
      </c>
      <c r="BI6" s="200" t="s">
        <v>39</v>
      </c>
      <c r="BJ6" s="200" t="s">
        <v>40</v>
      </c>
      <c r="BK6" s="200" t="s">
        <v>41</v>
      </c>
      <c r="BL6" s="200" t="s">
        <v>42</v>
      </c>
      <c r="BM6" s="200" t="s">
        <v>39</v>
      </c>
      <c r="BN6" s="200" t="s">
        <v>40</v>
      </c>
      <c r="BO6" s="200" t="s">
        <v>41</v>
      </c>
      <c r="BP6" s="200" t="s">
        <v>42</v>
      </c>
      <c r="BQ6" s="200" t="s">
        <v>39</v>
      </c>
      <c r="BR6" s="200" t="s">
        <v>40</v>
      </c>
      <c r="BS6" s="200" t="s">
        <v>41</v>
      </c>
      <c r="BT6" s="200" t="s">
        <v>42</v>
      </c>
    </row>
    <row r="7" spans="1:72" ht="177" customHeight="1" x14ac:dyDescent="0.25">
      <c r="A7" s="696" t="s">
        <v>43</v>
      </c>
      <c r="B7" s="799" t="s">
        <v>44</v>
      </c>
      <c r="C7" s="696" t="s">
        <v>45</v>
      </c>
      <c r="D7" s="799" t="s">
        <v>46</v>
      </c>
      <c r="E7" s="696" t="s">
        <v>588</v>
      </c>
      <c r="F7" s="799" t="s">
        <v>588</v>
      </c>
      <c r="G7" s="696" t="s">
        <v>51</v>
      </c>
      <c r="H7" s="799" t="s">
        <v>589</v>
      </c>
      <c r="I7" s="696" t="s">
        <v>590</v>
      </c>
      <c r="J7" s="696" t="s">
        <v>588</v>
      </c>
      <c r="K7" s="799" t="s">
        <v>588</v>
      </c>
      <c r="L7" s="696" t="s">
        <v>591</v>
      </c>
      <c r="M7" s="799" t="s">
        <v>592</v>
      </c>
      <c r="N7" s="696" t="s">
        <v>74</v>
      </c>
      <c r="O7" s="827">
        <v>0</v>
      </c>
      <c r="P7" s="1002">
        <v>0.8</v>
      </c>
      <c r="Q7" s="275" t="s">
        <v>593</v>
      </c>
      <c r="R7" s="275" t="s">
        <v>594</v>
      </c>
      <c r="S7" s="275" t="s">
        <v>74</v>
      </c>
      <c r="T7" s="275"/>
      <c r="U7" s="526">
        <v>0.8</v>
      </c>
      <c r="V7" s="1004">
        <v>663482003</v>
      </c>
      <c r="W7" s="1004">
        <v>663482003</v>
      </c>
      <c r="X7" s="696" t="s">
        <v>595</v>
      </c>
      <c r="Y7" s="1000">
        <v>89.2</v>
      </c>
      <c r="Z7" s="696">
        <v>80</v>
      </c>
      <c r="AA7" s="827">
        <v>1.1200000000000001</v>
      </c>
      <c r="AB7" s="696" t="s">
        <v>1173</v>
      </c>
      <c r="AC7" s="275">
        <v>0</v>
      </c>
      <c r="AD7" s="275">
        <v>80</v>
      </c>
      <c r="AE7" s="526">
        <v>0</v>
      </c>
      <c r="AF7" s="275" t="s">
        <v>1174</v>
      </c>
      <c r="AG7" s="1000">
        <v>89.2</v>
      </c>
      <c r="AH7" s="696">
        <v>80</v>
      </c>
      <c r="AI7" s="827">
        <f>AG7/AH7</f>
        <v>1.115</v>
      </c>
      <c r="AJ7" s="696" t="s">
        <v>1173</v>
      </c>
      <c r="AK7" s="275">
        <v>81.2</v>
      </c>
      <c r="AL7" s="275">
        <v>80</v>
      </c>
      <c r="AM7" s="526">
        <f>AK7/AL7</f>
        <v>1.0150000000000001</v>
      </c>
      <c r="AN7" s="275" t="s">
        <v>1175</v>
      </c>
      <c r="AO7" s="1000">
        <v>90.4</v>
      </c>
      <c r="AP7" s="696">
        <v>80</v>
      </c>
      <c r="AQ7" s="827">
        <f>AO7/AP7</f>
        <v>1.1300000000000001</v>
      </c>
      <c r="AR7" s="696" t="s">
        <v>596</v>
      </c>
      <c r="AS7" s="275">
        <v>88.33</v>
      </c>
      <c r="AT7" s="275">
        <v>80</v>
      </c>
      <c r="AU7" s="526">
        <f>AS7/AT7</f>
        <v>1.104125</v>
      </c>
      <c r="AV7" s="275" t="s">
        <v>597</v>
      </c>
      <c r="AW7" s="1000">
        <v>100</v>
      </c>
      <c r="AX7" s="696">
        <v>80</v>
      </c>
      <c r="AY7" s="827">
        <f>+AW7/AX7</f>
        <v>1.25</v>
      </c>
      <c r="AZ7" s="696" t="s">
        <v>1176</v>
      </c>
      <c r="BA7" s="275">
        <v>100</v>
      </c>
      <c r="BB7" s="275">
        <v>80</v>
      </c>
      <c r="BC7" s="526">
        <f>+BA7/BB7</f>
        <v>1.25</v>
      </c>
      <c r="BD7" s="275" t="s">
        <v>1177</v>
      </c>
      <c r="BE7" s="1000">
        <v>89.3</v>
      </c>
      <c r="BF7" s="696">
        <v>80</v>
      </c>
      <c r="BG7" s="827">
        <f>(177/198)/0.8</f>
        <v>1.1174242424242424</v>
      </c>
      <c r="BH7" s="696" t="s">
        <v>1178</v>
      </c>
      <c r="BI7" s="275">
        <v>86.25</v>
      </c>
      <c r="BJ7" s="275">
        <v>80</v>
      </c>
      <c r="BK7" s="526">
        <f>86.2/BJ7</f>
        <v>1.0775000000000001</v>
      </c>
      <c r="BL7" s="275" t="s">
        <v>1179</v>
      </c>
      <c r="BM7" s="1000">
        <v>89.3</v>
      </c>
      <c r="BN7" s="696">
        <v>80</v>
      </c>
      <c r="BO7" s="827">
        <f>+BM7/BN7</f>
        <v>1.11625</v>
      </c>
      <c r="BP7" s="696" t="s">
        <v>1180</v>
      </c>
      <c r="BQ7" s="275">
        <v>86.2</v>
      </c>
      <c r="BR7" s="275">
        <v>80</v>
      </c>
      <c r="BS7" s="526">
        <f>+BQ7/BR7</f>
        <v>1.0775000000000001</v>
      </c>
      <c r="BT7" s="275" t="s">
        <v>1181</v>
      </c>
    </row>
    <row r="8" spans="1:72" ht="227.25" customHeight="1" x14ac:dyDescent="0.25">
      <c r="A8" s="716"/>
      <c r="B8" s="800"/>
      <c r="C8" s="716"/>
      <c r="D8" s="800"/>
      <c r="E8" s="716"/>
      <c r="F8" s="800"/>
      <c r="G8" s="716"/>
      <c r="H8" s="800"/>
      <c r="I8" s="716"/>
      <c r="J8" s="716"/>
      <c r="K8" s="800"/>
      <c r="L8" s="716"/>
      <c r="M8" s="800"/>
      <c r="N8" s="716"/>
      <c r="O8" s="828"/>
      <c r="P8" s="1003"/>
      <c r="Q8" s="525" t="s">
        <v>598</v>
      </c>
      <c r="R8" s="525" t="s">
        <v>599</v>
      </c>
      <c r="S8" s="525" t="s">
        <v>74</v>
      </c>
      <c r="T8" s="525"/>
      <c r="U8" s="525">
        <v>0.8</v>
      </c>
      <c r="V8" s="1005"/>
      <c r="W8" s="1005"/>
      <c r="X8" s="716"/>
      <c r="Y8" s="1001"/>
      <c r="Z8" s="716"/>
      <c r="AA8" s="828"/>
      <c r="AB8" s="716"/>
      <c r="AC8" s="305">
        <v>89.2</v>
      </c>
      <c r="AD8" s="306">
        <v>80</v>
      </c>
      <c r="AE8" s="525">
        <f>AC8/AD8</f>
        <v>1.115</v>
      </c>
      <c r="AF8" s="525" t="s">
        <v>1182</v>
      </c>
      <c r="AG8" s="1001"/>
      <c r="AH8" s="716"/>
      <c r="AI8" s="828"/>
      <c r="AJ8" s="716"/>
      <c r="AK8" s="305">
        <v>84.6</v>
      </c>
      <c r="AL8" s="306">
        <v>80</v>
      </c>
      <c r="AM8" s="525">
        <f>AK8/AL8</f>
        <v>1.0574999999999999</v>
      </c>
      <c r="AN8" s="525" t="s">
        <v>1183</v>
      </c>
      <c r="AO8" s="1001"/>
      <c r="AP8" s="716"/>
      <c r="AQ8" s="828"/>
      <c r="AR8" s="716"/>
      <c r="AS8" s="305">
        <v>91.5</v>
      </c>
      <c r="AT8" s="306">
        <v>80</v>
      </c>
      <c r="AU8" s="525">
        <f>AS8/AT8</f>
        <v>1.14375</v>
      </c>
      <c r="AV8" s="525" t="s">
        <v>600</v>
      </c>
      <c r="AW8" s="1001"/>
      <c r="AX8" s="716"/>
      <c r="AY8" s="828"/>
      <c r="AZ8" s="716"/>
      <c r="BA8" s="305">
        <v>91.5</v>
      </c>
      <c r="BB8" s="306">
        <v>80</v>
      </c>
      <c r="BC8" s="525">
        <f>+BA8/BB8</f>
        <v>1.14375</v>
      </c>
      <c r="BD8" s="525" t="s">
        <v>1184</v>
      </c>
      <c r="BE8" s="1001"/>
      <c r="BF8" s="716"/>
      <c r="BG8" s="828"/>
      <c r="BH8" s="716"/>
      <c r="BI8" s="305">
        <v>100</v>
      </c>
      <c r="BJ8" s="306">
        <v>80</v>
      </c>
      <c r="BK8" s="525">
        <f>91.5/BJ8</f>
        <v>1.14375</v>
      </c>
      <c r="BL8" s="525" t="s">
        <v>1185</v>
      </c>
      <c r="BM8" s="1001"/>
      <c r="BN8" s="716"/>
      <c r="BO8" s="828"/>
      <c r="BP8" s="716"/>
      <c r="BQ8" s="305">
        <v>91.7</v>
      </c>
      <c r="BR8" s="306">
        <v>80</v>
      </c>
      <c r="BS8" s="525">
        <f>+BQ8/BR8</f>
        <v>1.14625</v>
      </c>
      <c r="BT8" s="525" t="s">
        <v>1186</v>
      </c>
    </row>
    <row r="10" spans="1:72" ht="49.5" customHeight="1" x14ac:dyDescent="0.25">
      <c r="Y10" s="657" t="s">
        <v>1187</v>
      </c>
      <c r="Z10" s="657"/>
      <c r="AA10" s="55">
        <f>+AVERAGE(AA7)</f>
        <v>1.1200000000000001</v>
      </c>
      <c r="AC10" s="657" t="s">
        <v>1188</v>
      </c>
      <c r="AD10" s="657"/>
      <c r="AE10" s="55">
        <f>+AVERAGE(AE7:AE8)</f>
        <v>0.5575</v>
      </c>
      <c r="AG10" s="657" t="s">
        <v>1187</v>
      </c>
      <c r="AH10" s="657"/>
      <c r="AI10" s="55">
        <f>+AVERAGE(AI7)</f>
        <v>1.115</v>
      </c>
      <c r="AK10" s="657" t="s">
        <v>1188</v>
      </c>
      <c r="AL10" s="657"/>
      <c r="AM10" s="55">
        <f>+AVERAGE(AM7:AM8)</f>
        <v>1.0362499999999999</v>
      </c>
      <c r="AO10" s="657" t="s">
        <v>1187</v>
      </c>
      <c r="AP10" s="657"/>
      <c r="AQ10" s="55">
        <f>+AVERAGE(AQ7)</f>
        <v>1.1300000000000001</v>
      </c>
      <c r="AS10" s="657" t="s">
        <v>1188</v>
      </c>
      <c r="AT10" s="657"/>
      <c r="AU10" s="55">
        <f>+AVERAGE(AU7:AU8)</f>
        <v>1.1239375</v>
      </c>
      <c r="AW10" s="657" t="s">
        <v>1187</v>
      </c>
      <c r="AX10" s="657"/>
      <c r="AY10" s="55">
        <f>+AVERAGE(AY7)</f>
        <v>1.25</v>
      </c>
      <c r="BA10" s="657" t="s">
        <v>1188</v>
      </c>
      <c r="BB10" s="657"/>
      <c r="BC10" s="55">
        <f>+AVERAGE(BC7:BC8)</f>
        <v>1.1968749999999999</v>
      </c>
      <c r="BE10" s="657" t="s">
        <v>1187</v>
      </c>
      <c r="BF10" s="657"/>
      <c r="BG10" s="55">
        <f>+AVERAGE(BG7)</f>
        <v>1.1174242424242424</v>
      </c>
      <c r="BI10" s="657" t="s">
        <v>1188</v>
      </c>
      <c r="BJ10" s="657"/>
      <c r="BK10" s="55">
        <f>+AVERAGE(BK7:BK8)</f>
        <v>1.1106250000000002</v>
      </c>
      <c r="BM10" s="657" t="s">
        <v>1187</v>
      </c>
      <c r="BN10" s="657"/>
      <c r="BO10" s="55">
        <f>+AVERAGE(BO7)</f>
        <v>1.11625</v>
      </c>
      <c r="BQ10" s="657" t="s">
        <v>1188</v>
      </c>
      <c r="BR10" s="657"/>
      <c r="BS10" s="55">
        <f>+AVERAGE(BS7:BS8)</f>
        <v>1.1118749999999999</v>
      </c>
    </row>
  </sheetData>
  <sheetProtection algorithmName="SHA-512" hashValue="+pidaUp+prfv7ljKJDqD973ZnI5UbZaFP0MkM0D5VXYgTB2DaZHW4a0TwOxvzbbJPwRmAu+nDjuCxmxbsr/adg==" saltValue="3ddyTt4MYM1gvx02VUPOSA==" spinCount="100000" sheet="1" objects="1" scenarios="1" selectLockedCells="1" selectUnlockedCells="1"/>
  <mergeCells count="84">
    <mergeCell ref="BM4:BT4"/>
    <mergeCell ref="C1:X3"/>
    <mergeCell ref="A4:K4"/>
    <mergeCell ref="L4:P5"/>
    <mergeCell ref="Q4:U5"/>
    <mergeCell ref="V4:W5"/>
    <mergeCell ref="X4:X5"/>
    <mergeCell ref="A5:C5"/>
    <mergeCell ref="E5:F5"/>
    <mergeCell ref="G5:I5"/>
    <mergeCell ref="J5:J6"/>
    <mergeCell ref="Y4:AF4"/>
    <mergeCell ref="AG4:AN4"/>
    <mergeCell ref="AO4:AV4"/>
    <mergeCell ref="AW4:BD4"/>
    <mergeCell ref="BE4:BL4"/>
    <mergeCell ref="BM5:BP5"/>
    <mergeCell ref="K5:K6"/>
    <mergeCell ref="Y5:AB5"/>
    <mergeCell ref="AC5:AF5"/>
    <mergeCell ref="AG5:AJ5"/>
    <mergeCell ref="AK5:AN5"/>
    <mergeCell ref="AO5:AR5"/>
    <mergeCell ref="O7:O8"/>
    <mergeCell ref="BQ5:BT5"/>
    <mergeCell ref="A7:A8"/>
    <mergeCell ref="B7:B8"/>
    <mergeCell ref="C7:C8"/>
    <mergeCell ref="D7:D8"/>
    <mergeCell ref="E7:E8"/>
    <mergeCell ref="F7:F8"/>
    <mergeCell ref="G7:G8"/>
    <mergeCell ref="H7:H8"/>
    <mergeCell ref="I7:I8"/>
    <mergeCell ref="AS5:AV5"/>
    <mergeCell ref="AW5:AZ5"/>
    <mergeCell ref="BA5:BD5"/>
    <mergeCell ref="BE5:BH5"/>
    <mergeCell ref="BI5:BL5"/>
    <mergeCell ref="J7:J8"/>
    <mergeCell ref="K7:K8"/>
    <mergeCell ref="L7:L8"/>
    <mergeCell ref="M7:M8"/>
    <mergeCell ref="N7:N8"/>
    <mergeCell ref="AJ7:AJ8"/>
    <mergeCell ref="P7:P8"/>
    <mergeCell ref="V7:V8"/>
    <mergeCell ref="W7:W8"/>
    <mergeCell ref="X7:X8"/>
    <mergeCell ref="Y7:Y8"/>
    <mergeCell ref="Z7:Z8"/>
    <mergeCell ref="AA7:AA8"/>
    <mergeCell ref="AB7:AB8"/>
    <mergeCell ref="AG7:AG8"/>
    <mergeCell ref="AH7:AH8"/>
    <mergeCell ref="AI7:AI8"/>
    <mergeCell ref="BG7:BG8"/>
    <mergeCell ref="BH7:BH8"/>
    <mergeCell ref="AO7:AO8"/>
    <mergeCell ref="AP7:AP8"/>
    <mergeCell ref="AQ7:AQ8"/>
    <mergeCell ref="AR7:AR8"/>
    <mergeCell ref="AW7:AW8"/>
    <mergeCell ref="AX7:AX8"/>
    <mergeCell ref="AS10:AT10"/>
    <mergeCell ref="AY7:AY8"/>
    <mergeCell ref="AZ7:AZ8"/>
    <mergeCell ref="BE7:BE8"/>
    <mergeCell ref="BF7:BF8"/>
    <mergeCell ref="Y10:Z10"/>
    <mergeCell ref="AC10:AD10"/>
    <mergeCell ref="AG10:AH10"/>
    <mergeCell ref="AK10:AL10"/>
    <mergeCell ref="AO10:AP10"/>
    <mergeCell ref="BQ10:BR10"/>
    <mergeCell ref="BM7:BM8"/>
    <mergeCell ref="BN7:BN8"/>
    <mergeCell ref="BO7:BO8"/>
    <mergeCell ref="BP7:BP8"/>
    <mergeCell ref="AW10:AX10"/>
    <mergeCell ref="BA10:BB10"/>
    <mergeCell ref="BE10:BF10"/>
    <mergeCell ref="BI10:BJ10"/>
    <mergeCell ref="BM10:BN10"/>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4598E-AB3A-4D34-8B79-B960BF8607C4}">
  <sheetPr>
    <tabColor theme="9"/>
  </sheetPr>
  <dimension ref="A1:AAF556"/>
  <sheetViews>
    <sheetView topLeftCell="BL1" zoomScaleNormal="100" workbookViewId="0">
      <pane ySplit="6" topLeftCell="A7" activePane="bottomLeft" state="frozen"/>
      <selection activeCell="U1" sqref="U1"/>
      <selection pane="bottomLeft" activeCell="Y3" sqref="Y3"/>
    </sheetView>
  </sheetViews>
  <sheetFormatPr baseColWidth="10" defaultColWidth="11.42578125" defaultRowHeight="22.5" customHeight="1" x14ac:dyDescent="0.25"/>
  <cols>
    <col min="1" max="1" width="22.42578125" style="88" customWidth="1"/>
    <col min="2" max="2" width="26.7109375" style="88" customWidth="1"/>
    <col min="3" max="3" width="23.85546875" style="88" customWidth="1"/>
    <col min="4" max="4" width="33.42578125" style="88" customWidth="1"/>
    <col min="5" max="5" width="43.42578125" style="88" bestFit="1" customWidth="1"/>
    <col min="6" max="6" width="17.140625" style="88" customWidth="1"/>
    <col min="7" max="7" width="26.7109375" style="88" customWidth="1"/>
    <col min="8" max="8" width="16.7109375" style="88" customWidth="1"/>
    <col min="9" max="9" width="17.28515625" style="88" customWidth="1"/>
    <col min="10" max="10" width="16.85546875" style="88" customWidth="1"/>
    <col min="11" max="11" width="15.85546875" style="88" customWidth="1"/>
    <col min="12" max="12" width="56.42578125" style="88" customWidth="1"/>
    <col min="13" max="13" width="35.42578125" style="88" customWidth="1"/>
    <col min="14" max="14" width="20.42578125" style="88" customWidth="1"/>
    <col min="15" max="15" width="14.140625" style="88" customWidth="1"/>
    <col min="16" max="16" width="21" style="88" customWidth="1"/>
    <col min="17" max="18" width="31.7109375" style="88" customWidth="1"/>
    <col min="19" max="19" width="17.140625" style="88" bestFit="1" customWidth="1"/>
    <col min="20" max="20" width="10.28515625" style="88" bestFit="1" customWidth="1"/>
    <col min="21" max="21" width="14.42578125" style="88" bestFit="1" customWidth="1"/>
    <col min="22" max="22" width="17" style="137" hidden="1" customWidth="1"/>
    <col min="23" max="23" width="18.42578125" style="137" customWidth="1"/>
    <col min="24" max="24" width="20.7109375" style="88" customWidth="1"/>
    <col min="25" max="25" width="17.5703125" style="88" customWidth="1"/>
    <col min="26" max="26" width="10.42578125" style="88" customWidth="1"/>
    <col min="27" max="27" width="19.140625" style="88" customWidth="1"/>
    <col min="28" max="28" width="43.42578125" style="88" customWidth="1"/>
    <col min="29" max="29" width="11.5703125" style="88" bestFit="1" customWidth="1"/>
    <col min="30" max="30" width="6.140625" style="88" bestFit="1" customWidth="1"/>
    <col min="31" max="31" width="20" style="88" bestFit="1" customWidth="1"/>
    <col min="32" max="32" width="17.28515625" style="88" bestFit="1" customWidth="1"/>
    <col min="33" max="33" width="15.5703125" style="88" customWidth="1"/>
    <col min="34" max="34" width="10.42578125" style="88" customWidth="1"/>
    <col min="35" max="35" width="19" style="88" customWidth="1"/>
    <col min="36" max="36" width="39.140625" style="88" customWidth="1"/>
    <col min="37" max="37" width="11.5703125" style="88" bestFit="1" customWidth="1"/>
    <col min="38" max="38" width="6.140625" style="88" bestFit="1" customWidth="1"/>
    <col min="39" max="39" width="20" style="88" bestFit="1" customWidth="1"/>
    <col min="40" max="40" width="17.28515625" style="88" bestFit="1" customWidth="1"/>
    <col min="41" max="41" width="16.42578125" style="88" customWidth="1"/>
    <col min="42" max="42" width="10.42578125" style="88" customWidth="1"/>
    <col min="43" max="43" width="19.42578125" style="88" customWidth="1"/>
    <col min="44" max="44" width="43.5703125" style="88" customWidth="1"/>
    <col min="45" max="45" width="11.5703125" style="88" bestFit="1" customWidth="1"/>
    <col min="46" max="46" width="6.140625" style="88" bestFit="1" customWidth="1"/>
    <col min="47" max="47" width="20" style="88" bestFit="1" customWidth="1"/>
    <col min="48" max="48" width="17.28515625" style="88" bestFit="1" customWidth="1"/>
    <col min="49" max="49" width="18" style="134" customWidth="1"/>
    <col min="50" max="50" width="10.42578125" style="134" customWidth="1"/>
    <col min="51" max="51" width="21.85546875" style="134" customWidth="1"/>
    <col min="52" max="52" width="47" style="88" customWidth="1"/>
    <col min="53" max="53" width="11.5703125" style="88" bestFit="1" customWidth="1"/>
    <col min="54" max="54" width="6.140625" style="88" bestFit="1" customWidth="1"/>
    <col min="55" max="55" width="20" style="88" bestFit="1" customWidth="1"/>
    <col min="56" max="56" width="17.28515625" style="88" bestFit="1" customWidth="1"/>
    <col min="57" max="57" width="17.28515625" style="134" customWidth="1"/>
    <col min="58" max="58" width="10.42578125" style="134" customWidth="1"/>
    <col min="59" max="59" width="21.85546875" style="134" customWidth="1"/>
    <col min="60" max="60" width="50.7109375" style="88" customWidth="1"/>
    <col min="61" max="61" width="11.5703125" style="88" bestFit="1" customWidth="1"/>
    <col min="62" max="62" width="6.140625" style="88" bestFit="1" customWidth="1"/>
    <col min="63" max="63" width="20" style="88" bestFit="1" customWidth="1"/>
    <col min="64" max="64" width="17.28515625" style="88" bestFit="1" customWidth="1"/>
    <col min="65" max="65" width="17" style="134" customWidth="1"/>
    <col min="66" max="66" width="10.42578125" style="134" customWidth="1"/>
    <col min="67" max="67" width="21.85546875" style="134" customWidth="1"/>
    <col min="68" max="68" width="50.7109375" style="88" customWidth="1"/>
    <col min="69" max="69" width="11.5703125" style="88" bestFit="1" customWidth="1"/>
    <col min="70" max="70" width="6.140625" style="88" bestFit="1" customWidth="1"/>
    <col min="71" max="71" width="20" style="88" bestFit="1" customWidth="1"/>
    <col min="72" max="72" width="17.28515625" style="88" bestFit="1" customWidth="1"/>
    <col min="73" max="708" width="11.42578125" style="20"/>
    <col min="709" max="16384" width="11.42578125" style="88"/>
  </cols>
  <sheetData>
    <row r="1" spans="1:708" s="1" customFormat="1" ht="15.75" customHeight="1" x14ac:dyDescent="0.25">
      <c r="C1" s="769" t="s">
        <v>0</v>
      </c>
      <c r="D1" s="769"/>
      <c r="E1" s="769"/>
      <c r="F1" s="769"/>
      <c r="G1" s="769"/>
      <c r="H1" s="769"/>
      <c r="I1" s="769"/>
      <c r="J1" s="769"/>
      <c r="K1" s="769"/>
      <c r="L1" s="769"/>
      <c r="M1" s="769"/>
      <c r="N1" s="769"/>
      <c r="O1" s="769"/>
      <c r="P1" s="769"/>
      <c r="Q1" s="769"/>
      <c r="R1" s="769"/>
      <c r="S1" s="769"/>
      <c r="T1" s="769"/>
      <c r="U1" s="769"/>
      <c r="V1" s="769"/>
      <c r="W1" s="769"/>
      <c r="X1" s="769"/>
      <c r="BS1" s="4" t="s">
        <v>1</v>
      </c>
      <c r="BT1" s="5">
        <v>43458</v>
      </c>
    </row>
    <row r="2" spans="1:708" s="1" customFormat="1" ht="30" customHeight="1" x14ac:dyDescent="0.25">
      <c r="C2" s="769"/>
      <c r="D2" s="769"/>
      <c r="E2" s="769"/>
      <c r="F2" s="769"/>
      <c r="G2" s="769"/>
      <c r="H2" s="769"/>
      <c r="I2" s="769"/>
      <c r="J2" s="769"/>
      <c r="K2" s="769"/>
      <c r="L2" s="769"/>
      <c r="M2" s="769"/>
      <c r="N2" s="769"/>
      <c r="O2" s="769"/>
      <c r="P2" s="769"/>
      <c r="Q2" s="769"/>
      <c r="R2" s="769"/>
      <c r="S2" s="769"/>
      <c r="T2" s="769"/>
      <c r="U2" s="769"/>
      <c r="V2" s="769"/>
      <c r="W2" s="769"/>
      <c r="X2" s="769"/>
      <c r="BS2" s="4" t="s">
        <v>2</v>
      </c>
      <c r="BT2" s="4">
        <v>5</v>
      </c>
    </row>
    <row r="3" spans="1:708" s="1" customFormat="1" ht="29.25" customHeight="1" x14ac:dyDescent="0.25">
      <c r="C3" s="769"/>
      <c r="D3" s="769"/>
      <c r="E3" s="769"/>
      <c r="F3" s="769"/>
      <c r="G3" s="769"/>
      <c r="H3" s="769"/>
      <c r="I3" s="769"/>
      <c r="J3" s="769"/>
      <c r="K3" s="769"/>
      <c r="L3" s="769"/>
      <c r="M3" s="769"/>
      <c r="N3" s="769"/>
      <c r="O3" s="769"/>
      <c r="P3" s="769"/>
      <c r="Q3" s="769"/>
      <c r="R3" s="769"/>
      <c r="S3" s="769"/>
      <c r="T3" s="769"/>
      <c r="U3" s="769"/>
      <c r="V3" s="769"/>
      <c r="W3" s="769"/>
      <c r="X3" s="769"/>
      <c r="BS3" s="4" t="s">
        <v>3</v>
      </c>
      <c r="BT3" s="4" t="s">
        <v>4</v>
      </c>
    </row>
    <row r="4" spans="1:708" s="7" customFormat="1" ht="15" x14ac:dyDescent="0.25">
      <c r="A4" s="770" t="s">
        <v>5</v>
      </c>
      <c r="B4" s="771"/>
      <c r="C4" s="771"/>
      <c r="D4" s="771"/>
      <c r="E4" s="771"/>
      <c r="F4" s="771"/>
      <c r="G4" s="771"/>
      <c r="H4" s="771"/>
      <c r="I4" s="771"/>
      <c r="J4" s="771"/>
      <c r="K4" s="772"/>
      <c r="L4" s="773" t="s">
        <v>6</v>
      </c>
      <c r="M4" s="774"/>
      <c r="N4" s="774"/>
      <c r="O4" s="774"/>
      <c r="P4" s="775"/>
      <c r="Q4" s="773" t="s">
        <v>7</v>
      </c>
      <c r="R4" s="774"/>
      <c r="S4" s="774"/>
      <c r="T4" s="774"/>
      <c r="U4" s="775"/>
      <c r="V4" s="779" t="s">
        <v>8</v>
      </c>
      <c r="W4" s="780"/>
      <c r="X4" s="783" t="s">
        <v>9</v>
      </c>
      <c r="Y4" s="776" t="s">
        <v>10</v>
      </c>
      <c r="Z4" s="777"/>
      <c r="AA4" s="777"/>
      <c r="AB4" s="777"/>
      <c r="AC4" s="777"/>
      <c r="AD4" s="777"/>
      <c r="AE4" s="777"/>
      <c r="AF4" s="778"/>
      <c r="AG4" s="776" t="s">
        <v>11</v>
      </c>
      <c r="AH4" s="777"/>
      <c r="AI4" s="777"/>
      <c r="AJ4" s="777"/>
      <c r="AK4" s="777"/>
      <c r="AL4" s="777"/>
      <c r="AM4" s="777"/>
      <c r="AN4" s="778"/>
      <c r="AO4" s="776" t="s">
        <v>12</v>
      </c>
      <c r="AP4" s="777"/>
      <c r="AQ4" s="777"/>
      <c r="AR4" s="777"/>
      <c r="AS4" s="777"/>
      <c r="AT4" s="777"/>
      <c r="AU4" s="777"/>
      <c r="AV4" s="778"/>
      <c r="AW4" s="776" t="s">
        <v>892</v>
      </c>
      <c r="AX4" s="777"/>
      <c r="AY4" s="777"/>
      <c r="AZ4" s="777"/>
      <c r="BA4" s="777"/>
      <c r="BB4" s="777"/>
      <c r="BC4" s="777"/>
      <c r="BD4" s="778"/>
      <c r="BE4" s="776" t="s">
        <v>893</v>
      </c>
      <c r="BF4" s="777"/>
      <c r="BG4" s="777"/>
      <c r="BH4" s="777"/>
      <c r="BI4" s="777"/>
      <c r="BJ4" s="777"/>
      <c r="BK4" s="777"/>
      <c r="BL4" s="778"/>
      <c r="BM4" s="776" t="s">
        <v>894</v>
      </c>
      <c r="BN4" s="777"/>
      <c r="BO4" s="777"/>
      <c r="BP4" s="777"/>
      <c r="BQ4" s="777"/>
      <c r="BR4" s="777"/>
      <c r="BS4" s="777"/>
      <c r="BT4" s="778"/>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c r="AAF4" s="6"/>
    </row>
    <row r="5" spans="1:708" s="533" customFormat="1" ht="15" x14ac:dyDescent="0.25">
      <c r="A5" s="785" t="s">
        <v>13</v>
      </c>
      <c r="B5" s="786"/>
      <c r="C5" s="787"/>
      <c r="D5" s="534" t="s">
        <v>14</v>
      </c>
      <c r="E5" s="785" t="s">
        <v>15</v>
      </c>
      <c r="F5" s="787"/>
      <c r="G5" s="785" t="s">
        <v>16</v>
      </c>
      <c r="H5" s="786"/>
      <c r="I5" s="787"/>
      <c r="J5" s="788" t="s">
        <v>17</v>
      </c>
      <c r="K5" s="788" t="s">
        <v>18</v>
      </c>
      <c r="L5" s="776"/>
      <c r="M5" s="777"/>
      <c r="N5" s="777"/>
      <c r="O5" s="777"/>
      <c r="P5" s="778"/>
      <c r="Q5" s="776"/>
      <c r="R5" s="777"/>
      <c r="S5" s="777"/>
      <c r="T5" s="777"/>
      <c r="U5" s="778"/>
      <c r="V5" s="781"/>
      <c r="W5" s="782"/>
      <c r="X5" s="784"/>
      <c r="Y5" s="785" t="s">
        <v>19</v>
      </c>
      <c r="Z5" s="786"/>
      <c r="AA5" s="786"/>
      <c r="AB5" s="790"/>
      <c r="AC5" s="791" t="s">
        <v>20</v>
      </c>
      <c r="AD5" s="786"/>
      <c r="AE5" s="786"/>
      <c r="AF5" s="787"/>
      <c r="AG5" s="785" t="s">
        <v>19</v>
      </c>
      <c r="AH5" s="786"/>
      <c r="AI5" s="786"/>
      <c r="AJ5" s="790"/>
      <c r="AK5" s="791" t="s">
        <v>20</v>
      </c>
      <c r="AL5" s="786"/>
      <c r="AM5" s="786"/>
      <c r="AN5" s="787"/>
      <c r="AO5" s="785" t="s">
        <v>19</v>
      </c>
      <c r="AP5" s="786"/>
      <c r="AQ5" s="786"/>
      <c r="AR5" s="790"/>
      <c r="AS5" s="791" t="s">
        <v>20</v>
      </c>
      <c r="AT5" s="786"/>
      <c r="AU5" s="786"/>
      <c r="AV5" s="787"/>
      <c r="AW5" s="785" t="s">
        <v>19</v>
      </c>
      <c r="AX5" s="786"/>
      <c r="AY5" s="786"/>
      <c r="AZ5" s="790"/>
      <c r="BA5" s="791" t="s">
        <v>20</v>
      </c>
      <c r="BB5" s="786"/>
      <c r="BC5" s="786"/>
      <c r="BD5" s="787"/>
      <c r="BE5" s="785" t="s">
        <v>19</v>
      </c>
      <c r="BF5" s="786"/>
      <c r="BG5" s="786"/>
      <c r="BH5" s="790"/>
      <c r="BI5" s="791" t="s">
        <v>20</v>
      </c>
      <c r="BJ5" s="786"/>
      <c r="BK5" s="786"/>
      <c r="BL5" s="787"/>
      <c r="BM5" s="785" t="s">
        <v>19</v>
      </c>
      <c r="BN5" s="786"/>
      <c r="BO5" s="786"/>
      <c r="BP5" s="790"/>
      <c r="BQ5" s="791" t="s">
        <v>20</v>
      </c>
      <c r="BR5" s="786"/>
      <c r="BS5" s="786"/>
      <c r="BT5" s="787"/>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row>
    <row r="6" spans="1:708" s="7" customFormat="1" ht="15" x14ac:dyDescent="0.25">
      <c r="A6" s="10" t="s">
        <v>21</v>
      </c>
      <c r="B6" s="10" t="s">
        <v>22</v>
      </c>
      <c r="C6" s="535" t="s">
        <v>23</v>
      </c>
      <c r="D6" s="535" t="s">
        <v>24</v>
      </c>
      <c r="E6" s="535" t="s">
        <v>25</v>
      </c>
      <c r="F6" s="535" t="s">
        <v>26</v>
      </c>
      <c r="G6" s="535" t="s">
        <v>27</v>
      </c>
      <c r="H6" s="535" t="s">
        <v>28</v>
      </c>
      <c r="I6" s="535" t="s">
        <v>29</v>
      </c>
      <c r="J6" s="789"/>
      <c r="K6" s="789"/>
      <c r="L6" s="535" t="s">
        <v>6</v>
      </c>
      <c r="M6" s="535" t="s">
        <v>30</v>
      </c>
      <c r="N6" s="535" t="s">
        <v>31</v>
      </c>
      <c r="O6" s="535" t="s">
        <v>32</v>
      </c>
      <c r="P6" s="535" t="s">
        <v>33</v>
      </c>
      <c r="Q6" s="535" t="s">
        <v>7</v>
      </c>
      <c r="R6" s="535" t="s">
        <v>34</v>
      </c>
      <c r="S6" s="535" t="s">
        <v>31</v>
      </c>
      <c r="T6" s="535" t="s">
        <v>32</v>
      </c>
      <c r="U6" s="535" t="s">
        <v>35</v>
      </c>
      <c r="V6" s="13" t="s">
        <v>36</v>
      </c>
      <c r="W6" s="13" t="s">
        <v>1471</v>
      </c>
      <c r="X6" s="535" t="s">
        <v>38</v>
      </c>
      <c r="Y6" s="535" t="s">
        <v>39</v>
      </c>
      <c r="Z6" s="535" t="s">
        <v>40</v>
      </c>
      <c r="AA6" s="535" t="s">
        <v>41</v>
      </c>
      <c r="AB6" s="535" t="s">
        <v>42</v>
      </c>
      <c r="AC6" s="535" t="s">
        <v>39</v>
      </c>
      <c r="AD6" s="535" t="s">
        <v>40</v>
      </c>
      <c r="AE6" s="535" t="s">
        <v>41</v>
      </c>
      <c r="AF6" s="535" t="s">
        <v>42</v>
      </c>
      <c r="AG6" s="535" t="s">
        <v>39</v>
      </c>
      <c r="AH6" s="535" t="s">
        <v>40</v>
      </c>
      <c r="AI6" s="535" t="s">
        <v>41</v>
      </c>
      <c r="AJ6" s="535" t="s">
        <v>42</v>
      </c>
      <c r="AK6" s="535" t="s">
        <v>39</v>
      </c>
      <c r="AL6" s="535" t="s">
        <v>40</v>
      </c>
      <c r="AM6" s="535" t="s">
        <v>41</v>
      </c>
      <c r="AN6" s="535" t="s">
        <v>42</v>
      </c>
      <c r="AO6" s="535" t="s">
        <v>39</v>
      </c>
      <c r="AP6" s="535" t="s">
        <v>40</v>
      </c>
      <c r="AQ6" s="535" t="s">
        <v>41</v>
      </c>
      <c r="AR6" s="535" t="s">
        <v>42</v>
      </c>
      <c r="AS6" s="535" t="s">
        <v>39</v>
      </c>
      <c r="AT6" s="535" t="s">
        <v>40</v>
      </c>
      <c r="AU6" s="535" t="s">
        <v>41</v>
      </c>
      <c r="AV6" s="535" t="s">
        <v>42</v>
      </c>
      <c r="AW6" s="535" t="s">
        <v>39</v>
      </c>
      <c r="AX6" s="535" t="s">
        <v>40</v>
      </c>
      <c r="AY6" s="535" t="s">
        <v>41</v>
      </c>
      <c r="AZ6" s="535" t="s">
        <v>42</v>
      </c>
      <c r="BA6" s="535" t="s">
        <v>39</v>
      </c>
      <c r="BB6" s="535" t="s">
        <v>40</v>
      </c>
      <c r="BC6" s="535" t="s">
        <v>41</v>
      </c>
      <c r="BD6" s="535" t="s">
        <v>42</v>
      </c>
      <c r="BE6" s="535" t="s">
        <v>39</v>
      </c>
      <c r="BF6" s="535" t="s">
        <v>40</v>
      </c>
      <c r="BG6" s="535" t="s">
        <v>41</v>
      </c>
      <c r="BH6" s="535" t="s">
        <v>42</v>
      </c>
      <c r="BI6" s="535" t="s">
        <v>39</v>
      </c>
      <c r="BJ6" s="535" t="s">
        <v>40</v>
      </c>
      <c r="BK6" s="535" t="s">
        <v>41</v>
      </c>
      <c r="BL6" s="535" t="s">
        <v>42</v>
      </c>
      <c r="BM6" s="535" t="s">
        <v>39</v>
      </c>
      <c r="BN6" s="535" t="s">
        <v>40</v>
      </c>
      <c r="BO6" s="535" t="s">
        <v>41</v>
      </c>
      <c r="BP6" s="535" t="s">
        <v>42</v>
      </c>
      <c r="BQ6" s="535" t="s">
        <v>39</v>
      </c>
      <c r="BR6" s="535" t="s">
        <v>40</v>
      </c>
      <c r="BS6" s="535" t="s">
        <v>41</v>
      </c>
      <c r="BT6" s="535" t="s">
        <v>42</v>
      </c>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row>
    <row r="7" spans="1:708" ht="70.5" customHeight="1" x14ac:dyDescent="0.25">
      <c r="A7" s="532" t="s">
        <v>43</v>
      </c>
      <c r="B7" s="532" t="s">
        <v>44</v>
      </c>
      <c r="C7" s="532" t="s">
        <v>45</v>
      </c>
      <c r="D7" s="532" t="s">
        <v>46</v>
      </c>
      <c r="E7" s="532" t="s">
        <v>47</v>
      </c>
      <c r="F7" s="532" t="s">
        <v>48</v>
      </c>
      <c r="G7" s="532" t="s">
        <v>49</v>
      </c>
      <c r="H7" s="532" t="s">
        <v>50</v>
      </c>
      <c r="I7" s="532" t="s">
        <v>51</v>
      </c>
      <c r="J7" s="532" t="s">
        <v>52</v>
      </c>
      <c r="K7" s="532" t="s">
        <v>1409</v>
      </c>
      <c r="L7" s="532" t="s">
        <v>1410</v>
      </c>
      <c r="M7" s="532" t="s">
        <v>1411</v>
      </c>
      <c r="N7" s="532" t="s">
        <v>74</v>
      </c>
      <c r="O7" s="532"/>
      <c r="P7" s="402">
        <v>0.75</v>
      </c>
      <c r="Q7" s="605"/>
      <c r="R7" s="605"/>
      <c r="S7" s="605"/>
      <c r="T7" s="605"/>
      <c r="U7" s="605"/>
      <c r="V7" s="532">
        <v>1370580862</v>
      </c>
      <c r="W7" s="720">
        <v>4576358959</v>
      </c>
      <c r="X7" s="532" t="s">
        <v>1412</v>
      </c>
      <c r="Y7" s="402">
        <v>1</v>
      </c>
      <c r="Z7" s="402">
        <v>0.75</v>
      </c>
      <c r="AA7" s="402">
        <f>+Y7/'[15]PAI REGALÍAS'!P7</f>
        <v>1.3333333333333333</v>
      </c>
      <c r="AB7" s="99" t="s">
        <v>1413</v>
      </c>
      <c r="AC7" s="606"/>
      <c r="AD7" s="606"/>
      <c r="AE7" s="606"/>
      <c r="AF7" s="606"/>
      <c r="AG7" s="402">
        <v>1</v>
      </c>
      <c r="AH7" s="402">
        <v>0.75</v>
      </c>
      <c r="AI7" s="402">
        <f>+AG7/'[16]PAI REGALÍAS'!P7</f>
        <v>1.3333333333333333</v>
      </c>
      <c r="AJ7" s="99" t="s">
        <v>1414</v>
      </c>
      <c r="AK7" s="606"/>
      <c r="AL7" s="606"/>
      <c r="AM7" s="606"/>
      <c r="AN7" s="606"/>
      <c r="AO7" s="402">
        <v>1</v>
      </c>
      <c r="AP7" s="402">
        <v>0.75</v>
      </c>
      <c r="AQ7" s="402">
        <f>+AO7/P7</f>
        <v>1.3333333333333333</v>
      </c>
      <c r="AR7" s="99" t="s">
        <v>1415</v>
      </c>
      <c r="AS7" s="606"/>
      <c r="AT7" s="606"/>
      <c r="AU7" s="606"/>
      <c r="AV7" s="606"/>
      <c r="AW7" s="402">
        <v>1</v>
      </c>
      <c r="AX7" s="402">
        <v>0.75</v>
      </c>
      <c r="AY7" s="402">
        <f>+AW7/'[17]PAI REGALÍAS'!P7</f>
        <v>1.3333333333333333</v>
      </c>
      <c r="AZ7" s="99" t="s">
        <v>1416</v>
      </c>
      <c r="BA7" s="606"/>
      <c r="BB7" s="606"/>
      <c r="BC7" s="606"/>
      <c r="BD7" s="606"/>
      <c r="BE7" s="402">
        <v>1</v>
      </c>
      <c r="BF7" s="402">
        <v>0.75</v>
      </c>
      <c r="BG7" s="402">
        <f>+BE7/'[18]PAI REGALÍAS'!P7</f>
        <v>1.3333333333333333</v>
      </c>
      <c r="BH7" s="99" t="s">
        <v>1417</v>
      </c>
      <c r="BI7" s="606"/>
      <c r="BJ7" s="606"/>
      <c r="BK7" s="606"/>
      <c r="BL7" s="606"/>
      <c r="BM7" s="402">
        <v>1</v>
      </c>
      <c r="BN7" s="402">
        <v>0.75</v>
      </c>
      <c r="BO7" s="402">
        <f>+BM7/'[19]PAI REGALÍAS'!P7</f>
        <v>1.3333333333333333</v>
      </c>
      <c r="BP7" s="99" t="s">
        <v>1418</v>
      </c>
      <c r="BQ7" s="606"/>
      <c r="BR7" s="606"/>
      <c r="BS7" s="606"/>
      <c r="BT7" s="606"/>
    </row>
    <row r="8" spans="1:708" ht="70.5" customHeight="1" x14ac:dyDescent="0.25">
      <c r="A8" s="90" t="s">
        <v>43</v>
      </c>
      <c r="B8" s="90" t="s">
        <v>44</v>
      </c>
      <c r="C8" s="90" t="s">
        <v>45</v>
      </c>
      <c r="D8" s="90" t="s">
        <v>46</v>
      </c>
      <c r="E8" s="90" t="s">
        <v>47</v>
      </c>
      <c r="F8" s="90" t="s">
        <v>48</v>
      </c>
      <c r="G8" s="90" t="s">
        <v>49</v>
      </c>
      <c r="H8" s="90" t="s">
        <v>50</v>
      </c>
      <c r="I8" s="90" t="s">
        <v>78</v>
      </c>
      <c r="J8" s="90" t="s">
        <v>52</v>
      </c>
      <c r="K8" s="90" t="s">
        <v>1409</v>
      </c>
      <c r="L8" s="90" t="s">
        <v>1419</v>
      </c>
      <c r="M8" s="90" t="s">
        <v>1420</v>
      </c>
      <c r="N8" s="90" t="s">
        <v>56</v>
      </c>
      <c r="O8" s="90"/>
      <c r="P8" s="607">
        <v>95</v>
      </c>
      <c r="Q8" s="605"/>
      <c r="R8" s="605"/>
      <c r="S8" s="605"/>
      <c r="T8" s="605"/>
      <c r="U8" s="605"/>
      <c r="V8" s="90">
        <v>327272233</v>
      </c>
      <c r="W8" s="1009"/>
      <c r="X8" s="90" t="s">
        <v>1412</v>
      </c>
      <c r="Y8" s="107">
        <v>0</v>
      </c>
      <c r="Z8" s="107">
        <v>0.95</v>
      </c>
      <c r="AA8" s="107">
        <f>+Y8/'[15]PAI REGALÍAS'!P8</f>
        <v>0</v>
      </c>
      <c r="AB8" s="108" t="s">
        <v>1421</v>
      </c>
      <c r="AC8" s="608"/>
      <c r="AD8" s="608"/>
      <c r="AE8" s="608"/>
      <c r="AF8" s="609"/>
      <c r="AG8" s="607">
        <v>0</v>
      </c>
      <c r="AH8" s="607">
        <v>95</v>
      </c>
      <c r="AI8" s="107">
        <f>+AG8/'[16]PAI REGALÍAS'!P8</f>
        <v>0</v>
      </c>
      <c r="AJ8" s="108" t="s">
        <v>1422</v>
      </c>
      <c r="AK8" s="608"/>
      <c r="AL8" s="608"/>
      <c r="AM8" s="608"/>
      <c r="AN8" s="609"/>
      <c r="AO8" s="607">
        <v>1</v>
      </c>
      <c r="AP8" s="607">
        <v>95</v>
      </c>
      <c r="AQ8" s="107">
        <f>+AO8/P8</f>
        <v>1.0526315789473684E-2</v>
      </c>
      <c r="AR8" s="108" t="s">
        <v>1423</v>
      </c>
      <c r="AS8" s="608"/>
      <c r="AT8" s="608"/>
      <c r="AU8" s="608"/>
      <c r="AV8" s="609"/>
      <c r="AW8" s="607">
        <v>17</v>
      </c>
      <c r="AX8" s="607">
        <v>95</v>
      </c>
      <c r="AY8" s="107">
        <f>+AW8/'[17]PAI REGALÍAS'!P8</f>
        <v>0.17894736842105263</v>
      </c>
      <c r="AZ8" s="108" t="s">
        <v>1424</v>
      </c>
      <c r="BA8" s="608"/>
      <c r="BB8" s="608"/>
      <c r="BC8" s="608"/>
      <c r="BD8" s="609"/>
      <c r="BE8" s="607">
        <v>21</v>
      </c>
      <c r="BF8" s="607">
        <v>95</v>
      </c>
      <c r="BG8" s="107">
        <f>+BE8/'[18]PAI REGALÍAS'!P8</f>
        <v>0.22105263157894736</v>
      </c>
      <c r="BH8" s="108" t="s">
        <v>1425</v>
      </c>
      <c r="BI8" s="608"/>
      <c r="BJ8" s="608"/>
      <c r="BK8" s="608"/>
      <c r="BL8" s="609"/>
      <c r="BM8" s="607">
        <v>37</v>
      </c>
      <c r="BN8" s="607">
        <v>95</v>
      </c>
      <c r="BO8" s="107">
        <f>+BM8/'[19]PAI REGALÍAS'!P8</f>
        <v>0.38947368421052631</v>
      </c>
      <c r="BP8" s="108" t="s">
        <v>1426</v>
      </c>
      <c r="BQ8" s="608"/>
      <c r="BR8" s="608"/>
      <c r="BS8" s="608"/>
      <c r="BT8" s="609"/>
    </row>
    <row r="9" spans="1:708" ht="70.5" customHeight="1" x14ac:dyDescent="0.25">
      <c r="A9" s="532" t="s">
        <v>43</v>
      </c>
      <c r="B9" s="532" t="s">
        <v>44</v>
      </c>
      <c r="C9" s="532" t="s">
        <v>45</v>
      </c>
      <c r="D9" s="532" t="s">
        <v>349</v>
      </c>
      <c r="E9" s="532" t="s">
        <v>71</v>
      </c>
      <c r="F9" s="532" t="s">
        <v>48</v>
      </c>
      <c r="G9" s="532" t="s">
        <v>49</v>
      </c>
      <c r="H9" s="532" t="s">
        <v>50</v>
      </c>
      <c r="I9" s="532" t="s">
        <v>78</v>
      </c>
      <c r="J9" s="532" t="s">
        <v>52</v>
      </c>
      <c r="K9" s="532" t="s">
        <v>1409</v>
      </c>
      <c r="L9" s="532" t="s">
        <v>1427</v>
      </c>
      <c r="M9" s="532" t="s">
        <v>1428</v>
      </c>
      <c r="N9" s="532" t="s">
        <v>74</v>
      </c>
      <c r="O9" s="532"/>
      <c r="P9" s="402">
        <v>0.8</v>
      </c>
      <c r="Q9" s="605"/>
      <c r="R9" s="605"/>
      <c r="S9" s="605"/>
      <c r="T9" s="605"/>
      <c r="U9" s="605"/>
      <c r="V9" s="532">
        <v>125309064</v>
      </c>
      <c r="W9" s="1009"/>
      <c r="X9" s="532" t="s">
        <v>1412</v>
      </c>
      <c r="Y9" s="402">
        <v>1</v>
      </c>
      <c r="Z9" s="402">
        <v>0.8</v>
      </c>
      <c r="AA9" s="402">
        <f>+Y9/'[15]PAI REGALÍAS'!P9</f>
        <v>1.25</v>
      </c>
      <c r="AB9" s="99" t="s">
        <v>1429</v>
      </c>
      <c r="AC9" s="606"/>
      <c r="AD9" s="606"/>
      <c r="AE9" s="606"/>
      <c r="AF9" s="606"/>
      <c r="AG9" s="402">
        <v>1.42</v>
      </c>
      <c r="AH9" s="402">
        <v>0.8</v>
      </c>
      <c r="AI9" s="402">
        <f>+AG9/'[16]PAI REGALÍAS'!P9</f>
        <v>1.7749999999999999</v>
      </c>
      <c r="AJ9" s="99" t="s">
        <v>1430</v>
      </c>
      <c r="AK9" s="606"/>
      <c r="AL9" s="606"/>
      <c r="AM9" s="606"/>
      <c r="AN9" s="606"/>
      <c r="AO9" s="402">
        <v>0.66216216216216217</v>
      </c>
      <c r="AP9" s="402">
        <v>0.8</v>
      </c>
      <c r="AQ9" s="402">
        <f t="shared" ref="AQ9:AQ13" si="0">+AO9/P9</f>
        <v>0.82770270270270263</v>
      </c>
      <c r="AR9" s="99" t="s">
        <v>1431</v>
      </c>
      <c r="AS9" s="606"/>
      <c r="AT9" s="606"/>
      <c r="AU9" s="606"/>
      <c r="AV9" s="606"/>
      <c r="AW9" s="402">
        <v>0.67105263157894735</v>
      </c>
      <c r="AX9" s="402">
        <v>0.8</v>
      </c>
      <c r="AY9" s="402">
        <f>+AW9/'[17]PAI REGALÍAS'!P9</f>
        <v>0.83881578947368418</v>
      </c>
      <c r="AZ9" s="99" t="s">
        <v>1432</v>
      </c>
      <c r="BA9" s="606"/>
      <c r="BB9" s="606"/>
      <c r="BC9" s="606"/>
      <c r="BD9" s="606"/>
      <c r="BE9" s="100">
        <v>0.86624203821656054</v>
      </c>
      <c r="BF9" s="402">
        <v>0.8</v>
      </c>
      <c r="BG9" s="402">
        <f>+BE9/'[18]PAI REGALÍAS'!P9</f>
        <v>1.0828025477707006</v>
      </c>
      <c r="BH9" s="99" t="s">
        <v>1433</v>
      </c>
      <c r="BI9" s="606"/>
      <c r="BJ9" s="606"/>
      <c r="BK9" s="606"/>
      <c r="BL9" s="606"/>
      <c r="BM9" s="402">
        <v>0.87550200803212852</v>
      </c>
      <c r="BN9" s="402">
        <v>0.8</v>
      </c>
      <c r="BO9" s="402">
        <f>+BM9/'[19]PAI REGALÍAS'!P9</f>
        <v>1.0943775100401605</v>
      </c>
      <c r="BP9" s="99" t="s">
        <v>1434</v>
      </c>
      <c r="BQ9" s="606"/>
      <c r="BR9" s="606"/>
      <c r="BS9" s="606"/>
      <c r="BT9" s="606"/>
    </row>
    <row r="10" spans="1:708" ht="70.5" customHeight="1" x14ac:dyDescent="0.25">
      <c r="A10" s="90" t="s">
        <v>43</v>
      </c>
      <c r="B10" s="90" t="s">
        <v>44</v>
      </c>
      <c r="C10" s="90" t="s">
        <v>45</v>
      </c>
      <c r="D10" s="90" t="s">
        <v>46</v>
      </c>
      <c r="E10" s="90" t="s">
        <v>47</v>
      </c>
      <c r="F10" s="90" t="s">
        <v>48</v>
      </c>
      <c r="G10" s="90" t="s">
        <v>49</v>
      </c>
      <c r="H10" s="90" t="s">
        <v>50</v>
      </c>
      <c r="I10" s="90" t="s">
        <v>51</v>
      </c>
      <c r="J10" s="90" t="s">
        <v>52</v>
      </c>
      <c r="K10" s="90" t="s">
        <v>1435</v>
      </c>
      <c r="L10" s="90" t="s">
        <v>1410</v>
      </c>
      <c r="M10" s="90" t="s">
        <v>1411</v>
      </c>
      <c r="N10" s="90" t="s">
        <v>74</v>
      </c>
      <c r="O10" s="90"/>
      <c r="P10" s="104">
        <v>0.75</v>
      </c>
      <c r="Q10" s="605"/>
      <c r="R10" s="605"/>
      <c r="S10" s="605"/>
      <c r="T10" s="605"/>
      <c r="U10" s="605"/>
      <c r="V10" s="90">
        <v>980814657</v>
      </c>
      <c r="W10" s="1009"/>
      <c r="X10" s="90" t="s">
        <v>1412</v>
      </c>
      <c r="Y10" s="107">
        <v>1</v>
      </c>
      <c r="Z10" s="107">
        <v>0.75</v>
      </c>
      <c r="AA10" s="107">
        <f>+Y10/'[15]PAI REGALÍAS'!P10</f>
        <v>1.3333333333333333</v>
      </c>
      <c r="AB10" s="108" t="s">
        <v>1413</v>
      </c>
      <c r="AC10" s="608"/>
      <c r="AD10" s="608"/>
      <c r="AE10" s="608"/>
      <c r="AF10" s="609"/>
      <c r="AG10" s="107">
        <v>1</v>
      </c>
      <c r="AH10" s="107">
        <v>0.75</v>
      </c>
      <c r="AI10" s="107">
        <f>+AG10/'[16]PAI REGALÍAS'!P10</f>
        <v>1.3333333333333333</v>
      </c>
      <c r="AJ10" s="108" t="s">
        <v>1436</v>
      </c>
      <c r="AK10" s="608"/>
      <c r="AL10" s="608"/>
      <c r="AM10" s="608"/>
      <c r="AN10" s="609"/>
      <c r="AO10" s="107">
        <v>1</v>
      </c>
      <c r="AP10" s="107">
        <v>0.75</v>
      </c>
      <c r="AQ10" s="107">
        <f t="shared" si="0"/>
        <v>1.3333333333333333</v>
      </c>
      <c r="AR10" s="108" t="s">
        <v>1437</v>
      </c>
      <c r="AS10" s="608"/>
      <c r="AT10" s="608"/>
      <c r="AU10" s="608"/>
      <c r="AV10" s="609"/>
      <c r="AW10" s="107">
        <v>1</v>
      </c>
      <c r="AX10" s="107">
        <v>0.75</v>
      </c>
      <c r="AY10" s="107">
        <f>+AW10/'[17]PAI REGALÍAS'!P10</f>
        <v>1.3333333333333333</v>
      </c>
      <c r="AZ10" s="108" t="s">
        <v>1438</v>
      </c>
      <c r="BA10" s="608"/>
      <c r="BB10" s="608"/>
      <c r="BC10" s="608"/>
      <c r="BD10" s="609"/>
      <c r="BE10" s="107">
        <v>1</v>
      </c>
      <c r="BF10" s="107">
        <v>0.75</v>
      </c>
      <c r="BG10" s="107">
        <f>+BE10/'[18]PAI REGALÍAS'!P10</f>
        <v>1.3333333333333333</v>
      </c>
      <c r="BH10" s="108" t="s">
        <v>1439</v>
      </c>
      <c r="BI10" s="608"/>
      <c r="BJ10" s="608"/>
      <c r="BK10" s="608"/>
      <c r="BL10" s="609"/>
      <c r="BM10" s="107">
        <v>1</v>
      </c>
      <c r="BN10" s="107">
        <v>0.75</v>
      </c>
      <c r="BO10" s="107">
        <f>+BM10/'[19]PAI REGALÍAS'!P10</f>
        <v>1.3333333333333333</v>
      </c>
      <c r="BP10" s="108" t="s">
        <v>1440</v>
      </c>
      <c r="BQ10" s="608"/>
      <c r="BR10" s="608"/>
      <c r="BS10" s="608"/>
      <c r="BT10" s="609"/>
    </row>
    <row r="11" spans="1:708" ht="70.5" customHeight="1" x14ac:dyDescent="0.25">
      <c r="A11" s="532" t="s">
        <v>43</v>
      </c>
      <c r="B11" s="532" t="s">
        <v>44</v>
      </c>
      <c r="C11" s="532" t="s">
        <v>45</v>
      </c>
      <c r="D11" s="532" t="s">
        <v>46</v>
      </c>
      <c r="E11" s="532" t="s">
        <v>47</v>
      </c>
      <c r="F11" s="532" t="s">
        <v>48</v>
      </c>
      <c r="G11" s="532" t="s">
        <v>49</v>
      </c>
      <c r="H11" s="532" t="s">
        <v>50</v>
      </c>
      <c r="I11" s="532" t="s">
        <v>78</v>
      </c>
      <c r="J11" s="532" t="s">
        <v>52</v>
      </c>
      <c r="K11" s="532" t="s">
        <v>1435</v>
      </c>
      <c r="L11" s="532" t="s">
        <v>1419</v>
      </c>
      <c r="M11" s="532" t="s">
        <v>1420</v>
      </c>
      <c r="N11" s="532" t="s">
        <v>56</v>
      </c>
      <c r="O11" s="610"/>
      <c r="P11" s="611">
        <v>95</v>
      </c>
      <c r="Q11" s="605"/>
      <c r="R11" s="605"/>
      <c r="S11" s="605"/>
      <c r="T11" s="605"/>
      <c r="U11" s="605"/>
      <c r="V11" s="532">
        <v>48879865</v>
      </c>
      <c r="W11" s="1009"/>
      <c r="X11" s="532" t="s">
        <v>1412</v>
      </c>
      <c r="Y11" s="402">
        <v>0</v>
      </c>
      <c r="Z11" s="402">
        <v>0.95</v>
      </c>
      <c r="AA11" s="402">
        <f>+Y11/'[15]PAI REGALÍAS'!P11</f>
        <v>0</v>
      </c>
      <c r="AB11" s="99" t="s">
        <v>1441</v>
      </c>
      <c r="AC11" s="606"/>
      <c r="AD11" s="606"/>
      <c r="AE11" s="606"/>
      <c r="AF11" s="606"/>
      <c r="AG11" s="611">
        <v>3</v>
      </c>
      <c r="AH11" s="611">
        <v>95</v>
      </c>
      <c r="AI11" s="402">
        <f>+AG11/'[16]PAI REGALÍAS'!P11</f>
        <v>3.1578947368421054E-2</v>
      </c>
      <c r="AJ11" s="99" t="s">
        <v>1442</v>
      </c>
      <c r="AK11" s="606"/>
      <c r="AL11" s="606"/>
      <c r="AM11" s="606"/>
      <c r="AN11" s="606"/>
      <c r="AO11" s="611">
        <v>3</v>
      </c>
      <c r="AP11" s="611">
        <v>95</v>
      </c>
      <c r="AQ11" s="402">
        <f t="shared" si="0"/>
        <v>3.1578947368421054E-2</v>
      </c>
      <c r="AR11" s="99" t="s">
        <v>1443</v>
      </c>
      <c r="AS11" s="606"/>
      <c r="AT11" s="606"/>
      <c r="AU11" s="606"/>
      <c r="AV11" s="606"/>
      <c r="AW11" s="611">
        <v>1</v>
      </c>
      <c r="AX11" s="611">
        <v>95</v>
      </c>
      <c r="AY11" s="402">
        <f>+AW11/'[17]PAI REGALÍAS'!P11</f>
        <v>1.0526315789473684E-2</v>
      </c>
      <c r="AZ11" s="99" t="s">
        <v>1444</v>
      </c>
      <c r="BA11" s="606"/>
      <c r="BB11" s="606"/>
      <c r="BC11" s="606"/>
      <c r="BD11" s="606"/>
      <c r="BE11" s="611">
        <v>3</v>
      </c>
      <c r="BF11" s="611">
        <v>95</v>
      </c>
      <c r="BG11" s="402">
        <f>+BE11/'[18]PAI REGALÍAS'!P11</f>
        <v>3.1578947368421054E-2</v>
      </c>
      <c r="BH11" s="99" t="s">
        <v>1445</v>
      </c>
      <c r="BI11" s="606"/>
      <c r="BJ11" s="606"/>
      <c r="BK11" s="606"/>
      <c r="BL11" s="606"/>
      <c r="BM11" s="611">
        <v>16</v>
      </c>
      <c r="BN11" s="611">
        <v>95</v>
      </c>
      <c r="BO11" s="402">
        <f>+BM11/'[19]PAI REGALÍAS'!P11</f>
        <v>0.16842105263157894</v>
      </c>
      <c r="BP11" s="99" t="s">
        <v>1446</v>
      </c>
      <c r="BQ11" s="606"/>
      <c r="BR11" s="606"/>
      <c r="BS11" s="606"/>
      <c r="BT11" s="606"/>
    </row>
    <row r="12" spans="1:708" ht="70.5" customHeight="1" x14ac:dyDescent="0.25">
      <c r="A12" s="90" t="s">
        <v>43</v>
      </c>
      <c r="B12" s="90" t="s">
        <v>44</v>
      </c>
      <c r="C12" s="90" t="s">
        <v>45</v>
      </c>
      <c r="D12" s="90" t="s">
        <v>349</v>
      </c>
      <c r="E12" s="90" t="s">
        <v>71</v>
      </c>
      <c r="F12" s="90" t="s">
        <v>48</v>
      </c>
      <c r="G12" s="90" t="s">
        <v>49</v>
      </c>
      <c r="H12" s="90" t="s">
        <v>50</v>
      </c>
      <c r="I12" s="90" t="s">
        <v>78</v>
      </c>
      <c r="J12" s="90" t="s">
        <v>52</v>
      </c>
      <c r="K12" s="90" t="s">
        <v>1435</v>
      </c>
      <c r="L12" s="90" t="s">
        <v>1427</v>
      </c>
      <c r="M12" s="90" t="s">
        <v>1428</v>
      </c>
      <c r="N12" s="90" t="s">
        <v>74</v>
      </c>
      <c r="O12" s="90"/>
      <c r="P12" s="104">
        <v>0.8</v>
      </c>
      <c r="Q12" s="605"/>
      <c r="R12" s="605"/>
      <c r="S12" s="605"/>
      <c r="T12" s="605"/>
      <c r="U12" s="605"/>
      <c r="V12" s="90">
        <v>165761195</v>
      </c>
      <c r="W12" s="1009"/>
      <c r="X12" s="90" t="s">
        <v>1412</v>
      </c>
      <c r="Y12" s="107">
        <v>1</v>
      </c>
      <c r="Z12" s="107">
        <v>0.8</v>
      </c>
      <c r="AA12" s="107">
        <f>+Y12/'[15]PAI REGALÍAS'!P12</f>
        <v>1.25</v>
      </c>
      <c r="AB12" s="108" t="s">
        <v>1447</v>
      </c>
      <c r="AC12" s="608"/>
      <c r="AD12" s="608"/>
      <c r="AE12" s="608"/>
      <c r="AF12" s="609"/>
      <c r="AG12" s="107">
        <v>1.21</v>
      </c>
      <c r="AH12" s="107">
        <v>0.8</v>
      </c>
      <c r="AI12" s="107">
        <f>+AG12/'[16]PAI REGALÍAS'!P12</f>
        <v>1.5125</v>
      </c>
      <c r="AJ12" s="108" t="s">
        <v>1448</v>
      </c>
      <c r="AK12" s="608"/>
      <c r="AL12" s="608"/>
      <c r="AM12" s="608"/>
      <c r="AN12" s="609"/>
      <c r="AO12" s="107">
        <v>0.875</v>
      </c>
      <c r="AP12" s="107">
        <v>0.8</v>
      </c>
      <c r="AQ12" s="107">
        <f t="shared" si="0"/>
        <v>1.09375</v>
      </c>
      <c r="AR12" s="108" t="s">
        <v>1449</v>
      </c>
      <c r="AS12" s="608"/>
      <c r="AT12" s="608"/>
      <c r="AU12" s="608"/>
      <c r="AV12" s="609"/>
      <c r="AW12" s="107">
        <v>0.88235294117647056</v>
      </c>
      <c r="AX12" s="107">
        <v>0.8</v>
      </c>
      <c r="AY12" s="107">
        <f>+AW12/'[17]PAI REGALÍAS'!P12</f>
        <v>1.1029411764705881</v>
      </c>
      <c r="AZ12" s="108" t="s">
        <v>1450</v>
      </c>
      <c r="BA12" s="608"/>
      <c r="BB12" s="608"/>
      <c r="BC12" s="608"/>
      <c r="BD12" s="609"/>
      <c r="BE12" s="106">
        <v>0.86301369863013699</v>
      </c>
      <c r="BF12" s="107">
        <v>0.8</v>
      </c>
      <c r="BG12" s="107">
        <f>+BE12/'[18]PAI REGALÍAS'!P12</f>
        <v>1.0787671232876712</v>
      </c>
      <c r="BH12" s="108" t="s">
        <v>1451</v>
      </c>
      <c r="BI12" s="608"/>
      <c r="BJ12" s="608"/>
      <c r="BK12" s="608"/>
      <c r="BL12" s="609"/>
      <c r="BM12" s="107">
        <v>0.86821705426356588</v>
      </c>
      <c r="BN12" s="107">
        <v>0.8</v>
      </c>
      <c r="BO12" s="107">
        <f>+BM12/'[19]PAI REGALÍAS'!P12</f>
        <v>1.0852713178294573</v>
      </c>
      <c r="BP12" s="108" t="s">
        <v>1452</v>
      </c>
      <c r="BQ12" s="608"/>
      <c r="BR12" s="608"/>
      <c r="BS12" s="608"/>
      <c r="BT12" s="609"/>
    </row>
    <row r="13" spans="1:708" ht="89.25" customHeight="1" x14ac:dyDescent="0.25">
      <c r="A13" s="532" t="s">
        <v>43</v>
      </c>
      <c r="B13" s="532" t="s">
        <v>44</v>
      </c>
      <c r="C13" s="532" t="s">
        <v>45</v>
      </c>
      <c r="D13" s="532" t="s">
        <v>46</v>
      </c>
      <c r="E13" s="532" t="s">
        <v>47</v>
      </c>
      <c r="F13" s="532" t="s">
        <v>48</v>
      </c>
      <c r="G13" s="532" t="s">
        <v>49</v>
      </c>
      <c r="H13" s="532" t="s">
        <v>50</v>
      </c>
      <c r="I13" s="532" t="s">
        <v>51</v>
      </c>
      <c r="J13" s="532" t="s">
        <v>52</v>
      </c>
      <c r="K13" s="532" t="s">
        <v>1453</v>
      </c>
      <c r="L13" s="532" t="s">
        <v>328</v>
      </c>
      <c r="M13" s="532" t="s">
        <v>329</v>
      </c>
      <c r="N13" s="532" t="s">
        <v>74</v>
      </c>
      <c r="O13" s="532"/>
      <c r="P13" s="402">
        <v>0.9</v>
      </c>
      <c r="Q13" s="605"/>
      <c r="R13" s="605"/>
      <c r="S13" s="605"/>
      <c r="T13" s="605"/>
      <c r="U13" s="605"/>
      <c r="V13" s="532">
        <v>360808794</v>
      </c>
      <c r="W13" s="1009"/>
      <c r="X13" s="532" t="s">
        <v>1412</v>
      </c>
      <c r="Y13" s="100">
        <v>1</v>
      </c>
      <c r="Z13" s="402">
        <v>0.9</v>
      </c>
      <c r="AA13" s="402">
        <f>+Y13/'[15]PAI REGALÍAS'!P13</f>
        <v>1.1111111111111112</v>
      </c>
      <c r="AB13" s="99" t="s">
        <v>1454</v>
      </c>
      <c r="AC13" s="606"/>
      <c r="AD13" s="606"/>
      <c r="AE13" s="606"/>
      <c r="AF13" s="606"/>
      <c r="AG13" s="100">
        <v>1</v>
      </c>
      <c r="AH13" s="402">
        <v>0.9</v>
      </c>
      <c r="AI13" s="402">
        <f>+AG13/'[16]PAI REGALÍAS'!P13</f>
        <v>1.1111111111111112</v>
      </c>
      <c r="AJ13" s="99" t="s">
        <v>1455</v>
      </c>
      <c r="AK13" s="606"/>
      <c r="AL13" s="606"/>
      <c r="AM13" s="606"/>
      <c r="AN13" s="606"/>
      <c r="AO13" s="100">
        <v>1</v>
      </c>
      <c r="AP13" s="402">
        <v>0.9</v>
      </c>
      <c r="AQ13" s="402">
        <f t="shared" si="0"/>
        <v>1.1111111111111112</v>
      </c>
      <c r="AR13" s="99" t="s">
        <v>1456</v>
      </c>
      <c r="AS13" s="606"/>
      <c r="AT13" s="606"/>
      <c r="AU13" s="606"/>
      <c r="AV13" s="606"/>
      <c r="AW13" s="100">
        <v>1</v>
      </c>
      <c r="AX13" s="402">
        <v>0.9</v>
      </c>
      <c r="AY13" s="402">
        <f>+AW13/'[17]PAI REGALÍAS'!P13</f>
        <v>1.1111111111111112</v>
      </c>
      <c r="AZ13" s="99" t="s">
        <v>1457</v>
      </c>
      <c r="BA13" s="606"/>
      <c r="BB13" s="606"/>
      <c r="BC13" s="606"/>
      <c r="BD13" s="606"/>
      <c r="BE13" s="100">
        <v>1</v>
      </c>
      <c r="BF13" s="402">
        <v>0.9</v>
      </c>
      <c r="BG13" s="402">
        <f>+BE13/'[18]PAI REGALÍAS'!P13</f>
        <v>1.1111111111111112</v>
      </c>
      <c r="BH13" s="99" t="s">
        <v>1458</v>
      </c>
      <c r="BI13" s="606"/>
      <c r="BJ13" s="606"/>
      <c r="BK13" s="606"/>
      <c r="BL13" s="606"/>
      <c r="BM13" s="100">
        <v>1</v>
      </c>
      <c r="BN13" s="402">
        <v>0.9</v>
      </c>
      <c r="BO13" s="402">
        <f>+BM13/'[19]PAI REGALÍAS'!P13</f>
        <v>1.1111111111111112</v>
      </c>
      <c r="BP13" s="99" t="s">
        <v>1459</v>
      </c>
      <c r="BQ13" s="606"/>
      <c r="BR13" s="606"/>
      <c r="BS13" s="606"/>
      <c r="BT13" s="606"/>
    </row>
    <row r="14" spans="1:708" ht="87" customHeight="1" x14ac:dyDescent="0.25">
      <c r="A14" s="90" t="s">
        <v>43</v>
      </c>
      <c r="B14" s="90" t="s">
        <v>44</v>
      </c>
      <c r="C14" s="90" t="s">
        <v>45</v>
      </c>
      <c r="D14" s="90" t="s">
        <v>46</v>
      </c>
      <c r="E14" s="90" t="s">
        <v>71</v>
      </c>
      <c r="F14" s="90" t="s">
        <v>48</v>
      </c>
      <c r="G14" s="90" t="s">
        <v>49</v>
      </c>
      <c r="H14" s="90" t="s">
        <v>50</v>
      </c>
      <c r="I14" s="90" t="s">
        <v>78</v>
      </c>
      <c r="J14" s="90" t="s">
        <v>52</v>
      </c>
      <c r="K14" s="90" t="s">
        <v>1460</v>
      </c>
      <c r="L14" s="90" t="s">
        <v>1461</v>
      </c>
      <c r="M14" s="90" t="s">
        <v>1462</v>
      </c>
      <c r="N14" s="90" t="s">
        <v>74</v>
      </c>
      <c r="O14" s="90"/>
      <c r="P14" s="104">
        <v>0.55000000000000004</v>
      </c>
      <c r="Q14" s="605"/>
      <c r="R14" s="605"/>
      <c r="S14" s="605"/>
      <c r="T14" s="605"/>
      <c r="U14" s="605"/>
      <c r="V14" s="90">
        <v>852240076</v>
      </c>
      <c r="W14" s="1009"/>
      <c r="X14" s="90" t="s">
        <v>1412</v>
      </c>
      <c r="Y14" s="612">
        <f>26/470</f>
        <v>5.5319148936170209E-2</v>
      </c>
      <c r="Z14" s="107">
        <v>0.55000000000000004</v>
      </c>
      <c r="AA14" s="107">
        <f>+Y14/'[15]PAI REGALÍAS'!P14</f>
        <v>0.10058027079303673</v>
      </c>
      <c r="AB14" s="108" t="s">
        <v>1463</v>
      </c>
      <c r="AC14" s="608"/>
      <c r="AD14" s="608"/>
      <c r="AE14" s="608"/>
      <c r="AF14" s="609"/>
      <c r="AG14" s="612">
        <f>69/747</f>
        <v>9.2369477911646583E-2</v>
      </c>
      <c r="AH14" s="107">
        <v>0.55000000000000004</v>
      </c>
      <c r="AI14" s="107">
        <f>+AG14/'[16]PAI REGALÍAS'!P14</f>
        <v>0.16794450529390287</v>
      </c>
      <c r="AJ14" s="108" t="s">
        <v>1464</v>
      </c>
      <c r="AK14" s="608"/>
      <c r="AL14" s="608"/>
      <c r="AM14" s="608"/>
      <c r="AN14" s="609"/>
      <c r="AO14" s="612">
        <f>128/747</f>
        <v>0.17135207496653279</v>
      </c>
      <c r="AP14" s="107">
        <v>0.55000000000000004</v>
      </c>
      <c r="AQ14" s="107">
        <f>+AO14/P14</f>
        <v>0.31154922721187778</v>
      </c>
      <c r="AR14" s="108" t="s">
        <v>1465</v>
      </c>
      <c r="AS14" s="608"/>
      <c r="AT14" s="608"/>
      <c r="AU14" s="608"/>
      <c r="AV14" s="609"/>
      <c r="AW14" s="612">
        <f>255/747</f>
        <v>0.34136546184738958</v>
      </c>
      <c r="AX14" s="107">
        <v>0.55000000000000004</v>
      </c>
      <c r="AY14" s="107">
        <f>+AW14/'[17]PAI REGALÍAS'!P14</f>
        <v>0.62066447608616282</v>
      </c>
      <c r="AZ14" s="108" t="s">
        <v>1466</v>
      </c>
      <c r="BA14" s="608"/>
      <c r="BB14" s="608"/>
      <c r="BC14" s="608"/>
      <c r="BD14" s="609"/>
      <c r="BE14" s="612">
        <f>340/747</f>
        <v>0.45515394912985274</v>
      </c>
      <c r="BF14" s="107">
        <v>0.55000000000000004</v>
      </c>
      <c r="BG14" s="107">
        <f>+BE14/'[18]PAI REGALÍAS'!P14</f>
        <v>0.82755263478155039</v>
      </c>
      <c r="BH14" s="108" t="s">
        <v>1467</v>
      </c>
      <c r="BI14" s="608"/>
      <c r="BJ14" s="608"/>
      <c r="BK14" s="608"/>
      <c r="BL14" s="609"/>
      <c r="BM14" s="612">
        <f>361/747</f>
        <v>0.48326639892904955</v>
      </c>
      <c r="BN14" s="107">
        <v>0.55000000000000004</v>
      </c>
      <c r="BO14" s="107">
        <f>+BM14/'[19]PAI REGALÍAS'!P14</f>
        <v>0.87866617987099915</v>
      </c>
      <c r="BP14" s="108" t="s">
        <v>1468</v>
      </c>
      <c r="BQ14" s="608"/>
      <c r="BR14" s="608"/>
      <c r="BS14" s="608"/>
      <c r="BT14" s="609"/>
    </row>
    <row r="15" spans="1:708" s="21" customFormat="1" ht="70.5" customHeight="1" x14ac:dyDescent="0.25">
      <c r="A15" s="52"/>
      <c r="B15" s="52"/>
      <c r="C15" s="52"/>
      <c r="D15" s="52"/>
      <c r="E15" s="52"/>
      <c r="F15" s="52"/>
      <c r="G15" s="52"/>
      <c r="H15" s="52"/>
      <c r="I15" s="52"/>
      <c r="J15" s="52"/>
      <c r="K15" s="52"/>
      <c r="L15" s="52"/>
      <c r="M15" s="52"/>
      <c r="N15" s="52"/>
      <c r="O15" s="52"/>
      <c r="P15" s="53"/>
      <c r="Q15" s="52"/>
      <c r="R15" s="52"/>
      <c r="S15" s="52"/>
      <c r="T15" s="52"/>
      <c r="U15" s="52"/>
      <c r="V15" s="89"/>
      <c r="W15" s="89"/>
      <c r="X15" s="52"/>
      <c r="Y15" s="657" t="s">
        <v>99</v>
      </c>
      <c r="Z15" s="657"/>
      <c r="AA15" s="55">
        <f>AVERAGE(AA7:AA14)</f>
        <v>0.7972947560713517</v>
      </c>
      <c r="AB15" s="56"/>
      <c r="AC15" s="657" t="s">
        <v>100</v>
      </c>
      <c r="AD15" s="657"/>
      <c r="AE15" s="55" t="s">
        <v>590</v>
      </c>
      <c r="AF15" s="52"/>
      <c r="AG15" s="657" t="s">
        <v>99</v>
      </c>
      <c r="AH15" s="657"/>
      <c r="AI15" s="55">
        <f>AVERAGE(AI7:AI14)</f>
        <v>0.90810015380501263</v>
      </c>
      <c r="AJ15" s="56"/>
      <c r="AK15" s="657" t="s">
        <v>100</v>
      </c>
      <c r="AL15" s="657"/>
      <c r="AM15" s="55" t="s">
        <v>590</v>
      </c>
      <c r="AN15" s="52"/>
      <c r="AO15" s="657" t="s">
        <v>99</v>
      </c>
      <c r="AP15" s="657"/>
      <c r="AQ15" s="55">
        <f>AVERAGE(AQ7:AQ14)</f>
        <v>0.75661062135628165</v>
      </c>
      <c r="AR15" s="56"/>
      <c r="AS15" s="657" t="s">
        <v>100</v>
      </c>
      <c r="AT15" s="657"/>
      <c r="AU15" s="55" t="s">
        <v>590</v>
      </c>
      <c r="AV15" s="52"/>
      <c r="AW15" s="657" t="s">
        <v>99</v>
      </c>
      <c r="AX15" s="657"/>
      <c r="AY15" s="55">
        <f>AVERAGE(AY7:AY14)</f>
        <v>0.81620911300234245</v>
      </c>
      <c r="AZ15" s="56"/>
      <c r="BA15" s="657" t="s">
        <v>100</v>
      </c>
      <c r="BB15" s="657"/>
      <c r="BC15" s="55" t="s">
        <v>590</v>
      </c>
      <c r="BD15" s="52"/>
      <c r="BE15" s="657" t="s">
        <v>99</v>
      </c>
      <c r="BF15" s="657"/>
      <c r="BG15" s="55">
        <f>AVERAGE(BG7:BG14)</f>
        <v>0.87744145782063354</v>
      </c>
      <c r="BH15" s="56"/>
      <c r="BI15" s="657" t="s">
        <v>100</v>
      </c>
      <c r="BJ15" s="657"/>
      <c r="BK15" s="55" t="s">
        <v>590</v>
      </c>
      <c r="BL15" s="52"/>
      <c r="BM15" s="657" t="s">
        <v>99</v>
      </c>
      <c r="BN15" s="657"/>
      <c r="BO15" s="55">
        <f>AVERAGE(BO7:BO14)</f>
        <v>0.92424844029506237</v>
      </c>
      <c r="BP15" s="56"/>
      <c r="BQ15" s="657" t="s">
        <v>100</v>
      </c>
      <c r="BR15" s="657"/>
      <c r="BS15" s="55" t="s">
        <v>590</v>
      </c>
      <c r="BT15" s="52"/>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row>
    <row r="16" spans="1:708" ht="22.5" customHeight="1" x14ac:dyDescent="0.25">
      <c r="A16" s="128"/>
      <c r="B16" s="128"/>
      <c r="C16" s="128"/>
      <c r="D16" s="128"/>
      <c r="E16" s="128"/>
      <c r="F16" s="128"/>
      <c r="G16" s="128"/>
      <c r="H16" s="128"/>
      <c r="I16" s="128"/>
      <c r="J16" s="128"/>
      <c r="K16" s="128"/>
      <c r="L16" s="128"/>
      <c r="M16" s="128"/>
      <c r="N16" s="128"/>
      <c r="O16" s="128"/>
      <c r="P16" s="128"/>
      <c r="Q16" s="128"/>
      <c r="R16" s="128"/>
      <c r="S16" s="128"/>
      <c r="T16" s="128"/>
      <c r="U16" s="128"/>
      <c r="V16" s="130"/>
      <c r="W16" s="130"/>
      <c r="X16" s="128"/>
      <c r="Y16" s="128"/>
      <c r="Z16" s="128"/>
      <c r="AA16" s="128"/>
      <c r="AB16" s="128"/>
      <c r="AC16" s="128"/>
      <c r="AD16" s="128"/>
      <c r="AE16" s="128"/>
      <c r="AF16" s="128"/>
      <c r="AG16" s="128"/>
      <c r="AH16" s="128"/>
      <c r="AI16" s="128"/>
      <c r="AJ16" s="128"/>
      <c r="AK16" s="128"/>
      <c r="AL16" s="128"/>
      <c r="AM16" s="128"/>
      <c r="AN16" s="128"/>
      <c r="AO16" s="128"/>
      <c r="AP16" s="128"/>
      <c r="AQ16" s="128"/>
      <c r="AR16" s="128"/>
      <c r="AS16" s="128"/>
      <c r="AT16" s="128"/>
      <c r="AU16" s="128"/>
      <c r="AV16" s="128"/>
      <c r="AW16" s="129"/>
      <c r="AX16" s="129"/>
      <c r="AY16" s="129"/>
      <c r="AZ16" s="128"/>
      <c r="BA16" s="128"/>
      <c r="BB16" s="128"/>
      <c r="BC16" s="128"/>
      <c r="BD16" s="128"/>
      <c r="BE16" s="129"/>
      <c r="BF16" s="129"/>
      <c r="BG16" s="129"/>
      <c r="BH16" s="128"/>
      <c r="BI16" s="128"/>
      <c r="BJ16" s="128"/>
      <c r="BK16" s="128"/>
      <c r="BL16" s="128"/>
      <c r="BM16" s="129"/>
      <c r="BN16" s="129"/>
      <c r="BO16" s="129"/>
      <c r="BP16" s="128"/>
      <c r="BQ16" s="128"/>
      <c r="BR16" s="128"/>
      <c r="BS16" s="128"/>
      <c r="BT16" s="128"/>
    </row>
    <row r="17" spans="1:72" ht="22.5" customHeight="1" x14ac:dyDescent="0.25">
      <c r="A17" s="128"/>
      <c r="B17" s="128"/>
      <c r="C17" s="128"/>
      <c r="D17" s="128"/>
      <c r="E17" s="128"/>
      <c r="F17" s="128"/>
      <c r="G17" s="128"/>
      <c r="H17" s="128"/>
      <c r="I17" s="128"/>
      <c r="J17" s="128"/>
      <c r="K17" s="128"/>
      <c r="L17" s="128"/>
      <c r="M17" s="128"/>
      <c r="N17" s="128"/>
      <c r="O17" s="128"/>
      <c r="P17" s="128"/>
      <c r="Q17" s="128"/>
      <c r="R17" s="128"/>
      <c r="S17" s="128"/>
      <c r="T17" s="128"/>
      <c r="U17" s="128"/>
      <c r="V17" s="130"/>
      <c r="W17" s="130"/>
      <c r="X17" s="128"/>
      <c r="Y17" s="128"/>
      <c r="Z17" s="128"/>
      <c r="AA17" s="128"/>
      <c r="AB17" s="128"/>
      <c r="AC17" s="128"/>
      <c r="AD17" s="128"/>
      <c r="AE17" s="128"/>
      <c r="AF17" s="128"/>
      <c r="AG17" s="128"/>
      <c r="AH17" s="128"/>
      <c r="AI17" s="128"/>
      <c r="AJ17" s="128"/>
      <c r="AK17" s="128"/>
      <c r="AL17" s="128"/>
      <c r="AM17" s="128"/>
      <c r="AN17" s="128"/>
      <c r="AO17" s="128"/>
      <c r="AP17" s="128"/>
      <c r="AQ17" s="128"/>
      <c r="AR17" s="128"/>
      <c r="AS17" s="128"/>
      <c r="AT17" s="128"/>
      <c r="AU17" s="128"/>
      <c r="AV17" s="128"/>
      <c r="AW17" s="129"/>
      <c r="AX17" s="129"/>
      <c r="AY17" s="129"/>
      <c r="AZ17" s="128"/>
      <c r="BA17" s="128"/>
      <c r="BB17" s="128"/>
      <c r="BC17" s="128"/>
      <c r="BD17" s="128"/>
      <c r="BE17" s="129"/>
      <c r="BF17" s="129"/>
      <c r="BG17" s="129"/>
      <c r="BH17" s="128"/>
      <c r="BI17" s="128"/>
      <c r="BJ17" s="128"/>
      <c r="BK17" s="128"/>
      <c r="BL17" s="128"/>
      <c r="BM17" s="129"/>
      <c r="BN17" s="129"/>
      <c r="BO17" s="129"/>
      <c r="BP17" s="20"/>
      <c r="BQ17" s="128"/>
      <c r="BR17" s="128"/>
      <c r="BS17" s="128"/>
      <c r="BT17" s="128"/>
    </row>
    <row r="18" spans="1:72" s="20" customFormat="1" ht="22.5" customHeight="1" x14ac:dyDescent="0.25">
      <c r="V18" s="133"/>
      <c r="W18" s="133"/>
      <c r="AW18" s="1"/>
      <c r="AX18" s="1"/>
      <c r="AY18" s="1"/>
      <c r="BE18" s="1"/>
      <c r="BF18" s="1"/>
      <c r="BG18" s="1"/>
      <c r="BM18" s="1"/>
      <c r="BN18" s="1"/>
      <c r="BO18" s="1"/>
    </row>
    <row r="19" spans="1:72" s="20" customFormat="1" ht="22.5" customHeight="1" x14ac:dyDescent="0.25">
      <c r="V19" s="133"/>
      <c r="W19" s="133"/>
      <c r="AW19" s="1"/>
      <c r="AX19" s="1"/>
      <c r="AY19" s="1"/>
      <c r="BE19" s="1"/>
      <c r="BF19" s="1"/>
      <c r="BG19" s="1"/>
      <c r="BM19" s="1"/>
      <c r="BN19" s="1"/>
      <c r="BO19" s="1"/>
    </row>
    <row r="20" spans="1:72" s="20" customFormat="1" ht="22.5" customHeight="1" x14ac:dyDescent="0.25">
      <c r="V20" s="133"/>
      <c r="W20" s="133"/>
      <c r="AW20" s="1"/>
      <c r="AX20" s="1"/>
      <c r="AY20" s="1"/>
      <c r="BE20" s="1"/>
      <c r="BF20" s="1"/>
      <c r="BG20" s="1"/>
      <c r="BM20" s="1"/>
      <c r="BN20" s="1"/>
      <c r="BO20" s="1"/>
    </row>
    <row r="21" spans="1:72" s="20" customFormat="1" ht="22.5" customHeight="1" x14ac:dyDescent="0.25">
      <c r="V21" s="133"/>
      <c r="W21" s="133"/>
      <c r="AW21" s="1"/>
      <c r="AX21" s="1"/>
      <c r="AY21" s="1"/>
      <c r="BE21" s="1"/>
      <c r="BF21" s="1"/>
      <c r="BG21" s="1"/>
      <c r="BM21" s="1"/>
      <c r="BN21" s="1"/>
      <c r="BO21" s="1"/>
    </row>
    <row r="22" spans="1:72" s="20" customFormat="1" ht="22.5" customHeight="1" x14ac:dyDescent="0.25">
      <c r="V22" s="133"/>
      <c r="W22" s="133"/>
      <c r="AW22" s="1"/>
      <c r="AX22" s="1"/>
      <c r="AY22" s="1"/>
      <c r="BE22" s="1"/>
      <c r="BF22" s="1"/>
      <c r="BG22" s="1"/>
      <c r="BM22" s="1"/>
      <c r="BN22" s="1"/>
      <c r="BO22" s="1"/>
    </row>
    <row r="23" spans="1:72" s="20" customFormat="1" ht="22.5" customHeight="1" x14ac:dyDescent="0.25">
      <c r="V23" s="133"/>
      <c r="W23" s="133"/>
      <c r="AW23" s="1"/>
      <c r="AX23" s="1"/>
      <c r="AY23" s="1"/>
      <c r="BE23" s="1"/>
      <c r="BF23" s="1"/>
      <c r="BG23" s="1"/>
      <c r="BM23" s="1"/>
      <c r="BN23" s="1"/>
      <c r="BO23" s="1"/>
    </row>
    <row r="24" spans="1:72" s="20" customFormat="1" ht="22.5" customHeight="1" x14ac:dyDescent="0.25">
      <c r="V24" s="133"/>
      <c r="W24" s="133"/>
      <c r="AW24" s="1"/>
      <c r="AX24" s="1"/>
      <c r="AY24" s="1"/>
      <c r="BE24" s="1"/>
      <c r="BF24" s="1"/>
      <c r="BG24" s="1"/>
      <c r="BM24" s="1"/>
      <c r="BN24" s="1"/>
      <c r="BO24" s="1"/>
    </row>
    <row r="25" spans="1:72" s="20" customFormat="1" ht="22.5" customHeight="1" x14ac:dyDescent="0.25">
      <c r="V25" s="133"/>
      <c r="W25" s="133"/>
      <c r="AW25" s="1"/>
      <c r="AX25" s="1"/>
      <c r="AY25" s="1"/>
      <c r="BE25" s="1"/>
      <c r="BF25" s="1"/>
      <c r="BG25" s="1"/>
      <c r="BM25" s="1"/>
      <c r="BN25" s="1"/>
      <c r="BO25" s="1"/>
    </row>
    <row r="26" spans="1:72" s="20" customFormat="1" ht="22.5" customHeight="1" x14ac:dyDescent="0.25">
      <c r="V26" s="133"/>
      <c r="W26" s="133"/>
      <c r="AW26" s="1"/>
      <c r="AX26" s="1"/>
      <c r="AY26" s="1"/>
      <c r="BE26" s="1"/>
      <c r="BF26" s="1"/>
      <c r="BG26" s="1"/>
      <c r="BM26" s="1"/>
      <c r="BN26" s="1"/>
      <c r="BO26" s="1"/>
    </row>
    <row r="27" spans="1:72" s="20" customFormat="1" ht="22.5" customHeight="1" x14ac:dyDescent="0.25">
      <c r="V27" s="133"/>
      <c r="W27" s="133"/>
      <c r="AW27" s="1"/>
      <c r="AX27" s="1"/>
      <c r="AY27" s="1"/>
      <c r="BE27" s="1"/>
      <c r="BF27" s="1"/>
      <c r="BG27" s="1"/>
      <c r="BM27" s="1"/>
      <c r="BN27" s="1"/>
      <c r="BO27" s="1"/>
    </row>
    <row r="28" spans="1:72" s="20" customFormat="1" ht="22.5" customHeight="1" x14ac:dyDescent="0.25">
      <c r="V28" s="133"/>
      <c r="W28" s="133"/>
      <c r="AW28" s="1"/>
      <c r="AX28" s="1"/>
      <c r="AY28" s="1"/>
      <c r="BE28" s="1"/>
      <c r="BF28" s="1"/>
      <c r="BG28" s="1"/>
      <c r="BM28" s="1"/>
      <c r="BN28" s="1"/>
      <c r="BO28" s="1"/>
    </row>
    <row r="29" spans="1:72" s="20" customFormat="1" ht="22.5" customHeight="1" x14ac:dyDescent="0.25">
      <c r="V29" s="133"/>
      <c r="W29" s="133"/>
      <c r="AW29" s="1"/>
      <c r="AX29" s="1"/>
      <c r="AY29" s="1"/>
      <c r="BE29" s="1"/>
      <c r="BF29" s="1"/>
      <c r="BG29" s="1"/>
      <c r="BM29" s="1"/>
      <c r="BN29" s="1"/>
      <c r="BO29" s="1"/>
    </row>
    <row r="30" spans="1:72" s="20" customFormat="1" ht="22.5" customHeight="1" x14ac:dyDescent="0.25">
      <c r="V30" s="133"/>
      <c r="W30" s="133"/>
      <c r="AW30" s="1"/>
      <c r="AX30" s="1"/>
      <c r="AY30" s="1"/>
      <c r="BE30" s="1"/>
      <c r="BF30" s="1"/>
      <c r="BG30" s="1"/>
      <c r="BM30" s="1"/>
      <c r="BN30" s="1"/>
      <c r="BO30" s="1"/>
    </row>
    <row r="31" spans="1:72" s="20" customFormat="1" ht="22.5" customHeight="1" x14ac:dyDescent="0.25">
      <c r="V31" s="133"/>
      <c r="W31" s="133"/>
      <c r="AW31" s="1"/>
      <c r="AX31" s="1"/>
      <c r="AY31" s="1"/>
      <c r="BE31" s="1"/>
      <c r="BF31" s="1"/>
      <c r="BG31" s="1"/>
      <c r="BM31" s="1"/>
      <c r="BN31" s="1"/>
      <c r="BO31" s="1"/>
    </row>
    <row r="32" spans="1:72" s="20" customFormat="1" ht="22.5" customHeight="1" x14ac:dyDescent="0.25">
      <c r="V32" s="133"/>
      <c r="W32" s="133"/>
      <c r="AW32" s="1"/>
      <c r="AX32" s="1"/>
      <c r="AY32" s="1"/>
      <c r="BE32" s="1"/>
      <c r="BF32" s="1"/>
      <c r="BG32" s="1"/>
      <c r="BM32" s="1"/>
      <c r="BN32" s="1"/>
      <c r="BO32" s="1"/>
    </row>
    <row r="33" spans="22:67" s="20" customFormat="1" ht="22.5" customHeight="1" x14ac:dyDescent="0.25">
      <c r="V33" s="133"/>
      <c r="W33" s="133"/>
      <c r="AW33" s="1"/>
      <c r="AX33" s="1"/>
      <c r="AY33" s="1"/>
      <c r="BE33" s="1"/>
      <c r="BF33" s="1"/>
      <c r="BG33" s="1"/>
      <c r="BM33" s="1"/>
      <c r="BN33" s="1"/>
      <c r="BO33" s="1"/>
    </row>
    <row r="34" spans="22:67" s="20" customFormat="1" ht="22.5" customHeight="1" x14ac:dyDescent="0.25">
      <c r="V34" s="133"/>
      <c r="W34" s="133"/>
      <c r="AW34" s="1"/>
      <c r="AX34" s="1"/>
      <c r="AY34" s="1"/>
      <c r="BE34" s="1"/>
      <c r="BF34" s="1"/>
      <c r="BG34" s="1"/>
      <c r="BM34" s="1"/>
      <c r="BN34" s="1"/>
      <c r="BO34" s="1"/>
    </row>
    <row r="35" spans="22:67" s="20" customFormat="1" ht="22.5" customHeight="1" x14ac:dyDescent="0.25">
      <c r="V35" s="133"/>
      <c r="W35" s="133"/>
      <c r="AW35" s="1"/>
      <c r="AX35" s="1"/>
      <c r="AY35" s="1"/>
      <c r="BE35" s="1"/>
      <c r="BF35" s="1"/>
      <c r="BG35" s="1"/>
      <c r="BM35" s="1"/>
      <c r="BN35" s="1"/>
      <c r="BO35" s="1"/>
    </row>
    <row r="36" spans="22:67" s="20" customFormat="1" ht="22.5" customHeight="1" x14ac:dyDescent="0.25">
      <c r="V36" s="133"/>
      <c r="W36" s="133"/>
      <c r="AW36" s="1"/>
      <c r="AX36" s="1"/>
      <c r="AY36" s="1"/>
      <c r="BE36" s="1"/>
      <c r="BF36" s="1"/>
      <c r="BG36" s="1"/>
      <c r="BM36" s="1"/>
      <c r="BN36" s="1"/>
      <c r="BO36" s="1"/>
    </row>
    <row r="37" spans="22:67" s="20" customFormat="1" ht="22.5" customHeight="1" x14ac:dyDescent="0.25">
      <c r="V37" s="133"/>
      <c r="W37" s="133"/>
      <c r="AW37" s="1"/>
      <c r="AX37" s="1"/>
      <c r="AY37" s="1"/>
      <c r="BE37" s="1"/>
      <c r="BF37" s="1"/>
      <c r="BG37" s="1"/>
      <c r="BM37" s="1"/>
      <c r="BN37" s="1"/>
      <c r="BO37" s="1"/>
    </row>
    <row r="38" spans="22:67" s="20" customFormat="1" ht="22.5" customHeight="1" x14ac:dyDescent="0.25">
      <c r="V38" s="133"/>
      <c r="W38" s="133"/>
      <c r="AW38" s="1"/>
      <c r="AX38" s="1"/>
      <c r="AY38" s="1"/>
      <c r="BE38" s="1"/>
      <c r="BF38" s="1"/>
      <c r="BG38" s="1"/>
      <c r="BM38" s="1"/>
      <c r="BN38" s="1"/>
      <c r="BO38" s="1"/>
    </row>
    <row r="39" spans="22:67" s="20" customFormat="1" ht="22.5" customHeight="1" x14ac:dyDescent="0.25">
      <c r="V39" s="133"/>
      <c r="W39" s="133"/>
      <c r="AW39" s="1"/>
      <c r="AX39" s="1"/>
      <c r="AY39" s="1"/>
      <c r="BE39" s="1"/>
      <c r="BF39" s="1"/>
      <c r="BG39" s="1"/>
      <c r="BM39" s="1"/>
      <c r="BN39" s="1"/>
      <c r="BO39" s="1"/>
    </row>
    <row r="40" spans="22:67" s="20" customFormat="1" ht="22.5" customHeight="1" x14ac:dyDescent="0.25">
      <c r="V40" s="133"/>
      <c r="W40" s="133"/>
      <c r="AW40" s="1"/>
      <c r="AX40" s="1"/>
      <c r="AY40" s="1"/>
      <c r="BE40" s="1"/>
      <c r="BF40" s="1"/>
      <c r="BG40" s="1"/>
      <c r="BM40" s="1"/>
      <c r="BN40" s="1"/>
      <c r="BO40" s="1"/>
    </row>
    <row r="41" spans="22:67" s="20" customFormat="1" ht="22.5" customHeight="1" x14ac:dyDescent="0.25">
      <c r="V41" s="133"/>
      <c r="W41" s="133"/>
      <c r="AW41" s="1"/>
      <c r="AX41" s="1"/>
      <c r="AY41" s="1"/>
      <c r="BE41" s="1"/>
      <c r="BF41" s="1"/>
      <c r="BG41" s="1"/>
      <c r="BM41" s="1"/>
      <c r="BN41" s="1"/>
      <c r="BO41" s="1"/>
    </row>
    <row r="42" spans="22:67" s="20" customFormat="1" ht="22.5" customHeight="1" x14ac:dyDescent="0.25">
      <c r="V42" s="133"/>
      <c r="W42" s="133"/>
      <c r="AW42" s="1"/>
      <c r="AX42" s="1"/>
      <c r="AY42" s="1"/>
      <c r="BE42" s="1"/>
      <c r="BF42" s="1"/>
      <c r="BG42" s="1"/>
      <c r="BM42" s="1"/>
      <c r="BN42" s="1"/>
      <c r="BO42" s="1"/>
    </row>
    <row r="43" spans="22:67" s="20" customFormat="1" ht="22.5" customHeight="1" x14ac:dyDescent="0.25">
      <c r="V43" s="133"/>
      <c r="W43" s="133"/>
      <c r="AW43" s="1"/>
      <c r="AX43" s="1"/>
      <c r="AY43" s="1"/>
      <c r="BE43" s="1"/>
      <c r="BF43" s="1"/>
      <c r="BG43" s="1"/>
      <c r="BM43" s="1"/>
      <c r="BN43" s="1"/>
      <c r="BO43" s="1"/>
    </row>
    <row r="44" spans="22:67" s="20" customFormat="1" ht="22.5" customHeight="1" x14ac:dyDescent="0.25">
      <c r="V44" s="133"/>
      <c r="W44" s="133"/>
      <c r="AW44" s="1"/>
      <c r="AX44" s="1"/>
      <c r="AY44" s="1"/>
      <c r="BE44" s="1"/>
      <c r="BF44" s="1"/>
      <c r="BG44" s="1"/>
      <c r="BM44" s="1"/>
      <c r="BN44" s="1"/>
      <c r="BO44" s="1"/>
    </row>
    <row r="45" spans="22:67" s="20" customFormat="1" ht="22.5" customHeight="1" x14ac:dyDescent="0.25">
      <c r="V45" s="133"/>
      <c r="W45" s="133"/>
      <c r="AW45" s="1"/>
      <c r="AX45" s="1"/>
      <c r="AY45" s="1"/>
      <c r="BE45" s="1"/>
      <c r="BF45" s="1"/>
      <c r="BG45" s="1"/>
      <c r="BM45" s="1"/>
      <c r="BN45" s="1"/>
      <c r="BO45" s="1"/>
    </row>
    <row r="46" spans="22:67" s="20" customFormat="1" ht="22.5" customHeight="1" x14ac:dyDescent="0.25">
      <c r="V46" s="133"/>
      <c r="W46" s="133"/>
      <c r="AW46" s="1"/>
      <c r="AX46" s="1"/>
      <c r="AY46" s="1"/>
      <c r="BE46" s="1"/>
      <c r="BF46" s="1"/>
      <c r="BG46" s="1"/>
      <c r="BM46" s="1"/>
      <c r="BN46" s="1"/>
      <c r="BO46" s="1"/>
    </row>
    <row r="47" spans="22:67" s="20" customFormat="1" ht="22.5" customHeight="1" x14ac:dyDescent="0.25">
      <c r="V47" s="133"/>
      <c r="W47" s="133"/>
      <c r="AW47" s="1"/>
      <c r="AX47" s="1"/>
      <c r="AY47" s="1"/>
      <c r="BE47" s="1"/>
      <c r="BF47" s="1"/>
      <c r="BG47" s="1"/>
      <c r="BM47" s="1"/>
      <c r="BN47" s="1"/>
      <c r="BO47" s="1"/>
    </row>
    <row r="48" spans="22:67" s="20" customFormat="1" ht="22.5" customHeight="1" x14ac:dyDescent="0.25">
      <c r="V48" s="133"/>
      <c r="W48" s="133"/>
      <c r="AW48" s="1"/>
      <c r="AX48" s="1"/>
      <c r="AY48" s="1"/>
      <c r="BE48" s="1"/>
      <c r="BF48" s="1"/>
      <c r="BG48" s="1"/>
      <c r="BM48" s="1"/>
      <c r="BN48" s="1"/>
      <c r="BO48" s="1"/>
    </row>
    <row r="49" spans="22:67" s="20" customFormat="1" ht="22.5" customHeight="1" x14ac:dyDescent="0.25">
      <c r="V49" s="133"/>
      <c r="W49" s="133"/>
      <c r="AW49" s="1"/>
      <c r="AX49" s="1"/>
      <c r="AY49" s="1"/>
      <c r="BE49" s="1"/>
      <c r="BF49" s="1"/>
      <c r="BG49" s="1"/>
      <c r="BM49" s="1"/>
      <c r="BN49" s="1"/>
      <c r="BO49" s="1"/>
    </row>
    <row r="50" spans="22:67" s="20" customFormat="1" ht="22.5" customHeight="1" x14ac:dyDescent="0.25">
      <c r="V50" s="133"/>
      <c r="W50" s="133"/>
      <c r="AW50" s="1"/>
      <c r="AX50" s="1"/>
      <c r="AY50" s="1"/>
      <c r="BE50" s="1"/>
      <c r="BF50" s="1"/>
      <c r="BG50" s="1"/>
      <c r="BM50" s="1"/>
      <c r="BN50" s="1"/>
      <c r="BO50" s="1"/>
    </row>
    <row r="51" spans="22:67" s="20" customFormat="1" ht="22.5" customHeight="1" x14ac:dyDescent="0.25">
      <c r="V51" s="133"/>
      <c r="W51" s="133"/>
      <c r="AW51" s="1"/>
      <c r="AX51" s="1"/>
      <c r="AY51" s="1"/>
      <c r="BE51" s="1"/>
      <c r="BF51" s="1"/>
      <c r="BG51" s="1"/>
      <c r="BM51" s="1"/>
      <c r="BN51" s="1"/>
      <c r="BO51" s="1"/>
    </row>
    <row r="52" spans="22:67" s="20" customFormat="1" ht="22.5" customHeight="1" x14ac:dyDescent="0.25">
      <c r="V52" s="133"/>
      <c r="W52" s="133"/>
      <c r="AW52" s="1"/>
      <c r="AX52" s="1"/>
      <c r="AY52" s="1"/>
      <c r="BE52" s="1"/>
      <c r="BF52" s="1"/>
      <c r="BG52" s="1"/>
      <c r="BM52" s="1"/>
      <c r="BN52" s="1"/>
      <c r="BO52" s="1"/>
    </row>
    <row r="53" spans="22:67" s="20" customFormat="1" ht="22.5" customHeight="1" x14ac:dyDescent="0.25">
      <c r="V53" s="133"/>
      <c r="W53" s="133"/>
      <c r="AW53" s="1"/>
      <c r="AX53" s="1"/>
      <c r="AY53" s="1"/>
      <c r="BE53" s="1"/>
      <c r="BF53" s="1"/>
      <c r="BG53" s="1"/>
      <c r="BM53" s="1"/>
      <c r="BN53" s="1"/>
      <c r="BO53" s="1"/>
    </row>
    <row r="54" spans="22:67" s="20" customFormat="1" ht="22.5" customHeight="1" x14ac:dyDescent="0.25">
      <c r="V54" s="133"/>
      <c r="W54" s="133"/>
      <c r="AW54" s="1"/>
      <c r="AX54" s="1"/>
      <c r="AY54" s="1"/>
      <c r="BE54" s="1"/>
      <c r="BF54" s="1"/>
      <c r="BG54" s="1"/>
      <c r="BM54" s="1"/>
      <c r="BN54" s="1"/>
      <c r="BO54" s="1"/>
    </row>
    <row r="55" spans="22:67" s="20" customFormat="1" ht="22.5" customHeight="1" x14ac:dyDescent="0.25">
      <c r="V55" s="133"/>
      <c r="W55" s="133"/>
      <c r="AW55" s="1"/>
      <c r="AX55" s="1"/>
      <c r="AY55" s="1"/>
      <c r="BE55" s="1"/>
      <c r="BF55" s="1"/>
      <c r="BG55" s="1"/>
      <c r="BM55" s="1"/>
      <c r="BN55" s="1"/>
      <c r="BO55" s="1"/>
    </row>
    <row r="56" spans="22:67" s="20" customFormat="1" ht="22.5" customHeight="1" x14ac:dyDescent="0.25">
      <c r="V56" s="133"/>
      <c r="W56" s="133"/>
      <c r="AW56" s="1"/>
      <c r="AX56" s="1"/>
      <c r="AY56" s="1"/>
      <c r="BE56" s="1"/>
      <c r="BF56" s="1"/>
      <c r="BG56" s="1"/>
      <c r="BM56" s="1"/>
      <c r="BN56" s="1"/>
      <c r="BO56" s="1"/>
    </row>
    <row r="57" spans="22:67" s="20" customFormat="1" ht="22.5" customHeight="1" x14ac:dyDescent="0.25">
      <c r="V57" s="133"/>
      <c r="W57" s="133"/>
      <c r="AW57" s="1"/>
      <c r="AX57" s="1"/>
      <c r="AY57" s="1"/>
      <c r="BE57" s="1"/>
      <c r="BF57" s="1"/>
      <c r="BG57" s="1"/>
      <c r="BM57" s="1"/>
      <c r="BN57" s="1"/>
      <c r="BO57" s="1"/>
    </row>
    <row r="58" spans="22:67" s="20" customFormat="1" ht="22.5" customHeight="1" x14ac:dyDescent="0.25">
      <c r="V58" s="133"/>
      <c r="W58" s="133"/>
      <c r="AW58" s="1"/>
      <c r="AX58" s="1"/>
      <c r="AY58" s="1"/>
      <c r="BE58" s="1"/>
      <c r="BF58" s="1"/>
      <c r="BG58" s="1"/>
      <c r="BM58" s="1"/>
      <c r="BN58" s="1"/>
      <c r="BO58" s="1"/>
    </row>
    <row r="59" spans="22:67" s="20" customFormat="1" ht="22.5" customHeight="1" x14ac:dyDescent="0.25">
      <c r="V59" s="133"/>
      <c r="W59" s="133"/>
      <c r="AW59" s="1"/>
      <c r="AX59" s="1"/>
      <c r="AY59" s="1"/>
      <c r="BE59" s="1"/>
      <c r="BF59" s="1"/>
      <c r="BG59" s="1"/>
      <c r="BM59" s="1"/>
      <c r="BN59" s="1"/>
      <c r="BO59" s="1"/>
    </row>
    <row r="60" spans="22:67" s="20" customFormat="1" ht="22.5" customHeight="1" x14ac:dyDescent="0.25">
      <c r="V60" s="133"/>
      <c r="W60" s="133"/>
      <c r="AW60" s="1"/>
      <c r="AX60" s="1"/>
      <c r="AY60" s="1"/>
      <c r="BE60" s="1"/>
      <c r="BF60" s="1"/>
      <c r="BG60" s="1"/>
      <c r="BM60" s="1"/>
      <c r="BN60" s="1"/>
      <c r="BO60" s="1"/>
    </row>
    <row r="61" spans="22:67" s="20" customFormat="1" ht="22.5" customHeight="1" x14ac:dyDescent="0.25">
      <c r="V61" s="133"/>
      <c r="W61" s="133"/>
      <c r="AW61" s="1"/>
      <c r="AX61" s="1"/>
      <c r="AY61" s="1"/>
      <c r="BE61" s="1"/>
      <c r="BF61" s="1"/>
      <c r="BG61" s="1"/>
      <c r="BM61" s="1"/>
      <c r="BN61" s="1"/>
      <c r="BO61" s="1"/>
    </row>
    <row r="62" spans="22:67" s="20" customFormat="1" ht="22.5" customHeight="1" x14ac:dyDescent="0.25">
      <c r="V62" s="133"/>
      <c r="W62" s="133"/>
      <c r="AW62" s="1"/>
      <c r="AX62" s="1"/>
      <c r="AY62" s="1"/>
      <c r="BE62" s="1"/>
      <c r="BF62" s="1"/>
      <c r="BG62" s="1"/>
      <c r="BM62" s="1"/>
      <c r="BN62" s="1"/>
      <c r="BO62" s="1"/>
    </row>
    <row r="63" spans="22:67" s="20" customFormat="1" ht="22.5" customHeight="1" x14ac:dyDescent="0.25">
      <c r="V63" s="133"/>
      <c r="W63" s="133"/>
      <c r="AW63" s="1"/>
      <c r="AX63" s="1"/>
      <c r="AY63" s="1"/>
      <c r="BE63" s="1"/>
      <c r="BF63" s="1"/>
      <c r="BG63" s="1"/>
      <c r="BM63" s="1"/>
      <c r="BN63" s="1"/>
      <c r="BO63" s="1"/>
    </row>
    <row r="64" spans="22:67" s="20" customFormat="1" ht="22.5" customHeight="1" x14ac:dyDescent="0.25">
      <c r="V64" s="133"/>
      <c r="W64" s="133"/>
      <c r="AW64" s="1"/>
      <c r="AX64" s="1"/>
      <c r="AY64" s="1"/>
      <c r="BE64" s="1"/>
      <c r="BF64" s="1"/>
      <c r="BG64" s="1"/>
      <c r="BM64" s="1"/>
      <c r="BN64" s="1"/>
      <c r="BO64" s="1"/>
    </row>
    <row r="65" spans="22:67" s="20" customFormat="1" ht="22.5" customHeight="1" x14ac:dyDescent="0.25">
      <c r="V65" s="133"/>
      <c r="W65" s="133"/>
      <c r="AW65" s="1"/>
      <c r="AX65" s="1"/>
      <c r="AY65" s="1"/>
      <c r="BE65" s="1"/>
      <c r="BF65" s="1"/>
      <c r="BG65" s="1"/>
      <c r="BM65" s="1"/>
      <c r="BN65" s="1"/>
      <c r="BO65" s="1"/>
    </row>
    <row r="66" spans="22:67" s="20" customFormat="1" ht="22.5" customHeight="1" x14ac:dyDescent="0.25">
      <c r="V66" s="133"/>
      <c r="W66" s="133"/>
      <c r="AW66" s="1"/>
      <c r="AX66" s="1"/>
      <c r="AY66" s="1"/>
      <c r="BE66" s="1"/>
      <c r="BF66" s="1"/>
      <c r="BG66" s="1"/>
      <c r="BM66" s="1"/>
      <c r="BN66" s="1"/>
      <c r="BO66" s="1"/>
    </row>
    <row r="67" spans="22:67" s="20" customFormat="1" ht="22.5" customHeight="1" x14ac:dyDescent="0.25">
      <c r="V67" s="133"/>
      <c r="W67" s="133"/>
      <c r="AW67" s="1"/>
      <c r="AX67" s="1"/>
      <c r="AY67" s="1"/>
      <c r="BE67" s="1"/>
      <c r="BF67" s="1"/>
      <c r="BG67" s="1"/>
      <c r="BM67" s="1"/>
      <c r="BN67" s="1"/>
      <c r="BO67" s="1"/>
    </row>
    <row r="68" spans="22:67" s="20" customFormat="1" ht="22.5" customHeight="1" x14ac:dyDescent="0.25">
      <c r="V68" s="133"/>
      <c r="W68" s="133"/>
      <c r="AW68" s="1"/>
      <c r="AX68" s="1"/>
      <c r="AY68" s="1"/>
      <c r="BE68" s="1"/>
      <c r="BF68" s="1"/>
      <c r="BG68" s="1"/>
      <c r="BM68" s="1"/>
      <c r="BN68" s="1"/>
      <c r="BO68" s="1"/>
    </row>
    <row r="69" spans="22:67" s="20" customFormat="1" ht="22.5" customHeight="1" x14ac:dyDescent="0.25">
      <c r="V69" s="133"/>
      <c r="W69" s="133"/>
      <c r="AW69" s="1"/>
      <c r="AX69" s="1"/>
      <c r="AY69" s="1"/>
      <c r="BE69" s="1"/>
      <c r="BF69" s="1"/>
      <c r="BG69" s="1"/>
      <c r="BM69" s="1"/>
      <c r="BN69" s="1"/>
      <c r="BO69" s="1"/>
    </row>
    <row r="70" spans="22:67" s="20" customFormat="1" ht="22.5" customHeight="1" x14ac:dyDescent="0.25">
      <c r="V70" s="133"/>
      <c r="W70" s="133"/>
      <c r="AW70" s="1"/>
      <c r="AX70" s="1"/>
      <c r="AY70" s="1"/>
      <c r="BE70" s="1"/>
      <c r="BF70" s="1"/>
      <c r="BG70" s="1"/>
      <c r="BM70" s="1"/>
      <c r="BN70" s="1"/>
      <c r="BO70" s="1"/>
    </row>
    <row r="71" spans="22:67" s="20" customFormat="1" ht="22.5" customHeight="1" x14ac:dyDescent="0.25">
      <c r="V71" s="133"/>
      <c r="W71" s="133"/>
      <c r="AW71" s="1"/>
      <c r="AX71" s="1"/>
      <c r="AY71" s="1"/>
      <c r="BE71" s="1"/>
      <c r="BF71" s="1"/>
      <c r="BG71" s="1"/>
      <c r="BM71" s="1"/>
      <c r="BN71" s="1"/>
      <c r="BO71" s="1"/>
    </row>
    <row r="72" spans="22:67" s="20" customFormat="1" ht="22.5" customHeight="1" x14ac:dyDescent="0.25">
      <c r="V72" s="133"/>
      <c r="W72" s="133"/>
      <c r="AW72" s="1"/>
      <c r="AX72" s="1"/>
      <c r="AY72" s="1"/>
      <c r="BE72" s="1"/>
      <c r="BF72" s="1"/>
      <c r="BG72" s="1"/>
      <c r="BM72" s="1"/>
      <c r="BN72" s="1"/>
      <c r="BO72" s="1"/>
    </row>
    <row r="73" spans="22:67" s="20" customFormat="1" ht="22.5" customHeight="1" x14ac:dyDescent="0.25">
      <c r="V73" s="133"/>
      <c r="W73" s="133"/>
      <c r="AW73" s="1"/>
      <c r="AX73" s="1"/>
      <c r="AY73" s="1"/>
      <c r="BE73" s="1"/>
      <c r="BF73" s="1"/>
      <c r="BG73" s="1"/>
      <c r="BM73" s="1"/>
      <c r="BN73" s="1"/>
      <c r="BO73" s="1"/>
    </row>
    <row r="74" spans="22:67" s="20" customFormat="1" ht="22.5" customHeight="1" x14ac:dyDescent="0.25">
      <c r="V74" s="133"/>
      <c r="W74" s="133"/>
      <c r="AW74" s="1"/>
      <c r="AX74" s="1"/>
      <c r="AY74" s="1"/>
      <c r="BE74" s="1"/>
      <c r="BF74" s="1"/>
      <c r="BG74" s="1"/>
      <c r="BM74" s="1"/>
      <c r="BN74" s="1"/>
      <c r="BO74" s="1"/>
    </row>
    <row r="75" spans="22:67" s="20" customFormat="1" ht="22.5" customHeight="1" x14ac:dyDescent="0.25">
      <c r="V75" s="133"/>
      <c r="W75" s="133"/>
      <c r="AW75" s="1"/>
      <c r="AX75" s="1"/>
      <c r="AY75" s="1"/>
      <c r="BE75" s="1"/>
      <c r="BF75" s="1"/>
      <c r="BG75" s="1"/>
      <c r="BM75" s="1"/>
      <c r="BN75" s="1"/>
      <c r="BO75" s="1"/>
    </row>
    <row r="76" spans="22:67" s="20" customFormat="1" ht="22.5" customHeight="1" x14ac:dyDescent="0.25">
      <c r="V76" s="133"/>
      <c r="W76" s="133"/>
      <c r="AW76" s="1"/>
      <c r="AX76" s="1"/>
      <c r="AY76" s="1"/>
      <c r="BE76" s="1"/>
      <c r="BF76" s="1"/>
      <c r="BG76" s="1"/>
      <c r="BM76" s="1"/>
      <c r="BN76" s="1"/>
      <c r="BO76" s="1"/>
    </row>
    <row r="77" spans="22:67" s="20" customFormat="1" ht="22.5" customHeight="1" x14ac:dyDescent="0.25">
      <c r="V77" s="133"/>
      <c r="W77" s="133"/>
      <c r="AW77" s="1"/>
      <c r="AX77" s="1"/>
      <c r="AY77" s="1"/>
      <c r="BE77" s="1"/>
      <c r="BF77" s="1"/>
      <c r="BG77" s="1"/>
      <c r="BM77" s="1"/>
      <c r="BN77" s="1"/>
      <c r="BO77" s="1"/>
    </row>
    <row r="78" spans="22:67" s="20" customFormat="1" ht="22.5" customHeight="1" x14ac:dyDescent="0.25">
      <c r="V78" s="133"/>
      <c r="W78" s="133"/>
      <c r="AW78" s="1"/>
      <c r="AX78" s="1"/>
      <c r="AY78" s="1"/>
      <c r="BE78" s="1"/>
      <c r="BF78" s="1"/>
      <c r="BG78" s="1"/>
      <c r="BM78" s="1"/>
      <c r="BN78" s="1"/>
      <c r="BO78" s="1"/>
    </row>
    <row r="79" spans="22:67" s="20" customFormat="1" ht="22.5" customHeight="1" x14ac:dyDescent="0.25">
      <c r="V79" s="133"/>
      <c r="W79" s="133"/>
      <c r="AW79" s="1"/>
      <c r="AX79" s="1"/>
      <c r="AY79" s="1"/>
      <c r="BE79" s="1"/>
      <c r="BF79" s="1"/>
      <c r="BG79" s="1"/>
      <c r="BM79" s="1"/>
      <c r="BN79" s="1"/>
      <c r="BO79" s="1"/>
    </row>
    <row r="80" spans="22:67" s="20" customFormat="1" ht="22.5" customHeight="1" x14ac:dyDescent="0.25">
      <c r="V80" s="133"/>
      <c r="W80" s="133"/>
      <c r="AW80" s="1"/>
      <c r="AX80" s="1"/>
      <c r="AY80" s="1"/>
      <c r="BE80" s="1"/>
      <c r="BF80" s="1"/>
      <c r="BG80" s="1"/>
      <c r="BM80" s="1"/>
      <c r="BN80" s="1"/>
      <c r="BO80" s="1"/>
    </row>
    <row r="81" spans="22:67" s="20" customFormat="1" ht="22.5" customHeight="1" x14ac:dyDescent="0.25">
      <c r="V81" s="133"/>
      <c r="W81" s="133"/>
      <c r="AW81" s="1"/>
      <c r="AX81" s="1"/>
      <c r="AY81" s="1"/>
      <c r="BE81" s="1"/>
      <c r="BF81" s="1"/>
      <c r="BG81" s="1"/>
      <c r="BM81" s="1"/>
      <c r="BN81" s="1"/>
      <c r="BO81" s="1"/>
    </row>
    <row r="82" spans="22:67" s="20" customFormat="1" ht="22.5" customHeight="1" x14ac:dyDescent="0.25">
      <c r="V82" s="133"/>
      <c r="W82" s="133"/>
      <c r="AW82" s="1"/>
      <c r="AX82" s="1"/>
      <c r="AY82" s="1"/>
      <c r="BE82" s="1"/>
      <c r="BF82" s="1"/>
      <c r="BG82" s="1"/>
      <c r="BM82" s="1"/>
      <c r="BN82" s="1"/>
      <c r="BO82" s="1"/>
    </row>
    <row r="83" spans="22:67" s="20" customFormat="1" ht="22.5" customHeight="1" x14ac:dyDescent="0.25">
      <c r="V83" s="133"/>
      <c r="W83" s="133"/>
      <c r="AW83" s="1"/>
      <c r="AX83" s="1"/>
      <c r="AY83" s="1"/>
      <c r="BE83" s="1"/>
      <c r="BF83" s="1"/>
      <c r="BG83" s="1"/>
      <c r="BM83" s="1"/>
      <c r="BN83" s="1"/>
      <c r="BO83" s="1"/>
    </row>
    <row r="84" spans="22:67" s="20" customFormat="1" ht="22.5" customHeight="1" x14ac:dyDescent="0.25">
      <c r="V84" s="133"/>
      <c r="W84" s="133"/>
      <c r="AW84" s="1"/>
      <c r="AX84" s="1"/>
      <c r="AY84" s="1"/>
      <c r="BE84" s="1"/>
      <c r="BF84" s="1"/>
      <c r="BG84" s="1"/>
      <c r="BM84" s="1"/>
      <c r="BN84" s="1"/>
      <c r="BO84" s="1"/>
    </row>
    <row r="85" spans="22:67" s="20" customFormat="1" ht="22.5" customHeight="1" x14ac:dyDescent="0.25">
      <c r="V85" s="133"/>
      <c r="W85" s="133"/>
      <c r="AW85" s="1"/>
      <c r="AX85" s="1"/>
      <c r="AY85" s="1"/>
      <c r="BE85" s="1"/>
      <c r="BF85" s="1"/>
      <c r="BG85" s="1"/>
      <c r="BM85" s="1"/>
      <c r="BN85" s="1"/>
      <c r="BO85" s="1"/>
    </row>
    <row r="86" spans="22:67" s="20" customFormat="1" ht="22.5" customHeight="1" x14ac:dyDescent="0.25">
      <c r="V86" s="133"/>
      <c r="W86" s="133"/>
      <c r="AW86" s="1"/>
      <c r="AX86" s="1"/>
      <c r="AY86" s="1"/>
      <c r="BE86" s="1"/>
      <c r="BF86" s="1"/>
      <c r="BG86" s="1"/>
      <c r="BM86" s="1"/>
      <c r="BN86" s="1"/>
      <c r="BO86" s="1"/>
    </row>
    <row r="87" spans="22:67" s="20" customFormat="1" ht="22.5" customHeight="1" x14ac:dyDescent="0.25">
      <c r="V87" s="133"/>
      <c r="W87" s="133"/>
      <c r="AW87" s="1"/>
      <c r="AX87" s="1"/>
      <c r="AY87" s="1"/>
      <c r="BE87" s="1"/>
      <c r="BF87" s="1"/>
      <c r="BG87" s="1"/>
      <c r="BM87" s="1"/>
      <c r="BN87" s="1"/>
      <c r="BO87" s="1"/>
    </row>
    <row r="88" spans="22:67" s="20" customFormat="1" ht="22.5" customHeight="1" x14ac:dyDescent="0.25">
      <c r="V88" s="133"/>
      <c r="W88" s="133"/>
      <c r="AW88" s="1"/>
      <c r="AX88" s="1"/>
      <c r="AY88" s="1"/>
      <c r="BE88" s="1"/>
      <c r="BF88" s="1"/>
      <c r="BG88" s="1"/>
      <c r="BM88" s="1"/>
      <c r="BN88" s="1"/>
      <c r="BO88" s="1"/>
    </row>
    <row r="89" spans="22:67" s="20" customFormat="1" ht="22.5" customHeight="1" x14ac:dyDescent="0.25">
      <c r="V89" s="133"/>
      <c r="W89" s="133"/>
      <c r="AW89" s="1"/>
      <c r="AX89" s="1"/>
      <c r="AY89" s="1"/>
      <c r="BE89" s="1"/>
      <c r="BF89" s="1"/>
      <c r="BG89" s="1"/>
      <c r="BM89" s="1"/>
      <c r="BN89" s="1"/>
      <c r="BO89" s="1"/>
    </row>
    <row r="90" spans="22:67" s="20" customFormat="1" ht="22.5" customHeight="1" x14ac:dyDescent="0.25">
      <c r="V90" s="133"/>
      <c r="W90" s="133"/>
      <c r="AW90" s="1"/>
      <c r="AX90" s="1"/>
      <c r="AY90" s="1"/>
      <c r="BE90" s="1"/>
      <c r="BF90" s="1"/>
      <c r="BG90" s="1"/>
      <c r="BM90" s="1"/>
      <c r="BN90" s="1"/>
      <c r="BO90" s="1"/>
    </row>
    <row r="91" spans="22:67" s="20" customFormat="1" ht="22.5" customHeight="1" x14ac:dyDescent="0.25">
      <c r="V91" s="133"/>
      <c r="W91" s="133"/>
      <c r="AW91" s="1"/>
      <c r="AX91" s="1"/>
      <c r="AY91" s="1"/>
      <c r="BE91" s="1"/>
      <c r="BF91" s="1"/>
      <c r="BG91" s="1"/>
      <c r="BM91" s="1"/>
      <c r="BN91" s="1"/>
      <c r="BO91" s="1"/>
    </row>
    <row r="92" spans="22:67" s="20" customFormat="1" ht="22.5" customHeight="1" x14ac:dyDescent="0.25">
      <c r="V92" s="133"/>
      <c r="W92" s="133"/>
      <c r="AW92" s="1"/>
      <c r="AX92" s="1"/>
      <c r="AY92" s="1"/>
      <c r="BE92" s="1"/>
      <c r="BF92" s="1"/>
      <c r="BG92" s="1"/>
      <c r="BM92" s="1"/>
      <c r="BN92" s="1"/>
      <c r="BO92" s="1"/>
    </row>
    <row r="93" spans="22:67" s="20" customFormat="1" ht="22.5" customHeight="1" x14ac:dyDescent="0.25">
      <c r="V93" s="133"/>
      <c r="W93" s="133"/>
      <c r="AW93" s="1"/>
      <c r="AX93" s="1"/>
      <c r="AY93" s="1"/>
      <c r="BE93" s="1"/>
      <c r="BF93" s="1"/>
      <c r="BG93" s="1"/>
      <c r="BM93" s="1"/>
      <c r="BN93" s="1"/>
      <c r="BO93" s="1"/>
    </row>
    <row r="94" spans="22:67" s="20" customFormat="1" ht="22.5" customHeight="1" x14ac:dyDescent="0.25">
      <c r="V94" s="133"/>
      <c r="W94" s="133"/>
      <c r="AW94" s="1"/>
      <c r="AX94" s="1"/>
      <c r="AY94" s="1"/>
      <c r="BE94" s="1"/>
      <c r="BF94" s="1"/>
      <c r="BG94" s="1"/>
      <c r="BM94" s="1"/>
      <c r="BN94" s="1"/>
      <c r="BO94" s="1"/>
    </row>
    <row r="95" spans="22:67" s="20" customFormat="1" ht="22.5" customHeight="1" x14ac:dyDescent="0.25">
      <c r="V95" s="133"/>
      <c r="W95" s="133"/>
      <c r="AW95" s="1"/>
      <c r="AX95" s="1"/>
      <c r="AY95" s="1"/>
      <c r="BE95" s="1"/>
      <c r="BF95" s="1"/>
      <c r="BG95" s="1"/>
      <c r="BM95" s="1"/>
      <c r="BN95" s="1"/>
      <c r="BO95" s="1"/>
    </row>
    <row r="96" spans="22:67" s="20" customFormat="1" ht="22.5" customHeight="1" x14ac:dyDescent="0.25">
      <c r="V96" s="133"/>
      <c r="W96" s="133"/>
      <c r="AW96" s="1"/>
      <c r="AX96" s="1"/>
      <c r="AY96" s="1"/>
      <c r="BE96" s="1"/>
      <c r="BF96" s="1"/>
      <c r="BG96" s="1"/>
      <c r="BM96" s="1"/>
      <c r="BN96" s="1"/>
      <c r="BO96" s="1"/>
    </row>
    <row r="97" spans="22:67" s="20" customFormat="1" ht="22.5" customHeight="1" x14ac:dyDescent="0.25">
      <c r="V97" s="133"/>
      <c r="W97" s="133"/>
      <c r="AW97" s="1"/>
      <c r="AX97" s="1"/>
      <c r="AY97" s="1"/>
      <c r="BE97" s="1"/>
      <c r="BF97" s="1"/>
      <c r="BG97" s="1"/>
      <c r="BM97" s="1"/>
      <c r="BN97" s="1"/>
      <c r="BO97" s="1"/>
    </row>
    <row r="98" spans="22:67" s="20" customFormat="1" ht="22.5" customHeight="1" x14ac:dyDescent="0.25">
      <c r="V98" s="133"/>
      <c r="W98" s="133"/>
      <c r="AW98" s="1"/>
      <c r="AX98" s="1"/>
      <c r="AY98" s="1"/>
      <c r="BE98" s="1"/>
      <c r="BF98" s="1"/>
      <c r="BG98" s="1"/>
      <c r="BM98" s="1"/>
      <c r="BN98" s="1"/>
      <c r="BO98" s="1"/>
    </row>
    <row r="99" spans="22:67" s="20" customFormat="1" ht="22.5" customHeight="1" x14ac:dyDescent="0.25">
      <c r="V99" s="133"/>
      <c r="W99" s="133"/>
      <c r="AW99" s="1"/>
      <c r="AX99" s="1"/>
      <c r="AY99" s="1"/>
      <c r="BE99" s="1"/>
      <c r="BF99" s="1"/>
      <c r="BG99" s="1"/>
      <c r="BM99" s="1"/>
      <c r="BN99" s="1"/>
      <c r="BO99" s="1"/>
    </row>
    <row r="100" spans="22:67" s="20" customFormat="1" ht="22.5" customHeight="1" x14ac:dyDescent="0.25">
      <c r="V100" s="133"/>
      <c r="W100" s="133"/>
      <c r="AW100" s="1"/>
      <c r="AX100" s="1"/>
      <c r="AY100" s="1"/>
      <c r="BE100" s="1"/>
      <c r="BF100" s="1"/>
      <c r="BG100" s="1"/>
      <c r="BM100" s="1"/>
      <c r="BN100" s="1"/>
      <c r="BO100" s="1"/>
    </row>
    <row r="101" spans="22:67" s="20" customFormat="1" ht="22.5" customHeight="1" x14ac:dyDescent="0.25">
      <c r="V101" s="133"/>
      <c r="W101" s="133"/>
      <c r="AW101" s="1"/>
      <c r="AX101" s="1"/>
      <c r="AY101" s="1"/>
      <c r="BE101" s="1"/>
      <c r="BF101" s="1"/>
      <c r="BG101" s="1"/>
      <c r="BM101" s="1"/>
      <c r="BN101" s="1"/>
      <c r="BO101" s="1"/>
    </row>
    <row r="102" spans="22:67" s="20" customFormat="1" ht="22.5" customHeight="1" x14ac:dyDescent="0.25">
      <c r="V102" s="133"/>
      <c r="W102" s="133"/>
      <c r="AW102" s="1"/>
      <c r="AX102" s="1"/>
      <c r="AY102" s="1"/>
      <c r="BE102" s="1"/>
      <c r="BF102" s="1"/>
      <c r="BG102" s="1"/>
      <c r="BM102" s="1"/>
      <c r="BN102" s="1"/>
      <c r="BO102" s="1"/>
    </row>
    <row r="103" spans="22:67" s="20" customFormat="1" ht="22.5" customHeight="1" x14ac:dyDescent="0.25">
      <c r="V103" s="133"/>
      <c r="W103" s="133"/>
      <c r="AW103" s="1"/>
      <c r="AX103" s="1"/>
      <c r="AY103" s="1"/>
      <c r="BE103" s="1"/>
      <c r="BF103" s="1"/>
      <c r="BG103" s="1"/>
      <c r="BM103" s="1"/>
      <c r="BN103" s="1"/>
      <c r="BO103" s="1"/>
    </row>
    <row r="104" spans="22:67" s="20" customFormat="1" ht="22.5" customHeight="1" x14ac:dyDescent="0.25">
      <c r="V104" s="133"/>
      <c r="W104" s="133"/>
      <c r="AW104" s="1"/>
      <c r="AX104" s="1"/>
      <c r="AY104" s="1"/>
      <c r="BE104" s="1"/>
      <c r="BF104" s="1"/>
      <c r="BG104" s="1"/>
      <c r="BM104" s="1"/>
      <c r="BN104" s="1"/>
      <c r="BO104" s="1"/>
    </row>
    <row r="105" spans="22:67" s="20" customFormat="1" ht="22.5" customHeight="1" x14ac:dyDescent="0.25">
      <c r="V105" s="133"/>
      <c r="W105" s="133"/>
      <c r="AW105" s="1"/>
      <c r="AX105" s="1"/>
      <c r="AY105" s="1"/>
      <c r="BE105" s="1"/>
      <c r="BF105" s="1"/>
      <c r="BG105" s="1"/>
      <c r="BM105" s="1"/>
      <c r="BN105" s="1"/>
      <c r="BO105" s="1"/>
    </row>
    <row r="106" spans="22:67" s="20" customFormat="1" ht="22.5" customHeight="1" x14ac:dyDescent="0.25">
      <c r="V106" s="133"/>
      <c r="W106" s="133"/>
      <c r="AW106" s="1"/>
      <c r="AX106" s="1"/>
      <c r="AY106" s="1"/>
      <c r="BE106" s="1"/>
      <c r="BF106" s="1"/>
      <c r="BG106" s="1"/>
      <c r="BM106" s="1"/>
      <c r="BN106" s="1"/>
      <c r="BO106" s="1"/>
    </row>
    <row r="107" spans="22:67" s="20" customFormat="1" ht="22.5" customHeight="1" x14ac:dyDescent="0.25">
      <c r="V107" s="133"/>
      <c r="W107" s="133"/>
      <c r="AW107" s="1"/>
      <c r="AX107" s="1"/>
      <c r="AY107" s="1"/>
      <c r="BE107" s="1"/>
      <c r="BF107" s="1"/>
      <c r="BG107" s="1"/>
      <c r="BM107" s="1"/>
      <c r="BN107" s="1"/>
      <c r="BO107" s="1"/>
    </row>
    <row r="108" spans="22:67" s="20" customFormat="1" ht="22.5" customHeight="1" x14ac:dyDescent="0.25">
      <c r="V108" s="133"/>
      <c r="W108" s="133"/>
      <c r="AW108" s="1"/>
      <c r="AX108" s="1"/>
      <c r="AY108" s="1"/>
      <c r="BE108" s="1"/>
      <c r="BF108" s="1"/>
      <c r="BG108" s="1"/>
      <c r="BM108" s="1"/>
      <c r="BN108" s="1"/>
      <c r="BO108" s="1"/>
    </row>
    <row r="109" spans="22:67" s="20" customFormat="1" ht="22.5" customHeight="1" x14ac:dyDescent="0.25">
      <c r="V109" s="133"/>
      <c r="W109" s="133"/>
      <c r="AW109" s="1"/>
      <c r="AX109" s="1"/>
      <c r="AY109" s="1"/>
      <c r="BE109" s="1"/>
      <c r="BF109" s="1"/>
      <c r="BG109" s="1"/>
      <c r="BM109" s="1"/>
      <c r="BN109" s="1"/>
      <c r="BO109" s="1"/>
    </row>
    <row r="110" spans="22:67" s="20" customFormat="1" ht="22.5" customHeight="1" x14ac:dyDescent="0.25">
      <c r="V110" s="133"/>
      <c r="W110" s="133"/>
      <c r="AW110" s="1"/>
      <c r="AX110" s="1"/>
      <c r="AY110" s="1"/>
      <c r="BE110" s="1"/>
      <c r="BF110" s="1"/>
      <c r="BG110" s="1"/>
      <c r="BM110" s="1"/>
      <c r="BN110" s="1"/>
      <c r="BO110" s="1"/>
    </row>
    <row r="111" spans="22:67" s="20" customFormat="1" ht="22.5" customHeight="1" x14ac:dyDescent="0.25">
      <c r="V111" s="133"/>
      <c r="W111" s="133"/>
      <c r="AW111" s="1"/>
      <c r="AX111" s="1"/>
      <c r="AY111" s="1"/>
      <c r="BE111" s="1"/>
      <c r="BF111" s="1"/>
      <c r="BG111" s="1"/>
      <c r="BM111" s="1"/>
      <c r="BN111" s="1"/>
      <c r="BO111" s="1"/>
    </row>
    <row r="112" spans="22:67" s="20" customFormat="1" ht="22.5" customHeight="1" x14ac:dyDescent="0.25">
      <c r="V112" s="133"/>
      <c r="W112" s="133"/>
      <c r="AW112" s="1"/>
      <c r="AX112" s="1"/>
      <c r="AY112" s="1"/>
      <c r="BE112" s="1"/>
      <c r="BF112" s="1"/>
      <c r="BG112" s="1"/>
      <c r="BM112" s="1"/>
      <c r="BN112" s="1"/>
      <c r="BO112" s="1"/>
    </row>
    <row r="113" spans="22:67" s="20" customFormat="1" ht="22.5" customHeight="1" x14ac:dyDescent="0.25">
      <c r="V113" s="133"/>
      <c r="W113" s="133"/>
      <c r="AW113" s="1"/>
      <c r="AX113" s="1"/>
      <c r="AY113" s="1"/>
      <c r="BE113" s="1"/>
      <c r="BF113" s="1"/>
      <c r="BG113" s="1"/>
      <c r="BM113" s="1"/>
      <c r="BN113" s="1"/>
      <c r="BO113" s="1"/>
    </row>
    <row r="114" spans="22:67" s="20" customFormat="1" ht="22.5" customHeight="1" x14ac:dyDescent="0.25">
      <c r="V114" s="133"/>
      <c r="W114" s="133"/>
      <c r="AW114" s="1"/>
      <c r="AX114" s="1"/>
      <c r="AY114" s="1"/>
      <c r="BE114" s="1"/>
      <c r="BF114" s="1"/>
      <c r="BG114" s="1"/>
      <c r="BM114" s="1"/>
      <c r="BN114" s="1"/>
      <c r="BO114" s="1"/>
    </row>
    <row r="115" spans="22:67" s="20" customFormat="1" ht="22.5" customHeight="1" x14ac:dyDescent="0.25">
      <c r="V115" s="133"/>
      <c r="W115" s="133"/>
      <c r="AW115" s="1"/>
      <c r="AX115" s="1"/>
      <c r="AY115" s="1"/>
      <c r="BE115" s="1"/>
      <c r="BF115" s="1"/>
      <c r="BG115" s="1"/>
      <c r="BM115" s="1"/>
      <c r="BN115" s="1"/>
      <c r="BO115" s="1"/>
    </row>
    <row r="116" spans="22:67" s="20" customFormat="1" ht="22.5" customHeight="1" x14ac:dyDescent="0.25">
      <c r="V116" s="133"/>
      <c r="W116" s="133"/>
      <c r="AW116" s="1"/>
      <c r="AX116" s="1"/>
      <c r="AY116" s="1"/>
      <c r="BE116" s="1"/>
      <c r="BF116" s="1"/>
      <c r="BG116" s="1"/>
      <c r="BM116" s="1"/>
      <c r="BN116" s="1"/>
      <c r="BO116" s="1"/>
    </row>
    <row r="117" spans="22:67" s="20" customFormat="1" ht="22.5" customHeight="1" x14ac:dyDescent="0.25">
      <c r="V117" s="133"/>
      <c r="W117" s="133"/>
      <c r="AW117" s="1"/>
      <c r="AX117" s="1"/>
      <c r="AY117" s="1"/>
      <c r="BE117" s="1"/>
      <c r="BF117" s="1"/>
      <c r="BG117" s="1"/>
      <c r="BM117" s="1"/>
      <c r="BN117" s="1"/>
      <c r="BO117" s="1"/>
    </row>
    <row r="118" spans="22:67" s="20" customFormat="1" ht="22.5" customHeight="1" x14ac:dyDescent="0.25">
      <c r="V118" s="133"/>
      <c r="W118" s="133"/>
      <c r="AW118" s="1"/>
      <c r="AX118" s="1"/>
      <c r="AY118" s="1"/>
      <c r="BE118" s="1"/>
      <c r="BF118" s="1"/>
      <c r="BG118" s="1"/>
      <c r="BM118" s="1"/>
      <c r="BN118" s="1"/>
      <c r="BO118" s="1"/>
    </row>
    <row r="119" spans="22:67" s="20" customFormat="1" ht="22.5" customHeight="1" x14ac:dyDescent="0.25">
      <c r="V119" s="133"/>
      <c r="W119" s="133"/>
      <c r="AW119" s="1"/>
      <c r="AX119" s="1"/>
      <c r="AY119" s="1"/>
      <c r="BE119" s="1"/>
      <c r="BF119" s="1"/>
      <c r="BG119" s="1"/>
      <c r="BM119" s="1"/>
      <c r="BN119" s="1"/>
      <c r="BO119" s="1"/>
    </row>
    <row r="120" spans="22:67" s="20" customFormat="1" ht="22.5" customHeight="1" x14ac:dyDescent="0.25">
      <c r="V120" s="133"/>
      <c r="W120" s="133"/>
      <c r="AW120" s="1"/>
      <c r="AX120" s="1"/>
      <c r="AY120" s="1"/>
      <c r="BE120" s="1"/>
      <c r="BF120" s="1"/>
      <c r="BG120" s="1"/>
      <c r="BM120" s="1"/>
      <c r="BN120" s="1"/>
      <c r="BO120" s="1"/>
    </row>
    <row r="121" spans="22:67" s="20" customFormat="1" ht="22.5" customHeight="1" x14ac:dyDescent="0.25">
      <c r="V121" s="133"/>
      <c r="W121" s="133"/>
      <c r="AW121" s="1"/>
      <c r="AX121" s="1"/>
      <c r="AY121" s="1"/>
      <c r="BE121" s="1"/>
      <c r="BF121" s="1"/>
      <c r="BG121" s="1"/>
      <c r="BM121" s="1"/>
      <c r="BN121" s="1"/>
      <c r="BO121" s="1"/>
    </row>
    <row r="122" spans="22:67" s="20" customFormat="1" ht="22.5" customHeight="1" x14ac:dyDescent="0.25">
      <c r="V122" s="133"/>
      <c r="W122" s="133"/>
      <c r="AW122" s="1"/>
      <c r="AX122" s="1"/>
      <c r="AY122" s="1"/>
      <c r="BE122" s="1"/>
      <c r="BF122" s="1"/>
      <c r="BG122" s="1"/>
      <c r="BM122" s="1"/>
      <c r="BN122" s="1"/>
      <c r="BO122" s="1"/>
    </row>
    <row r="123" spans="22:67" s="20" customFormat="1" ht="22.5" customHeight="1" x14ac:dyDescent="0.25">
      <c r="V123" s="133"/>
      <c r="W123" s="133"/>
      <c r="AW123" s="1"/>
      <c r="AX123" s="1"/>
      <c r="AY123" s="1"/>
      <c r="BE123" s="1"/>
      <c r="BF123" s="1"/>
      <c r="BG123" s="1"/>
      <c r="BM123" s="1"/>
      <c r="BN123" s="1"/>
      <c r="BO123" s="1"/>
    </row>
    <row r="124" spans="22:67" s="20" customFormat="1" ht="22.5" customHeight="1" x14ac:dyDescent="0.25">
      <c r="V124" s="133"/>
      <c r="W124" s="133"/>
      <c r="AW124" s="1"/>
      <c r="AX124" s="1"/>
      <c r="AY124" s="1"/>
      <c r="BE124" s="1"/>
      <c r="BF124" s="1"/>
      <c r="BG124" s="1"/>
      <c r="BM124" s="1"/>
      <c r="BN124" s="1"/>
      <c r="BO124" s="1"/>
    </row>
    <row r="125" spans="22:67" s="20" customFormat="1" ht="22.5" customHeight="1" x14ac:dyDescent="0.25">
      <c r="V125" s="133"/>
      <c r="W125" s="133"/>
      <c r="AW125" s="1"/>
      <c r="AX125" s="1"/>
      <c r="AY125" s="1"/>
      <c r="BE125" s="1"/>
      <c r="BF125" s="1"/>
      <c r="BG125" s="1"/>
      <c r="BM125" s="1"/>
      <c r="BN125" s="1"/>
      <c r="BO125" s="1"/>
    </row>
    <row r="126" spans="22:67" s="20" customFormat="1" ht="22.5" customHeight="1" x14ac:dyDescent="0.25">
      <c r="V126" s="133"/>
      <c r="W126" s="133"/>
      <c r="AW126" s="1"/>
      <c r="AX126" s="1"/>
      <c r="AY126" s="1"/>
      <c r="BE126" s="1"/>
      <c r="BF126" s="1"/>
      <c r="BG126" s="1"/>
      <c r="BM126" s="1"/>
      <c r="BN126" s="1"/>
      <c r="BO126" s="1"/>
    </row>
    <row r="127" spans="22:67" s="20" customFormat="1" ht="22.5" customHeight="1" x14ac:dyDescent="0.25">
      <c r="V127" s="133"/>
      <c r="W127" s="133"/>
      <c r="AW127" s="1"/>
      <c r="AX127" s="1"/>
      <c r="AY127" s="1"/>
      <c r="BE127" s="1"/>
      <c r="BF127" s="1"/>
      <c r="BG127" s="1"/>
      <c r="BM127" s="1"/>
      <c r="BN127" s="1"/>
      <c r="BO127" s="1"/>
    </row>
    <row r="128" spans="22:67" s="20" customFormat="1" ht="22.5" customHeight="1" x14ac:dyDescent="0.25">
      <c r="V128" s="133"/>
      <c r="W128" s="133"/>
      <c r="AW128" s="1"/>
      <c r="AX128" s="1"/>
      <c r="AY128" s="1"/>
      <c r="BE128" s="1"/>
      <c r="BF128" s="1"/>
      <c r="BG128" s="1"/>
      <c r="BM128" s="1"/>
      <c r="BN128" s="1"/>
      <c r="BO128" s="1"/>
    </row>
    <row r="129" spans="22:67" s="20" customFormat="1" ht="22.5" customHeight="1" x14ac:dyDescent="0.25">
      <c r="V129" s="133"/>
      <c r="W129" s="133"/>
      <c r="AW129" s="1"/>
      <c r="AX129" s="1"/>
      <c r="AY129" s="1"/>
      <c r="BE129" s="1"/>
      <c r="BF129" s="1"/>
      <c r="BG129" s="1"/>
      <c r="BM129" s="1"/>
      <c r="BN129" s="1"/>
      <c r="BO129" s="1"/>
    </row>
    <row r="130" spans="22:67" s="20" customFormat="1" ht="22.5" customHeight="1" x14ac:dyDescent="0.25">
      <c r="V130" s="133"/>
      <c r="W130" s="133"/>
      <c r="AW130" s="1"/>
      <c r="AX130" s="1"/>
      <c r="AY130" s="1"/>
      <c r="BE130" s="1"/>
      <c r="BF130" s="1"/>
      <c r="BG130" s="1"/>
      <c r="BM130" s="1"/>
      <c r="BN130" s="1"/>
      <c r="BO130" s="1"/>
    </row>
    <row r="131" spans="22:67" s="20" customFormat="1" ht="22.5" customHeight="1" x14ac:dyDescent="0.25">
      <c r="V131" s="133"/>
      <c r="W131" s="133"/>
      <c r="AW131" s="1"/>
      <c r="AX131" s="1"/>
      <c r="AY131" s="1"/>
      <c r="BE131" s="1"/>
      <c r="BF131" s="1"/>
      <c r="BG131" s="1"/>
      <c r="BM131" s="1"/>
      <c r="BN131" s="1"/>
      <c r="BO131" s="1"/>
    </row>
    <row r="132" spans="22:67" s="20" customFormat="1" ht="22.5" customHeight="1" x14ac:dyDescent="0.25">
      <c r="V132" s="133"/>
      <c r="W132" s="133"/>
      <c r="AW132" s="1"/>
      <c r="AX132" s="1"/>
      <c r="AY132" s="1"/>
      <c r="BE132" s="1"/>
      <c r="BF132" s="1"/>
      <c r="BG132" s="1"/>
      <c r="BM132" s="1"/>
      <c r="BN132" s="1"/>
      <c r="BO132" s="1"/>
    </row>
    <row r="133" spans="22:67" s="20" customFormat="1" ht="22.5" customHeight="1" x14ac:dyDescent="0.25">
      <c r="V133" s="133"/>
      <c r="W133" s="133"/>
      <c r="AW133" s="1"/>
      <c r="AX133" s="1"/>
      <c r="AY133" s="1"/>
      <c r="BE133" s="1"/>
      <c r="BF133" s="1"/>
      <c r="BG133" s="1"/>
      <c r="BM133" s="1"/>
      <c r="BN133" s="1"/>
      <c r="BO133" s="1"/>
    </row>
    <row r="134" spans="22:67" s="20" customFormat="1" ht="22.5" customHeight="1" x14ac:dyDescent="0.25">
      <c r="V134" s="133"/>
      <c r="W134" s="133"/>
      <c r="AW134" s="1"/>
      <c r="AX134" s="1"/>
      <c r="AY134" s="1"/>
      <c r="BE134" s="1"/>
      <c r="BF134" s="1"/>
      <c r="BG134" s="1"/>
      <c r="BM134" s="1"/>
      <c r="BN134" s="1"/>
      <c r="BO134" s="1"/>
    </row>
    <row r="135" spans="22:67" s="20" customFormat="1" ht="22.5" customHeight="1" x14ac:dyDescent="0.25">
      <c r="V135" s="133"/>
      <c r="W135" s="133"/>
      <c r="AW135" s="1"/>
      <c r="AX135" s="1"/>
      <c r="AY135" s="1"/>
      <c r="BE135" s="1"/>
      <c r="BF135" s="1"/>
      <c r="BG135" s="1"/>
      <c r="BM135" s="1"/>
      <c r="BN135" s="1"/>
      <c r="BO135" s="1"/>
    </row>
    <row r="136" spans="22:67" s="20" customFormat="1" ht="22.5" customHeight="1" x14ac:dyDescent="0.25">
      <c r="V136" s="133"/>
      <c r="W136" s="133"/>
      <c r="AW136" s="1"/>
      <c r="AX136" s="1"/>
      <c r="AY136" s="1"/>
      <c r="BE136" s="1"/>
      <c r="BF136" s="1"/>
      <c r="BG136" s="1"/>
      <c r="BM136" s="1"/>
      <c r="BN136" s="1"/>
      <c r="BO136" s="1"/>
    </row>
    <row r="137" spans="22:67" s="20" customFormat="1" ht="22.5" customHeight="1" x14ac:dyDescent="0.25">
      <c r="V137" s="133"/>
      <c r="W137" s="133"/>
      <c r="AW137" s="1"/>
      <c r="AX137" s="1"/>
      <c r="AY137" s="1"/>
      <c r="BE137" s="1"/>
      <c r="BF137" s="1"/>
      <c r="BG137" s="1"/>
      <c r="BM137" s="1"/>
      <c r="BN137" s="1"/>
      <c r="BO137" s="1"/>
    </row>
    <row r="138" spans="22:67" s="20" customFormat="1" ht="22.5" customHeight="1" x14ac:dyDescent="0.25">
      <c r="V138" s="133"/>
      <c r="W138" s="133"/>
      <c r="AW138" s="1"/>
      <c r="AX138" s="1"/>
      <c r="AY138" s="1"/>
      <c r="BE138" s="1"/>
      <c r="BF138" s="1"/>
      <c r="BG138" s="1"/>
      <c r="BM138" s="1"/>
      <c r="BN138" s="1"/>
      <c r="BO138" s="1"/>
    </row>
    <row r="139" spans="22:67" s="20" customFormat="1" ht="22.5" customHeight="1" x14ac:dyDescent="0.25">
      <c r="V139" s="133"/>
      <c r="W139" s="133"/>
      <c r="AW139" s="1"/>
      <c r="AX139" s="1"/>
      <c r="AY139" s="1"/>
      <c r="BE139" s="1"/>
      <c r="BF139" s="1"/>
      <c r="BG139" s="1"/>
      <c r="BM139" s="1"/>
      <c r="BN139" s="1"/>
      <c r="BO139" s="1"/>
    </row>
    <row r="140" spans="22:67" s="20" customFormat="1" ht="22.5" customHeight="1" x14ac:dyDescent="0.25">
      <c r="V140" s="133"/>
      <c r="W140" s="133"/>
      <c r="AW140" s="1"/>
      <c r="AX140" s="1"/>
      <c r="AY140" s="1"/>
      <c r="BE140" s="1"/>
      <c r="BF140" s="1"/>
      <c r="BG140" s="1"/>
      <c r="BM140" s="1"/>
      <c r="BN140" s="1"/>
      <c r="BO140" s="1"/>
    </row>
    <row r="141" spans="22:67" s="20" customFormat="1" ht="22.5" customHeight="1" x14ac:dyDescent="0.25">
      <c r="V141" s="133"/>
      <c r="W141" s="133"/>
      <c r="AW141" s="1"/>
      <c r="AX141" s="1"/>
      <c r="AY141" s="1"/>
      <c r="BE141" s="1"/>
      <c r="BF141" s="1"/>
      <c r="BG141" s="1"/>
      <c r="BM141" s="1"/>
      <c r="BN141" s="1"/>
      <c r="BO141" s="1"/>
    </row>
    <row r="142" spans="22:67" s="20" customFormat="1" ht="22.5" customHeight="1" x14ac:dyDescent="0.25">
      <c r="V142" s="133"/>
      <c r="W142" s="133"/>
      <c r="AW142" s="1"/>
      <c r="AX142" s="1"/>
      <c r="AY142" s="1"/>
      <c r="BE142" s="1"/>
      <c r="BF142" s="1"/>
      <c r="BG142" s="1"/>
      <c r="BM142" s="1"/>
      <c r="BN142" s="1"/>
      <c r="BO142" s="1"/>
    </row>
    <row r="143" spans="22:67" s="20" customFormat="1" ht="22.5" customHeight="1" x14ac:dyDescent="0.25">
      <c r="V143" s="133"/>
      <c r="W143" s="133"/>
      <c r="AW143" s="1"/>
      <c r="AX143" s="1"/>
      <c r="AY143" s="1"/>
      <c r="BE143" s="1"/>
      <c r="BF143" s="1"/>
      <c r="BG143" s="1"/>
      <c r="BM143" s="1"/>
      <c r="BN143" s="1"/>
      <c r="BO143" s="1"/>
    </row>
    <row r="144" spans="22:67" s="20" customFormat="1" ht="22.5" customHeight="1" x14ac:dyDescent="0.25">
      <c r="V144" s="133"/>
      <c r="W144" s="133"/>
      <c r="AW144" s="1"/>
      <c r="AX144" s="1"/>
      <c r="AY144" s="1"/>
      <c r="BE144" s="1"/>
      <c r="BF144" s="1"/>
      <c r="BG144" s="1"/>
      <c r="BM144" s="1"/>
      <c r="BN144" s="1"/>
      <c r="BO144" s="1"/>
    </row>
    <row r="145" spans="22:67" s="20" customFormat="1" ht="22.5" customHeight="1" x14ac:dyDescent="0.25">
      <c r="V145" s="133"/>
      <c r="W145" s="133"/>
      <c r="AW145" s="1"/>
      <c r="AX145" s="1"/>
      <c r="AY145" s="1"/>
      <c r="BE145" s="1"/>
      <c r="BF145" s="1"/>
      <c r="BG145" s="1"/>
      <c r="BM145" s="1"/>
      <c r="BN145" s="1"/>
      <c r="BO145" s="1"/>
    </row>
    <row r="146" spans="22:67" s="20" customFormat="1" ht="22.5" customHeight="1" x14ac:dyDescent="0.25">
      <c r="V146" s="133"/>
      <c r="W146" s="133"/>
      <c r="AW146" s="1"/>
      <c r="AX146" s="1"/>
      <c r="AY146" s="1"/>
      <c r="BE146" s="1"/>
      <c r="BF146" s="1"/>
      <c r="BG146" s="1"/>
      <c r="BM146" s="1"/>
      <c r="BN146" s="1"/>
      <c r="BO146" s="1"/>
    </row>
    <row r="147" spans="22:67" s="20" customFormat="1" ht="22.5" customHeight="1" x14ac:dyDescent="0.25">
      <c r="V147" s="133"/>
      <c r="W147" s="133"/>
      <c r="AW147" s="1"/>
      <c r="AX147" s="1"/>
      <c r="AY147" s="1"/>
      <c r="BE147" s="1"/>
      <c r="BF147" s="1"/>
      <c r="BG147" s="1"/>
      <c r="BM147" s="1"/>
      <c r="BN147" s="1"/>
      <c r="BO147" s="1"/>
    </row>
    <row r="148" spans="22:67" s="20" customFormat="1" ht="22.5" customHeight="1" x14ac:dyDescent="0.25">
      <c r="V148" s="133"/>
      <c r="W148" s="133"/>
      <c r="AW148" s="1"/>
      <c r="AX148" s="1"/>
      <c r="AY148" s="1"/>
      <c r="BE148" s="1"/>
      <c r="BF148" s="1"/>
      <c r="BG148" s="1"/>
      <c r="BM148" s="1"/>
      <c r="BN148" s="1"/>
      <c r="BO148" s="1"/>
    </row>
    <row r="149" spans="22:67" s="20" customFormat="1" ht="22.5" customHeight="1" x14ac:dyDescent="0.25">
      <c r="V149" s="133"/>
      <c r="W149" s="133"/>
      <c r="AW149" s="1"/>
      <c r="AX149" s="1"/>
      <c r="AY149" s="1"/>
      <c r="BE149" s="1"/>
      <c r="BF149" s="1"/>
      <c r="BG149" s="1"/>
      <c r="BM149" s="1"/>
      <c r="BN149" s="1"/>
      <c r="BO149" s="1"/>
    </row>
    <row r="150" spans="22:67" s="20" customFormat="1" ht="22.5" customHeight="1" x14ac:dyDescent="0.25">
      <c r="V150" s="133"/>
      <c r="W150" s="133"/>
      <c r="AW150" s="1"/>
      <c r="AX150" s="1"/>
      <c r="AY150" s="1"/>
      <c r="BE150" s="1"/>
      <c r="BF150" s="1"/>
      <c r="BG150" s="1"/>
      <c r="BM150" s="1"/>
      <c r="BN150" s="1"/>
      <c r="BO150" s="1"/>
    </row>
    <row r="151" spans="22:67" s="20" customFormat="1" ht="22.5" customHeight="1" x14ac:dyDescent="0.25">
      <c r="V151" s="133"/>
      <c r="W151" s="133"/>
      <c r="AW151" s="1"/>
      <c r="AX151" s="1"/>
      <c r="AY151" s="1"/>
      <c r="BE151" s="1"/>
      <c r="BF151" s="1"/>
      <c r="BG151" s="1"/>
      <c r="BM151" s="1"/>
      <c r="BN151" s="1"/>
      <c r="BO151" s="1"/>
    </row>
    <row r="152" spans="22:67" s="20" customFormat="1" ht="22.5" customHeight="1" x14ac:dyDescent="0.25">
      <c r="V152" s="133"/>
      <c r="W152" s="133"/>
      <c r="AW152" s="1"/>
      <c r="AX152" s="1"/>
      <c r="AY152" s="1"/>
      <c r="BE152" s="1"/>
      <c r="BF152" s="1"/>
      <c r="BG152" s="1"/>
      <c r="BM152" s="1"/>
      <c r="BN152" s="1"/>
      <c r="BO152" s="1"/>
    </row>
    <row r="153" spans="22:67" s="20" customFormat="1" ht="22.5" customHeight="1" x14ac:dyDescent="0.25">
      <c r="V153" s="133"/>
      <c r="W153" s="133"/>
      <c r="AW153" s="1"/>
      <c r="AX153" s="1"/>
      <c r="AY153" s="1"/>
      <c r="BE153" s="1"/>
      <c r="BF153" s="1"/>
      <c r="BG153" s="1"/>
      <c r="BM153" s="1"/>
      <c r="BN153" s="1"/>
      <c r="BO153" s="1"/>
    </row>
    <row r="154" spans="22:67" s="20" customFormat="1" ht="22.5" customHeight="1" x14ac:dyDescent="0.25">
      <c r="V154" s="133"/>
      <c r="W154" s="133"/>
      <c r="AW154" s="1"/>
      <c r="AX154" s="1"/>
      <c r="AY154" s="1"/>
      <c r="BE154" s="1"/>
      <c r="BF154" s="1"/>
      <c r="BG154" s="1"/>
      <c r="BM154" s="1"/>
      <c r="BN154" s="1"/>
      <c r="BO154" s="1"/>
    </row>
    <row r="155" spans="22:67" s="20" customFormat="1" ht="22.5" customHeight="1" x14ac:dyDescent="0.25">
      <c r="V155" s="133"/>
      <c r="W155" s="133"/>
      <c r="AW155" s="1"/>
      <c r="AX155" s="1"/>
      <c r="AY155" s="1"/>
      <c r="BE155" s="1"/>
      <c r="BF155" s="1"/>
      <c r="BG155" s="1"/>
      <c r="BM155" s="1"/>
      <c r="BN155" s="1"/>
      <c r="BO155" s="1"/>
    </row>
    <row r="156" spans="22:67" s="20" customFormat="1" ht="22.5" customHeight="1" x14ac:dyDescent="0.25">
      <c r="V156" s="133"/>
      <c r="W156" s="133"/>
      <c r="AW156" s="1"/>
      <c r="AX156" s="1"/>
      <c r="AY156" s="1"/>
      <c r="BE156" s="1"/>
      <c r="BF156" s="1"/>
      <c r="BG156" s="1"/>
      <c r="BM156" s="1"/>
      <c r="BN156" s="1"/>
      <c r="BO156" s="1"/>
    </row>
    <row r="157" spans="22:67" s="20" customFormat="1" ht="22.5" customHeight="1" x14ac:dyDescent="0.25">
      <c r="V157" s="133"/>
      <c r="W157" s="133"/>
      <c r="AW157" s="1"/>
      <c r="AX157" s="1"/>
      <c r="AY157" s="1"/>
      <c r="BE157" s="1"/>
      <c r="BF157" s="1"/>
      <c r="BG157" s="1"/>
      <c r="BM157" s="1"/>
      <c r="BN157" s="1"/>
      <c r="BO157" s="1"/>
    </row>
    <row r="158" spans="22:67" s="20" customFormat="1" ht="22.5" customHeight="1" x14ac:dyDescent="0.25">
      <c r="V158" s="133"/>
      <c r="W158" s="133"/>
      <c r="AW158" s="1"/>
      <c r="AX158" s="1"/>
      <c r="AY158" s="1"/>
      <c r="BE158" s="1"/>
      <c r="BF158" s="1"/>
      <c r="BG158" s="1"/>
      <c r="BM158" s="1"/>
      <c r="BN158" s="1"/>
      <c r="BO158" s="1"/>
    </row>
    <row r="159" spans="22:67" s="20" customFormat="1" ht="22.5" customHeight="1" x14ac:dyDescent="0.25">
      <c r="V159" s="133"/>
      <c r="W159" s="133"/>
      <c r="AW159" s="1"/>
      <c r="AX159" s="1"/>
      <c r="AY159" s="1"/>
      <c r="BE159" s="1"/>
      <c r="BF159" s="1"/>
      <c r="BG159" s="1"/>
      <c r="BM159" s="1"/>
      <c r="BN159" s="1"/>
      <c r="BO159" s="1"/>
    </row>
    <row r="160" spans="22:67" s="20" customFormat="1" ht="22.5" customHeight="1" x14ac:dyDescent="0.25">
      <c r="V160" s="133"/>
      <c r="W160" s="133"/>
      <c r="AW160" s="1"/>
      <c r="AX160" s="1"/>
      <c r="AY160" s="1"/>
      <c r="BE160" s="1"/>
      <c r="BF160" s="1"/>
      <c r="BG160" s="1"/>
      <c r="BM160" s="1"/>
      <c r="BN160" s="1"/>
      <c r="BO160" s="1"/>
    </row>
    <row r="161" spans="22:67" s="20" customFormat="1" ht="22.5" customHeight="1" x14ac:dyDescent="0.25">
      <c r="V161" s="133"/>
      <c r="W161" s="133"/>
      <c r="AW161" s="1"/>
      <c r="AX161" s="1"/>
      <c r="AY161" s="1"/>
      <c r="BE161" s="1"/>
      <c r="BF161" s="1"/>
      <c r="BG161" s="1"/>
      <c r="BM161" s="1"/>
      <c r="BN161" s="1"/>
      <c r="BO161" s="1"/>
    </row>
    <row r="162" spans="22:67" s="20" customFormat="1" ht="22.5" customHeight="1" x14ac:dyDescent="0.25">
      <c r="V162" s="133"/>
      <c r="W162" s="133"/>
      <c r="AW162" s="1"/>
      <c r="AX162" s="1"/>
      <c r="AY162" s="1"/>
      <c r="BE162" s="1"/>
      <c r="BF162" s="1"/>
      <c r="BG162" s="1"/>
      <c r="BM162" s="1"/>
      <c r="BN162" s="1"/>
      <c r="BO162" s="1"/>
    </row>
    <row r="163" spans="22:67" s="20" customFormat="1" ht="22.5" customHeight="1" x14ac:dyDescent="0.25">
      <c r="V163" s="133"/>
      <c r="W163" s="133"/>
      <c r="AW163" s="1"/>
      <c r="AX163" s="1"/>
      <c r="AY163" s="1"/>
      <c r="BE163" s="1"/>
      <c r="BF163" s="1"/>
      <c r="BG163" s="1"/>
      <c r="BM163" s="1"/>
      <c r="BN163" s="1"/>
      <c r="BO163" s="1"/>
    </row>
    <row r="164" spans="22:67" s="20" customFormat="1" ht="22.5" customHeight="1" x14ac:dyDescent="0.25">
      <c r="V164" s="133"/>
      <c r="W164" s="133"/>
      <c r="AW164" s="1"/>
      <c r="AX164" s="1"/>
      <c r="AY164" s="1"/>
      <c r="BE164" s="1"/>
      <c r="BF164" s="1"/>
      <c r="BG164" s="1"/>
      <c r="BM164" s="1"/>
      <c r="BN164" s="1"/>
      <c r="BO164" s="1"/>
    </row>
    <row r="165" spans="22:67" s="20" customFormat="1" ht="22.5" customHeight="1" x14ac:dyDescent="0.25">
      <c r="V165" s="133"/>
      <c r="W165" s="133"/>
      <c r="AW165" s="1"/>
      <c r="AX165" s="1"/>
      <c r="AY165" s="1"/>
      <c r="BE165" s="1"/>
      <c r="BF165" s="1"/>
      <c r="BG165" s="1"/>
      <c r="BM165" s="1"/>
      <c r="BN165" s="1"/>
      <c r="BO165" s="1"/>
    </row>
    <row r="166" spans="22:67" s="20" customFormat="1" ht="22.5" customHeight="1" x14ac:dyDescent="0.25">
      <c r="V166" s="133"/>
      <c r="W166" s="133"/>
      <c r="AW166" s="1"/>
      <c r="AX166" s="1"/>
      <c r="AY166" s="1"/>
      <c r="BE166" s="1"/>
      <c r="BF166" s="1"/>
      <c r="BG166" s="1"/>
      <c r="BM166" s="1"/>
      <c r="BN166" s="1"/>
      <c r="BO166" s="1"/>
    </row>
    <row r="167" spans="22:67" s="20" customFormat="1" ht="22.5" customHeight="1" x14ac:dyDescent="0.25">
      <c r="V167" s="133"/>
      <c r="W167" s="133"/>
      <c r="AW167" s="1"/>
      <c r="AX167" s="1"/>
      <c r="AY167" s="1"/>
      <c r="BE167" s="1"/>
      <c r="BF167" s="1"/>
      <c r="BG167" s="1"/>
      <c r="BM167" s="1"/>
      <c r="BN167" s="1"/>
      <c r="BO167" s="1"/>
    </row>
    <row r="168" spans="22:67" s="20" customFormat="1" ht="22.5" customHeight="1" x14ac:dyDescent="0.25">
      <c r="V168" s="133"/>
      <c r="W168" s="133"/>
      <c r="AW168" s="1"/>
      <c r="AX168" s="1"/>
      <c r="AY168" s="1"/>
      <c r="BE168" s="1"/>
      <c r="BF168" s="1"/>
      <c r="BG168" s="1"/>
      <c r="BM168" s="1"/>
      <c r="BN168" s="1"/>
      <c r="BO168" s="1"/>
    </row>
    <row r="169" spans="22:67" s="20" customFormat="1" ht="22.5" customHeight="1" x14ac:dyDescent="0.25">
      <c r="V169" s="133"/>
      <c r="W169" s="133"/>
      <c r="AW169" s="1"/>
      <c r="AX169" s="1"/>
      <c r="AY169" s="1"/>
      <c r="BE169" s="1"/>
      <c r="BF169" s="1"/>
      <c r="BG169" s="1"/>
      <c r="BM169" s="1"/>
      <c r="BN169" s="1"/>
      <c r="BO169" s="1"/>
    </row>
    <row r="170" spans="22:67" s="20" customFormat="1" ht="22.5" customHeight="1" x14ac:dyDescent="0.25">
      <c r="V170" s="133"/>
      <c r="W170" s="133"/>
      <c r="AW170" s="1"/>
      <c r="AX170" s="1"/>
      <c r="AY170" s="1"/>
      <c r="BE170" s="1"/>
      <c r="BF170" s="1"/>
      <c r="BG170" s="1"/>
      <c r="BM170" s="1"/>
      <c r="BN170" s="1"/>
      <c r="BO170" s="1"/>
    </row>
    <row r="171" spans="22:67" s="20" customFormat="1" ht="22.5" customHeight="1" x14ac:dyDescent="0.25">
      <c r="V171" s="133"/>
      <c r="W171" s="133"/>
      <c r="AW171" s="1"/>
      <c r="AX171" s="1"/>
      <c r="AY171" s="1"/>
      <c r="BE171" s="1"/>
      <c r="BF171" s="1"/>
      <c r="BG171" s="1"/>
      <c r="BM171" s="1"/>
      <c r="BN171" s="1"/>
      <c r="BO171" s="1"/>
    </row>
    <row r="172" spans="22:67" s="20" customFormat="1" ht="22.5" customHeight="1" x14ac:dyDescent="0.25">
      <c r="V172" s="133"/>
      <c r="W172" s="133"/>
      <c r="AW172" s="1"/>
      <c r="AX172" s="1"/>
      <c r="AY172" s="1"/>
      <c r="BE172" s="1"/>
      <c r="BF172" s="1"/>
      <c r="BG172" s="1"/>
      <c r="BM172" s="1"/>
      <c r="BN172" s="1"/>
      <c r="BO172" s="1"/>
    </row>
    <row r="173" spans="22:67" s="20" customFormat="1" ht="22.5" customHeight="1" x14ac:dyDescent="0.25">
      <c r="V173" s="133"/>
      <c r="W173" s="133"/>
      <c r="AW173" s="1"/>
      <c r="AX173" s="1"/>
      <c r="AY173" s="1"/>
      <c r="BE173" s="1"/>
      <c r="BF173" s="1"/>
      <c r="BG173" s="1"/>
      <c r="BM173" s="1"/>
      <c r="BN173" s="1"/>
      <c r="BO173" s="1"/>
    </row>
    <row r="174" spans="22:67" s="20" customFormat="1" ht="22.5" customHeight="1" x14ac:dyDescent="0.25">
      <c r="V174" s="133"/>
      <c r="W174" s="133"/>
      <c r="AW174" s="1"/>
      <c r="AX174" s="1"/>
      <c r="AY174" s="1"/>
      <c r="BE174" s="1"/>
      <c r="BF174" s="1"/>
      <c r="BG174" s="1"/>
      <c r="BM174" s="1"/>
      <c r="BN174" s="1"/>
      <c r="BO174" s="1"/>
    </row>
    <row r="175" spans="22:67" s="20" customFormat="1" ht="22.5" customHeight="1" x14ac:dyDescent="0.25">
      <c r="V175" s="133"/>
      <c r="W175" s="133"/>
      <c r="AW175" s="1"/>
      <c r="AX175" s="1"/>
      <c r="AY175" s="1"/>
      <c r="BE175" s="1"/>
      <c r="BF175" s="1"/>
      <c r="BG175" s="1"/>
      <c r="BM175" s="1"/>
      <c r="BN175" s="1"/>
      <c r="BO175" s="1"/>
    </row>
    <row r="176" spans="22:67" s="20" customFormat="1" ht="22.5" customHeight="1" x14ac:dyDescent="0.25">
      <c r="V176" s="133"/>
      <c r="W176" s="133"/>
      <c r="AW176" s="1"/>
      <c r="AX176" s="1"/>
      <c r="AY176" s="1"/>
      <c r="BE176" s="1"/>
      <c r="BF176" s="1"/>
      <c r="BG176" s="1"/>
      <c r="BM176" s="1"/>
      <c r="BN176" s="1"/>
      <c r="BO176" s="1"/>
    </row>
    <row r="177" spans="22:67" s="20" customFormat="1" ht="22.5" customHeight="1" x14ac:dyDescent="0.25">
      <c r="V177" s="133"/>
      <c r="W177" s="133"/>
      <c r="AW177" s="1"/>
      <c r="AX177" s="1"/>
      <c r="AY177" s="1"/>
      <c r="BE177" s="1"/>
      <c r="BF177" s="1"/>
      <c r="BG177" s="1"/>
      <c r="BM177" s="1"/>
      <c r="BN177" s="1"/>
      <c r="BO177" s="1"/>
    </row>
    <row r="178" spans="22:67" s="20" customFormat="1" ht="22.5" customHeight="1" x14ac:dyDescent="0.25">
      <c r="V178" s="133"/>
      <c r="W178" s="133"/>
      <c r="AW178" s="1"/>
      <c r="AX178" s="1"/>
      <c r="AY178" s="1"/>
      <c r="BE178" s="1"/>
      <c r="BF178" s="1"/>
      <c r="BG178" s="1"/>
      <c r="BM178" s="1"/>
      <c r="BN178" s="1"/>
      <c r="BO178" s="1"/>
    </row>
    <row r="179" spans="22:67" s="20" customFormat="1" ht="22.5" customHeight="1" x14ac:dyDescent="0.25">
      <c r="V179" s="133"/>
      <c r="W179" s="133"/>
      <c r="AW179" s="1"/>
      <c r="AX179" s="1"/>
      <c r="AY179" s="1"/>
      <c r="BE179" s="1"/>
      <c r="BF179" s="1"/>
      <c r="BG179" s="1"/>
      <c r="BM179" s="1"/>
      <c r="BN179" s="1"/>
      <c r="BO179" s="1"/>
    </row>
    <row r="180" spans="22:67" s="20" customFormat="1" ht="22.5" customHeight="1" x14ac:dyDescent="0.25">
      <c r="V180" s="133"/>
      <c r="W180" s="133"/>
      <c r="AW180" s="1"/>
      <c r="AX180" s="1"/>
      <c r="AY180" s="1"/>
      <c r="BE180" s="1"/>
      <c r="BF180" s="1"/>
      <c r="BG180" s="1"/>
      <c r="BM180" s="1"/>
      <c r="BN180" s="1"/>
      <c r="BO180" s="1"/>
    </row>
    <row r="181" spans="22:67" s="20" customFormat="1" ht="22.5" customHeight="1" x14ac:dyDescent="0.25">
      <c r="V181" s="133"/>
      <c r="W181" s="133"/>
      <c r="AW181" s="1"/>
      <c r="AX181" s="1"/>
      <c r="AY181" s="1"/>
      <c r="BE181" s="1"/>
      <c r="BF181" s="1"/>
      <c r="BG181" s="1"/>
      <c r="BM181" s="1"/>
      <c r="BN181" s="1"/>
      <c r="BO181" s="1"/>
    </row>
    <row r="182" spans="22:67" s="20" customFormat="1" ht="22.5" customHeight="1" x14ac:dyDescent="0.25">
      <c r="V182" s="133"/>
      <c r="W182" s="133"/>
      <c r="AW182" s="1"/>
      <c r="AX182" s="1"/>
      <c r="AY182" s="1"/>
      <c r="BE182" s="1"/>
      <c r="BF182" s="1"/>
      <c r="BG182" s="1"/>
      <c r="BM182" s="1"/>
      <c r="BN182" s="1"/>
      <c r="BO182" s="1"/>
    </row>
    <row r="183" spans="22:67" s="20" customFormat="1" ht="22.5" customHeight="1" x14ac:dyDescent="0.25">
      <c r="V183" s="133"/>
      <c r="W183" s="133"/>
      <c r="AW183" s="1"/>
      <c r="AX183" s="1"/>
      <c r="AY183" s="1"/>
      <c r="BE183" s="1"/>
      <c r="BF183" s="1"/>
      <c r="BG183" s="1"/>
      <c r="BM183" s="1"/>
      <c r="BN183" s="1"/>
      <c r="BO183" s="1"/>
    </row>
    <row r="184" spans="22:67" s="20" customFormat="1" ht="22.5" customHeight="1" x14ac:dyDescent="0.25">
      <c r="V184" s="133"/>
      <c r="W184" s="133"/>
      <c r="AW184" s="1"/>
      <c r="AX184" s="1"/>
      <c r="AY184" s="1"/>
      <c r="BE184" s="1"/>
      <c r="BF184" s="1"/>
      <c r="BG184" s="1"/>
      <c r="BM184" s="1"/>
      <c r="BN184" s="1"/>
      <c r="BO184" s="1"/>
    </row>
    <row r="185" spans="22:67" s="20" customFormat="1" ht="22.5" customHeight="1" x14ac:dyDescent="0.25">
      <c r="V185" s="133"/>
      <c r="W185" s="133"/>
      <c r="AW185" s="1"/>
      <c r="AX185" s="1"/>
      <c r="AY185" s="1"/>
      <c r="BE185" s="1"/>
      <c r="BF185" s="1"/>
      <c r="BG185" s="1"/>
      <c r="BM185" s="1"/>
      <c r="BN185" s="1"/>
      <c r="BO185" s="1"/>
    </row>
    <row r="186" spans="22:67" s="20" customFormat="1" ht="22.5" customHeight="1" x14ac:dyDescent="0.25">
      <c r="V186" s="133"/>
      <c r="W186" s="133"/>
      <c r="AW186" s="1"/>
      <c r="AX186" s="1"/>
      <c r="AY186" s="1"/>
      <c r="BE186" s="1"/>
      <c r="BF186" s="1"/>
      <c r="BG186" s="1"/>
      <c r="BM186" s="1"/>
      <c r="BN186" s="1"/>
      <c r="BO186" s="1"/>
    </row>
    <row r="187" spans="22:67" s="20" customFormat="1" ht="22.5" customHeight="1" x14ac:dyDescent="0.25">
      <c r="V187" s="133"/>
      <c r="W187" s="133"/>
      <c r="AW187" s="1"/>
      <c r="AX187" s="1"/>
      <c r="AY187" s="1"/>
      <c r="BE187" s="1"/>
      <c r="BF187" s="1"/>
      <c r="BG187" s="1"/>
      <c r="BM187" s="1"/>
      <c r="BN187" s="1"/>
      <c r="BO187" s="1"/>
    </row>
    <row r="188" spans="22:67" s="20" customFormat="1" ht="22.5" customHeight="1" x14ac:dyDescent="0.25">
      <c r="V188" s="133"/>
      <c r="W188" s="133"/>
      <c r="AW188" s="1"/>
      <c r="AX188" s="1"/>
      <c r="AY188" s="1"/>
      <c r="BE188" s="1"/>
      <c r="BF188" s="1"/>
      <c r="BG188" s="1"/>
      <c r="BM188" s="1"/>
      <c r="BN188" s="1"/>
      <c r="BO188" s="1"/>
    </row>
    <row r="189" spans="22:67" s="20" customFormat="1" ht="22.5" customHeight="1" x14ac:dyDescent="0.25">
      <c r="V189" s="133"/>
      <c r="W189" s="133"/>
      <c r="AW189" s="1"/>
      <c r="AX189" s="1"/>
      <c r="AY189" s="1"/>
      <c r="BE189" s="1"/>
      <c r="BF189" s="1"/>
      <c r="BG189" s="1"/>
      <c r="BM189" s="1"/>
      <c r="BN189" s="1"/>
      <c r="BO189" s="1"/>
    </row>
    <row r="190" spans="22:67" s="20" customFormat="1" ht="22.5" customHeight="1" x14ac:dyDescent="0.25">
      <c r="V190" s="133"/>
      <c r="W190" s="133"/>
      <c r="AW190" s="1"/>
      <c r="AX190" s="1"/>
      <c r="AY190" s="1"/>
      <c r="BE190" s="1"/>
      <c r="BF190" s="1"/>
      <c r="BG190" s="1"/>
      <c r="BM190" s="1"/>
      <c r="BN190" s="1"/>
      <c r="BO190" s="1"/>
    </row>
    <row r="191" spans="22:67" s="20" customFormat="1" ht="22.5" customHeight="1" x14ac:dyDescent="0.25">
      <c r="V191" s="133"/>
      <c r="W191" s="133"/>
      <c r="AW191" s="1"/>
      <c r="AX191" s="1"/>
      <c r="AY191" s="1"/>
      <c r="BE191" s="1"/>
      <c r="BF191" s="1"/>
      <c r="BG191" s="1"/>
      <c r="BM191" s="1"/>
      <c r="BN191" s="1"/>
      <c r="BO191" s="1"/>
    </row>
    <row r="192" spans="22:67" s="20" customFormat="1" ht="22.5" customHeight="1" x14ac:dyDescent="0.25">
      <c r="V192" s="133"/>
      <c r="W192" s="133"/>
      <c r="AW192" s="1"/>
      <c r="AX192" s="1"/>
      <c r="AY192" s="1"/>
      <c r="BE192" s="1"/>
      <c r="BF192" s="1"/>
      <c r="BG192" s="1"/>
      <c r="BM192" s="1"/>
      <c r="BN192" s="1"/>
      <c r="BO192" s="1"/>
    </row>
    <row r="193" spans="22:67" s="20" customFormat="1" ht="22.5" customHeight="1" x14ac:dyDescent="0.25">
      <c r="V193" s="133"/>
      <c r="W193" s="133"/>
      <c r="AW193" s="1"/>
      <c r="AX193" s="1"/>
      <c r="AY193" s="1"/>
      <c r="BE193" s="1"/>
      <c r="BF193" s="1"/>
      <c r="BG193" s="1"/>
      <c r="BM193" s="1"/>
      <c r="BN193" s="1"/>
      <c r="BO193" s="1"/>
    </row>
    <row r="194" spans="22:67" s="20" customFormat="1" ht="22.5" customHeight="1" x14ac:dyDescent="0.25">
      <c r="V194" s="133"/>
      <c r="W194" s="133"/>
      <c r="AW194" s="1"/>
      <c r="AX194" s="1"/>
      <c r="AY194" s="1"/>
      <c r="BE194" s="1"/>
      <c r="BF194" s="1"/>
      <c r="BG194" s="1"/>
      <c r="BM194" s="1"/>
      <c r="BN194" s="1"/>
      <c r="BO194" s="1"/>
    </row>
    <row r="195" spans="22:67" s="20" customFormat="1" ht="22.5" customHeight="1" x14ac:dyDescent="0.25">
      <c r="V195" s="133"/>
      <c r="W195" s="133"/>
      <c r="AW195" s="1"/>
      <c r="AX195" s="1"/>
      <c r="AY195" s="1"/>
      <c r="BE195" s="1"/>
      <c r="BF195" s="1"/>
      <c r="BG195" s="1"/>
      <c r="BM195" s="1"/>
      <c r="BN195" s="1"/>
      <c r="BO195" s="1"/>
    </row>
    <row r="196" spans="22:67" s="20" customFormat="1" ht="22.5" customHeight="1" x14ac:dyDescent="0.25">
      <c r="V196" s="133"/>
      <c r="W196" s="133"/>
      <c r="AW196" s="1"/>
      <c r="AX196" s="1"/>
      <c r="AY196" s="1"/>
      <c r="BE196" s="1"/>
      <c r="BF196" s="1"/>
      <c r="BG196" s="1"/>
      <c r="BM196" s="1"/>
      <c r="BN196" s="1"/>
      <c r="BO196" s="1"/>
    </row>
    <row r="197" spans="22:67" s="20" customFormat="1" ht="22.5" customHeight="1" x14ac:dyDescent="0.25">
      <c r="V197" s="133"/>
      <c r="W197" s="133"/>
      <c r="AW197" s="1"/>
      <c r="AX197" s="1"/>
      <c r="AY197" s="1"/>
      <c r="BE197" s="1"/>
      <c r="BF197" s="1"/>
      <c r="BG197" s="1"/>
      <c r="BM197" s="1"/>
      <c r="BN197" s="1"/>
      <c r="BO197" s="1"/>
    </row>
    <row r="198" spans="22:67" s="20" customFormat="1" ht="22.5" customHeight="1" x14ac:dyDescent="0.25">
      <c r="V198" s="133"/>
      <c r="W198" s="133"/>
      <c r="AW198" s="1"/>
      <c r="AX198" s="1"/>
      <c r="AY198" s="1"/>
      <c r="BE198" s="1"/>
      <c r="BF198" s="1"/>
      <c r="BG198" s="1"/>
      <c r="BM198" s="1"/>
      <c r="BN198" s="1"/>
      <c r="BO198" s="1"/>
    </row>
    <row r="199" spans="22:67" s="20" customFormat="1" ht="22.5" customHeight="1" x14ac:dyDescent="0.25">
      <c r="V199" s="133"/>
      <c r="W199" s="133"/>
      <c r="AW199" s="1"/>
      <c r="AX199" s="1"/>
      <c r="AY199" s="1"/>
      <c r="BE199" s="1"/>
      <c r="BF199" s="1"/>
      <c r="BG199" s="1"/>
      <c r="BM199" s="1"/>
      <c r="BN199" s="1"/>
      <c r="BO199" s="1"/>
    </row>
    <row r="200" spans="22:67" s="20" customFormat="1" ht="22.5" customHeight="1" x14ac:dyDescent="0.25">
      <c r="V200" s="133"/>
      <c r="W200" s="133"/>
      <c r="AW200" s="1"/>
      <c r="AX200" s="1"/>
      <c r="AY200" s="1"/>
      <c r="BE200" s="1"/>
      <c r="BF200" s="1"/>
      <c r="BG200" s="1"/>
      <c r="BM200" s="1"/>
      <c r="BN200" s="1"/>
      <c r="BO200" s="1"/>
    </row>
    <row r="201" spans="22:67" s="20" customFormat="1" ht="22.5" customHeight="1" x14ac:dyDescent="0.25">
      <c r="V201" s="133"/>
      <c r="W201" s="133"/>
      <c r="AW201" s="1"/>
      <c r="AX201" s="1"/>
      <c r="AY201" s="1"/>
      <c r="BE201" s="1"/>
      <c r="BF201" s="1"/>
      <c r="BG201" s="1"/>
      <c r="BM201" s="1"/>
      <c r="BN201" s="1"/>
      <c r="BO201" s="1"/>
    </row>
    <row r="202" spans="22:67" s="20" customFormat="1" ht="22.5" customHeight="1" x14ac:dyDescent="0.25">
      <c r="V202" s="133"/>
      <c r="W202" s="133"/>
      <c r="AW202" s="1"/>
      <c r="AX202" s="1"/>
      <c r="AY202" s="1"/>
      <c r="BE202" s="1"/>
      <c r="BF202" s="1"/>
      <c r="BG202" s="1"/>
      <c r="BM202" s="1"/>
      <c r="BN202" s="1"/>
      <c r="BO202" s="1"/>
    </row>
    <row r="203" spans="22:67" s="20" customFormat="1" ht="22.5" customHeight="1" x14ac:dyDescent="0.25">
      <c r="V203" s="133"/>
      <c r="W203" s="133"/>
      <c r="AW203" s="1"/>
      <c r="AX203" s="1"/>
      <c r="AY203" s="1"/>
      <c r="BE203" s="1"/>
      <c r="BF203" s="1"/>
      <c r="BG203" s="1"/>
      <c r="BM203" s="1"/>
      <c r="BN203" s="1"/>
      <c r="BO203" s="1"/>
    </row>
    <row r="204" spans="22:67" s="20" customFormat="1" ht="22.5" customHeight="1" x14ac:dyDescent="0.25">
      <c r="V204" s="133"/>
      <c r="W204" s="133"/>
      <c r="AW204" s="1"/>
      <c r="AX204" s="1"/>
      <c r="AY204" s="1"/>
      <c r="BE204" s="1"/>
      <c r="BF204" s="1"/>
      <c r="BG204" s="1"/>
      <c r="BM204" s="1"/>
      <c r="BN204" s="1"/>
      <c r="BO204" s="1"/>
    </row>
    <row r="205" spans="22:67" s="20" customFormat="1" ht="22.5" customHeight="1" x14ac:dyDescent="0.25">
      <c r="V205" s="133"/>
      <c r="W205" s="133"/>
      <c r="AW205" s="1"/>
      <c r="AX205" s="1"/>
      <c r="AY205" s="1"/>
      <c r="BE205" s="1"/>
      <c r="BF205" s="1"/>
      <c r="BG205" s="1"/>
      <c r="BM205" s="1"/>
      <c r="BN205" s="1"/>
      <c r="BO205" s="1"/>
    </row>
    <row r="206" spans="22:67" s="20" customFormat="1" ht="22.5" customHeight="1" x14ac:dyDescent="0.25">
      <c r="V206" s="133"/>
      <c r="W206" s="133"/>
      <c r="AW206" s="1"/>
      <c r="AX206" s="1"/>
      <c r="AY206" s="1"/>
      <c r="BE206" s="1"/>
      <c r="BF206" s="1"/>
      <c r="BG206" s="1"/>
      <c r="BM206" s="1"/>
      <c r="BN206" s="1"/>
      <c r="BO206" s="1"/>
    </row>
    <row r="207" spans="22:67" s="20" customFormat="1" ht="22.5" customHeight="1" x14ac:dyDescent="0.25">
      <c r="V207" s="133"/>
      <c r="W207" s="133"/>
      <c r="AW207" s="1"/>
      <c r="AX207" s="1"/>
      <c r="AY207" s="1"/>
      <c r="BE207" s="1"/>
      <c r="BF207" s="1"/>
      <c r="BG207" s="1"/>
      <c r="BM207" s="1"/>
      <c r="BN207" s="1"/>
      <c r="BO207" s="1"/>
    </row>
    <row r="208" spans="22:67" s="20" customFormat="1" ht="22.5" customHeight="1" x14ac:dyDescent="0.25">
      <c r="V208" s="133"/>
      <c r="W208" s="133"/>
      <c r="AW208" s="1"/>
      <c r="AX208" s="1"/>
      <c r="AY208" s="1"/>
      <c r="BE208" s="1"/>
      <c r="BF208" s="1"/>
      <c r="BG208" s="1"/>
      <c r="BM208" s="1"/>
      <c r="BN208" s="1"/>
      <c r="BO208" s="1"/>
    </row>
    <row r="209" spans="22:67" s="20" customFormat="1" ht="22.5" customHeight="1" x14ac:dyDescent="0.25">
      <c r="V209" s="133"/>
      <c r="W209" s="133"/>
      <c r="AW209" s="1"/>
      <c r="AX209" s="1"/>
      <c r="AY209" s="1"/>
      <c r="BE209" s="1"/>
      <c r="BF209" s="1"/>
      <c r="BG209" s="1"/>
      <c r="BM209" s="1"/>
      <c r="BN209" s="1"/>
      <c r="BO209" s="1"/>
    </row>
    <row r="210" spans="22:67" s="20" customFormat="1" ht="22.5" customHeight="1" x14ac:dyDescent="0.25">
      <c r="V210" s="133"/>
      <c r="W210" s="133"/>
      <c r="AW210" s="1"/>
      <c r="AX210" s="1"/>
      <c r="AY210" s="1"/>
      <c r="BE210" s="1"/>
      <c r="BF210" s="1"/>
      <c r="BG210" s="1"/>
      <c r="BM210" s="1"/>
      <c r="BN210" s="1"/>
      <c r="BO210" s="1"/>
    </row>
    <row r="211" spans="22:67" s="20" customFormat="1" ht="22.5" customHeight="1" x14ac:dyDescent="0.25">
      <c r="V211" s="133"/>
      <c r="W211" s="133"/>
      <c r="AW211" s="1"/>
      <c r="AX211" s="1"/>
      <c r="AY211" s="1"/>
      <c r="BE211" s="1"/>
      <c r="BF211" s="1"/>
      <c r="BG211" s="1"/>
      <c r="BM211" s="1"/>
      <c r="BN211" s="1"/>
      <c r="BO211" s="1"/>
    </row>
    <row r="212" spans="22:67" s="20" customFormat="1" ht="22.5" customHeight="1" x14ac:dyDescent="0.25">
      <c r="V212" s="133"/>
      <c r="W212" s="133"/>
      <c r="AW212" s="1"/>
      <c r="AX212" s="1"/>
      <c r="AY212" s="1"/>
      <c r="BE212" s="1"/>
      <c r="BF212" s="1"/>
      <c r="BG212" s="1"/>
      <c r="BM212" s="1"/>
      <c r="BN212" s="1"/>
      <c r="BO212" s="1"/>
    </row>
    <row r="213" spans="22:67" s="20" customFormat="1" ht="22.5" customHeight="1" x14ac:dyDescent="0.25">
      <c r="V213" s="133"/>
      <c r="W213" s="133"/>
      <c r="AW213" s="1"/>
      <c r="AX213" s="1"/>
      <c r="AY213" s="1"/>
      <c r="BE213" s="1"/>
      <c r="BF213" s="1"/>
      <c r="BG213" s="1"/>
      <c r="BM213" s="1"/>
      <c r="BN213" s="1"/>
      <c r="BO213" s="1"/>
    </row>
    <row r="214" spans="22:67" s="20" customFormat="1" ht="22.5" customHeight="1" x14ac:dyDescent="0.25">
      <c r="V214" s="133"/>
      <c r="W214" s="133"/>
      <c r="AW214" s="1"/>
      <c r="AX214" s="1"/>
      <c r="AY214" s="1"/>
      <c r="BE214" s="1"/>
      <c r="BF214" s="1"/>
      <c r="BG214" s="1"/>
      <c r="BM214" s="1"/>
      <c r="BN214" s="1"/>
      <c r="BO214" s="1"/>
    </row>
    <row r="215" spans="22:67" s="20" customFormat="1" ht="22.5" customHeight="1" x14ac:dyDescent="0.25">
      <c r="V215" s="133"/>
      <c r="W215" s="133"/>
      <c r="AW215" s="1"/>
      <c r="AX215" s="1"/>
      <c r="AY215" s="1"/>
      <c r="BE215" s="1"/>
      <c r="BF215" s="1"/>
      <c r="BG215" s="1"/>
      <c r="BM215" s="1"/>
      <c r="BN215" s="1"/>
      <c r="BO215" s="1"/>
    </row>
    <row r="216" spans="22:67" s="20" customFormat="1" ht="22.5" customHeight="1" x14ac:dyDescent="0.25">
      <c r="V216" s="133"/>
      <c r="W216" s="133"/>
      <c r="AW216" s="1"/>
      <c r="AX216" s="1"/>
      <c r="AY216" s="1"/>
      <c r="BE216" s="1"/>
      <c r="BF216" s="1"/>
      <c r="BG216" s="1"/>
      <c r="BM216" s="1"/>
      <c r="BN216" s="1"/>
      <c r="BO216" s="1"/>
    </row>
    <row r="217" spans="22:67" s="20" customFormat="1" ht="22.5" customHeight="1" x14ac:dyDescent="0.25">
      <c r="V217" s="133"/>
      <c r="W217" s="133"/>
      <c r="AW217" s="1"/>
      <c r="AX217" s="1"/>
      <c r="AY217" s="1"/>
      <c r="BE217" s="1"/>
      <c r="BF217" s="1"/>
      <c r="BG217" s="1"/>
      <c r="BM217" s="1"/>
      <c r="BN217" s="1"/>
      <c r="BO217" s="1"/>
    </row>
    <row r="218" spans="22:67" s="20" customFormat="1" ht="22.5" customHeight="1" x14ac:dyDescent="0.25">
      <c r="V218" s="133"/>
      <c r="W218" s="133"/>
      <c r="AW218" s="1"/>
      <c r="AX218" s="1"/>
      <c r="AY218" s="1"/>
      <c r="BE218" s="1"/>
      <c r="BF218" s="1"/>
      <c r="BG218" s="1"/>
      <c r="BM218" s="1"/>
      <c r="BN218" s="1"/>
      <c r="BO218" s="1"/>
    </row>
    <row r="219" spans="22:67" s="20" customFormat="1" ht="22.5" customHeight="1" x14ac:dyDescent="0.25">
      <c r="V219" s="133"/>
      <c r="W219" s="133"/>
      <c r="AW219" s="1"/>
      <c r="AX219" s="1"/>
      <c r="AY219" s="1"/>
      <c r="BE219" s="1"/>
      <c r="BF219" s="1"/>
      <c r="BG219" s="1"/>
      <c r="BM219" s="1"/>
      <c r="BN219" s="1"/>
      <c r="BO219" s="1"/>
    </row>
    <row r="220" spans="22:67" s="20" customFormat="1" ht="22.5" customHeight="1" x14ac:dyDescent="0.25">
      <c r="V220" s="133"/>
      <c r="W220" s="133"/>
      <c r="AW220" s="1"/>
      <c r="AX220" s="1"/>
      <c r="AY220" s="1"/>
      <c r="BE220" s="1"/>
      <c r="BF220" s="1"/>
      <c r="BG220" s="1"/>
      <c r="BM220" s="1"/>
      <c r="BN220" s="1"/>
      <c r="BO220" s="1"/>
    </row>
    <row r="221" spans="22:67" s="20" customFormat="1" ht="22.5" customHeight="1" x14ac:dyDescent="0.25">
      <c r="V221" s="133"/>
      <c r="W221" s="133"/>
      <c r="AW221" s="1"/>
      <c r="AX221" s="1"/>
      <c r="AY221" s="1"/>
      <c r="BE221" s="1"/>
      <c r="BF221" s="1"/>
      <c r="BG221" s="1"/>
      <c r="BM221" s="1"/>
      <c r="BN221" s="1"/>
      <c r="BO221" s="1"/>
    </row>
    <row r="222" spans="22:67" s="20" customFormat="1" ht="22.5" customHeight="1" x14ac:dyDescent="0.25">
      <c r="V222" s="133"/>
      <c r="W222" s="133"/>
      <c r="AW222" s="1"/>
      <c r="AX222" s="1"/>
      <c r="AY222" s="1"/>
      <c r="BE222" s="1"/>
      <c r="BF222" s="1"/>
      <c r="BG222" s="1"/>
      <c r="BM222" s="1"/>
      <c r="BN222" s="1"/>
      <c r="BO222" s="1"/>
    </row>
    <row r="223" spans="22:67" s="20" customFormat="1" ht="22.5" customHeight="1" x14ac:dyDescent="0.25">
      <c r="V223" s="133"/>
      <c r="W223" s="133"/>
      <c r="AW223" s="1"/>
      <c r="AX223" s="1"/>
      <c r="AY223" s="1"/>
      <c r="BE223" s="1"/>
      <c r="BF223" s="1"/>
      <c r="BG223" s="1"/>
      <c r="BM223" s="1"/>
      <c r="BN223" s="1"/>
      <c r="BO223" s="1"/>
    </row>
    <row r="224" spans="22:67" s="20" customFormat="1" ht="22.5" customHeight="1" x14ac:dyDescent="0.25">
      <c r="V224" s="133"/>
      <c r="W224" s="133"/>
      <c r="AW224" s="1"/>
      <c r="AX224" s="1"/>
      <c r="AY224" s="1"/>
      <c r="BE224" s="1"/>
      <c r="BF224" s="1"/>
      <c r="BG224" s="1"/>
      <c r="BM224" s="1"/>
      <c r="BN224" s="1"/>
      <c r="BO224" s="1"/>
    </row>
    <row r="225" spans="22:67" s="20" customFormat="1" ht="22.5" customHeight="1" x14ac:dyDescent="0.25">
      <c r="V225" s="133"/>
      <c r="W225" s="133"/>
      <c r="AW225" s="1"/>
      <c r="AX225" s="1"/>
      <c r="AY225" s="1"/>
      <c r="BE225" s="1"/>
      <c r="BF225" s="1"/>
      <c r="BG225" s="1"/>
      <c r="BM225" s="1"/>
      <c r="BN225" s="1"/>
      <c r="BO225" s="1"/>
    </row>
    <row r="226" spans="22:67" s="20" customFormat="1" ht="22.5" customHeight="1" x14ac:dyDescent="0.25">
      <c r="V226" s="133"/>
      <c r="W226" s="133"/>
      <c r="AW226" s="1"/>
      <c r="AX226" s="1"/>
      <c r="AY226" s="1"/>
      <c r="BE226" s="1"/>
      <c r="BF226" s="1"/>
      <c r="BG226" s="1"/>
      <c r="BM226" s="1"/>
      <c r="BN226" s="1"/>
      <c r="BO226" s="1"/>
    </row>
    <row r="227" spans="22:67" s="20" customFormat="1" ht="22.5" customHeight="1" x14ac:dyDescent="0.25">
      <c r="V227" s="133"/>
      <c r="W227" s="133"/>
      <c r="AW227" s="1"/>
      <c r="AX227" s="1"/>
      <c r="AY227" s="1"/>
      <c r="BE227" s="1"/>
      <c r="BF227" s="1"/>
      <c r="BG227" s="1"/>
      <c r="BM227" s="1"/>
      <c r="BN227" s="1"/>
      <c r="BO227" s="1"/>
    </row>
    <row r="228" spans="22:67" s="20" customFormat="1" ht="22.5" customHeight="1" x14ac:dyDescent="0.25">
      <c r="V228" s="133"/>
      <c r="W228" s="133"/>
      <c r="AW228" s="1"/>
      <c r="AX228" s="1"/>
      <c r="AY228" s="1"/>
      <c r="BE228" s="1"/>
      <c r="BF228" s="1"/>
      <c r="BG228" s="1"/>
      <c r="BM228" s="1"/>
      <c r="BN228" s="1"/>
      <c r="BO228" s="1"/>
    </row>
    <row r="229" spans="22:67" s="20" customFormat="1" ht="22.5" customHeight="1" x14ac:dyDescent="0.25">
      <c r="V229" s="133"/>
      <c r="W229" s="133"/>
      <c r="AW229" s="1"/>
      <c r="AX229" s="1"/>
      <c r="AY229" s="1"/>
      <c r="BE229" s="1"/>
      <c r="BF229" s="1"/>
      <c r="BG229" s="1"/>
      <c r="BM229" s="1"/>
      <c r="BN229" s="1"/>
      <c r="BO229" s="1"/>
    </row>
    <row r="230" spans="22:67" s="20" customFormat="1" ht="22.5" customHeight="1" x14ac:dyDescent="0.25">
      <c r="V230" s="133"/>
      <c r="W230" s="133"/>
      <c r="AW230" s="1"/>
      <c r="AX230" s="1"/>
      <c r="AY230" s="1"/>
      <c r="BE230" s="1"/>
      <c r="BF230" s="1"/>
      <c r="BG230" s="1"/>
      <c r="BM230" s="1"/>
      <c r="BN230" s="1"/>
      <c r="BO230" s="1"/>
    </row>
    <row r="231" spans="22:67" s="20" customFormat="1" ht="22.5" customHeight="1" x14ac:dyDescent="0.25">
      <c r="V231" s="133"/>
      <c r="W231" s="133"/>
      <c r="AW231" s="1"/>
      <c r="AX231" s="1"/>
      <c r="AY231" s="1"/>
      <c r="BE231" s="1"/>
      <c r="BF231" s="1"/>
      <c r="BG231" s="1"/>
      <c r="BM231" s="1"/>
      <c r="BN231" s="1"/>
      <c r="BO231" s="1"/>
    </row>
    <row r="232" spans="22:67" s="20" customFormat="1" ht="22.5" customHeight="1" x14ac:dyDescent="0.25">
      <c r="V232" s="133"/>
      <c r="W232" s="133"/>
      <c r="AW232" s="1"/>
      <c r="AX232" s="1"/>
      <c r="AY232" s="1"/>
      <c r="BE232" s="1"/>
      <c r="BF232" s="1"/>
      <c r="BG232" s="1"/>
      <c r="BM232" s="1"/>
      <c r="BN232" s="1"/>
      <c r="BO232" s="1"/>
    </row>
    <row r="233" spans="22:67" s="20" customFormat="1" ht="22.5" customHeight="1" x14ac:dyDescent="0.25">
      <c r="V233" s="133"/>
      <c r="W233" s="133"/>
      <c r="AW233" s="1"/>
      <c r="AX233" s="1"/>
      <c r="AY233" s="1"/>
      <c r="BE233" s="1"/>
      <c r="BF233" s="1"/>
      <c r="BG233" s="1"/>
      <c r="BM233" s="1"/>
      <c r="BN233" s="1"/>
      <c r="BO233" s="1"/>
    </row>
    <row r="234" spans="22:67" s="20" customFormat="1" ht="22.5" customHeight="1" x14ac:dyDescent="0.25">
      <c r="V234" s="133"/>
      <c r="W234" s="133"/>
      <c r="AW234" s="1"/>
      <c r="AX234" s="1"/>
      <c r="AY234" s="1"/>
      <c r="BE234" s="1"/>
      <c r="BF234" s="1"/>
      <c r="BG234" s="1"/>
      <c r="BM234" s="1"/>
      <c r="BN234" s="1"/>
      <c r="BO234" s="1"/>
    </row>
    <row r="235" spans="22:67" s="20" customFormat="1" ht="22.5" customHeight="1" x14ac:dyDescent="0.25">
      <c r="V235" s="133"/>
      <c r="W235" s="133"/>
      <c r="AW235" s="1"/>
      <c r="AX235" s="1"/>
      <c r="AY235" s="1"/>
      <c r="BE235" s="1"/>
      <c r="BF235" s="1"/>
      <c r="BG235" s="1"/>
      <c r="BM235" s="1"/>
      <c r="BN235" s="1"/>
      <c r="BO235" s="1"/>
    </row>
    <row r="236" spans="22:67" s="20" customFormat="1" ht="22.5" customHeight="1" x14ac:dyDescent="0.25">
      <c r="V236" s="133"/>
      <c r="W236" s="133"/>
      <c r="AW236" s="1"/>
      <c r="AX236" s="1"/>
      <c r="AY236" s="1"/>
      <c r="BE236" s="1"/>
      <c r="BF236" s="1"/>
      <c r="BG236" s="1"/>
      <c r="BM236" s="1"/>
      <c r="BN236" s="1"/>
      <c r="BO236" s="1"/>
    </row>
    <row r="237" spans="22:67" s="20" customFormat="1" ht="22.5" customHeight="1" x14ac:dyDescent="0.25">
      <c r="V237" s="133"/>
      <c r="W237" s="133"/>
      <c r="AW237" s="1"/>
      <c r="AX237" s="1"/>
      <c r="AY237" s="1"/>
      <c r="BE237" s="1"/>
      <c r="BF237" s="1"/>
      <c r="BG237" s="1"/>
      <c r="BM237" s="1"/>
      <c r="BN237" s="1"/>
      <c r="BO237" s="1"/>
    </row>
    <row r="238" spans="22:67" s="20" customFormat="1" ht="22.5" customHeight="1" x14ac:dyDescent="0.25">
      <c r="V238" s="133"/>
      <c r="W238" s="133"/>
      <c r="AW238" s="1"/>
      <c r="AX238" s="1"/>
      <c r="AY238" s="1"/>
      <c r="BE238" s="1"/>
      <c r="BF238" s="1"/>
      <c r="BG238" s="1"/>
      <c r="BM238" s="1"/>
      <c r="BN238" s="1"/>
      <c r="BO238" s="1"/>
    </row>
    <row r="239" spans="22:67" s="20" customFormat="1" ht="22.5" customHeight="1" x14ac:dyDescent="0.25">
      <c r="V239" s="133"/>
      <c r="W239" s="133"/>
      <c r="AW239" s="1"/>
      <c r="AX239" s="1"/>
      <c r="AY239" s="1"/>
      <c r="BE239" s="1"/>
      <c r="BF239" s="1"/>
      <c r="BG239" s="1"/>
      <c r="BM239" s="1"/>
      <c r="BN239" s="1"/>
      <c r="BO239" s="1"/>
    </row>
    <row r="240" spans="22:67" s="20" customFormat="1" ht="22.5" customHeight="1" x14ac:dyDescent="0.25">
      <c r="V240" s="133"/>
      <c r="W240" s="133"/>
      <c r="AW240" s="1"/>
      <c r="AX240" s="1"/>
      <c r="AY240" s="1"/>
      <c r="BE240" s="1"/>
      <c r="BF240" s="1"/>
      <c r="BG240" s="1"/>
      <c r="BM240" s="1"/>
      <c r="BN240" s="1"/>
      <c r="BO240" s="1"/>
    </row>
    <row r="241" spans="22:67" s="20" customFormat="1" ht="22.5" customHeight="1" x14ac:dyDescent="0.25">
      <c r="V241" s="133"/>
      <c r="W241" s="133"/>
      <c r="AW241" s="1"/>
      <c r="AX241" s="1"/>
      <c r="AY241" s="1"/>
      <c r="BE241" s="1"/>
      <c r="BF241" s="1"/>
      <c r="BG241" s="1"/>
      <c r="BM241" s="1"/>
      <c r="BN241" s="1"/>
      <c r="BO241" s="1"/>
    </row>
    <row r="242" spans="22:67" s="20" customFormat="1" ht="22.5" customHeight="1" x14ac:dyDescent="0.25">
      <c r="V242" s="133"/>
      <c r="W242" s="133"/>
      <c r="AW242" s="1"/>
      <c r="AX242" s="1"/>
      <c r="AY242" s="1"/>
      <c r="BE242" s="1"/>
      <c r="BF242" s="1"/>
      <c r="BG242" s="1"/>
      <c r="BM242" s="1"/>
      <c r="BN242" s="1"/>
      <c r="BO242" s="1"/>
    </row>
    <row r="243" spans="22:67" s="20" customFormat="1" ht="22.5" customHeight="1" x14ac:dyDescent="0.25">
      <c r="V243" s="133"/>
      <c r="W243" s="133"/>
      <c r="AW243" s="1"/>
      <c r="AX243" s="1"/>
      <c r="AY243" s="1"/>
      <c r="BE243" s="1"/>
      <c r="BF243" s="1"/>
      <c r="BG243" s="1"/>
      <c r="BM243" s="1"/>
      <c r="BN243" s="1"/>
      <c r="BO243" s="1"/>
    </row>
    <row r="244" spans="22:67" s="20" customFormat="1" ht="22.5" customHeight="1" x14ac:dyDescent="0.25">
      <c r="V244" s="133"/>
      <c r="W244" s="133"/>
      <c r="AW244" s="1"/>
      <c r="AX244" s="1"/>
      <c r="AY244" s="1"/>
      <c r="BE244" s="1"/>
      <c r="BF244" s="1"/>
      <c r="BG244" s="1"/>
      <c r="BM244" s="1"/>
      <c r="BN244" s="1"/>
      <c r="BO244" s="1"/>
    </row>
    <row r="245" spans="22:67" s="20" customFormat="1" ht="22.5" customHeight="1" x14ac:dyDescent="0.25">
      <c r="V245" s="133"/>
      <c r="W245" s="133"/>
      <c r="AW245" s="1"/>
      <c r="AX245" s="1"/>
      <c r="AY245" s="1"/>
      <c r="BE245" s="1"/>
      <c r="BF245" s="1"/>
      <c r="BG245" s="1"/>
      <c r="BM245" s="1"/>
      <c r="BN245" s="1"/>
      <c r="BO245" s="1"/>
    </row>
    <row r="246" spans="22:67" s="20" customFormat="1" ht="22.5" customHeight="1" x14ac:dyDescent="0.25">
      <c r="V246" s="133"/>
      <c r="W246" s="133"/>
      <c r="AW246" s="1"/>
      <c r="AX246" s="1"/>
      <c r="AY246" s="1"/>
      <c r="BE246" s="1"/>
      <c r="BF246" s="1"/>
      <c r="BG246" s="1"/>
      <c r="BM246" s="1"/>
      <c r="BN246" s="1"/>
      <c r="BO246" s="1"/>
    </row>
    <row r="247" spans="22:67" s="20" customFormat="1" ht="22.5" customHeight="1" x14ac:dyDescent="0.25">
      <c r="V247" s="133"/>
      <c r="W247" s="133"/>
      <c r="AW247" s="1"/>
      <c r="AX247" s="1"/>
      <c r="AY247" s="1"/>
      <c r="BE247" s="1"/>
      <c r="BF247" s="1"/>
      <c r="BG247" s="1"/>
      <c r="BM247" s="1"/>
      <c r="BN247" s="1"/>
      <c r="BO247" s="1"/>
    </row>
    <row r="248" spans="22:67" s="20" customFormat="1" ht="22.5" customHeight="1" x14ac:dyDescent="0.25">
      <c r="V248" s="133"/>
      <c r="W248" s="133"/>
      <c r="AW248" s="1"/>
      <c r="AX248" s="1"/>
      <c r="AY248" s="1"/>
      <c r="BE248" s="1"/>
      <c r="BF248" s="1"/>
      <c r="BG248" s="1"/>
      <c r="BM248" s="1"/>
      <c r="BN248" s="1"/>
      <c r="BO248" s="1"/>
    </row>
    <row r="249" spans="22:67" s="20" customFormat="1" ht="22.5" customHeight="1" x14ac:dyDescent="0.25">
      <c r="V249" s="133"/>
      <c r="W249" s="133"/>
      <c r="AW249" s="1"/>
      <c r="AX249" s="1"/>
      <c r="AY249" s="1"/>
      <c r="BE249" s="1"/>
      <c r="BF249" s="1"/>
      <c r="BG249" s="1"/>
      <c r="BM249" s="1"/>
      <c r="BN249" s="1"/>
      <c r="BO249" s="1"/>
    </row>
    <row r="250" spans="22:67" s="20" customFormat="1" ht="22.5" customHeight="1" x14ac:dyDescent="0.25">
      <c r="V250" s="133"/>
      <c r="W250" s="133"/>
      <c r="AW250" s="1"/>
      <c r="AX250" s="1"/>
      <c r="AY250" s="1"/>
      <c r="BE250" s="1"/>
      <c r="BF250" s="1"/>
      <c r="BG250" s="1"/>
      <c r="BM250" s="1"/>
      <c r="BN250" s="1"/>
      <c r="BO250" s="1"/>
    </row>
    <row r="251" spans="22:67" s="20" customFormat="1" ht="22.5" customHeight="1" x14ac:dyDescent="0.25">
      <c r="V251" s="133"/>
      <c r="W251" s="133"/>
      <c r="AW251" s="1"/>
      <c r="AX251" s="1"/>
      <c r="AY251" s="1"/>
      <c r="BE251" s="1"/>
      <c r="BF251" s="1"/>
      <c r="BG251" s="1"/>
      <c r="BM251" s="1"/>
      <c r="BN251" s="1"/>
      <c r="BO251" s="1"/>
    </row>
    <row r="252" spans="22:67" s="20" customFormat="1" ht="22.5" customHeight="1" x14ac:dyDescent="0.25">
      <c r="V252" s="133"/>
      <c r="W252" s="133"/>
      <c r="AW252" s="1"/>
      <c r="AX252" s="1"/>
      <c r="AY252" s="1"/>
      <c r="BE252" s="1"/>
      <c r="BF252" s="1"/>
      <c r="BG252" s="1"/>
      <c r="BM252" s="1"/>
      <c r="BN252" s="1"/>
      <c r="BO252" s="1"/>
    </row>
    <row r="253" spans="22:67" s="20" customFormat="1" ht="22.5" customHeight="1" x14ac:dyDescent="0.25">
      <c r="V253" s="133"/>
      <c r="W253" s="133"/>
      <c r="AW253" s="1"/>
      <c r="AX253" s="1"/>
      <c r="AY253" s="1"/>
      <c r="BE253" s="1"/>
      <c r="BF253" s="1"/>
      <c r="BG253" s="1"/>
      <c r="BM253" s="1"/>
      <c r="BN253" s="1"/>
      <c r="BO253" s="1"/>
    </row>
    <row r="254" spans="22:67" s="20" customFormat="1" ht="22.5" customHeight="1" x14ac:dyDescent="0.25">
      <c r="V254" s="133"/>
      <c r="W254" s="133"/>
      <c r="AW254" s="1"/>
      <c r="AX254" s="1"/>
      <c r="AY254" s="1"/>
      <c r="BE254" s="1"/>
      <c r="BF254" s="1"/>
      <c r="BG254" s="1"/>
      <c r="BM254" s="1"/>
      <c r="BN254" s="1"/>
      <c r="BO254" s="1"/>
    </row>
    <row r="255" spans="22:67" s="20" customFormat="1" ht="22.5" customHeight="1" x14ac:dyDescent="0.25">
      <c r="V255" s="133"/>
      <c r="W255" s="133"/>
      <c r="AW255" s="1"/>
      <c r="AX255" s="1"/>
      <c r="AY255" s="1"/>
      <c r="BE255" s="1"/>
      <c r="BF255" s="1"/>
      <c r="BG255" s="1"/>
      <c r="BM255" s="1"/>
      <c r="BN255" s="1"/>
      <c r="BO255" s="1"/>
    </row>
    <row r="256" spans="22:67" s="20" customFormat="1" ht="22.5" customHeight="1" x14ac:dyDescent="0.25">
      <c r="V256" s="133"/>
      <c r="W256" s="133"/>
      <c r="AW256" s="1"/>
      <c r="AX256" s="1"/>
      <c r="AY256" s="1"/>
      <c r="BE256" s="1"/>
      <c r="BF256" s="1"/>
      <c r="BG256" s="1"/>
      <c r="BM256" s="1"/>
      <c r="BN256" s="1"/>
      <c r="BO256" s="1"/>
    </row>
    <row r="257" spans="22:67" s="20" customFormat="1" ht="22.5" customHeight="1" x14ac:dyDescent="0.25">
      <c r="V257" s="133"/>
      <c r="W257" s="133"/>
      <c r="AW257" s="1"/>
      <c r="AX257" s="1"/>
      <c r="AY257" s="1"/>
      <c r="BE257" s="1"/>
      <c r="BF257" s="1"/>
      <c r="BG257" s="1"/>
      <c r="BM257" s="1"/>
      <c r="BN257" s="1"/>
      <c r="BO257" s="1"/>
    </row>
    <row r="258" spans="22:67" s="20" customFormat="1" ht="22.5" customHeight="1" x14ac:dyDescent="0.25">
      <c r="V258" s="133"/>
      <c r="W258" s="133"/>
      <c r="AW258" s="1"/>
      <c r="AX258" s="1"/>
      <c r="AY258" s="1"/>
      <c r="BE258" s="1"/>
      <c r="BF258" s="1"/>
      <c r="BG258" s="1"/>
      <c r="BM258" s="1"/>
      <c r="BN258" s="1"/>
      <c r="BO258" s="1"/>
    </row>
    <row r="259" spans="22:67" s="20" customFormat="1" ht="22.5" customHeight="1" x14ac:dyDescent="0.25">
      <c r="V259" s="133"/>
      <c r="W259" s="133"/>
      <c r="AW259" s="1"/>
      <c r="AX259" s="1"/>
      <c r="AY259" s="1"/>
      <c r="BE259" s="1"/>
      <c r="BF259" s="1"/>
      <c r="BG259" s="1"/>
      <c r="BM259" s="1"/>
      <c r="BN259" s="1"/>
      <c r="BO259" s="1"/>
    </row>
    <row r="260" spans="22:67" s="20" customFormat="1" ht="22.5" customHeight="1" x14ac:dyDescent="0.25">
      <c r="V260" s="133"/>
      <c r="W260" s="133"/>
      <c r="AW260" s="1"/>
      <c r="AX260" s="1"/>
      <c r="AY260" s="1"/>
      <c r="BE260" s="1"/>
      <c r="BF260" s="1"/>
      <c r="BG260" s="1"/>
      <c r="BM260" s="1"/>
      <c r="BN260" s="1"/>
      <c r="BO260" s="1"/>
    </row>
    <row r="261" spans="22:67" s="20" customFormat="1" ht="22.5" customHeight="1" x14ac:dyDescent="0.25">
      <c r="V261" s="133"/>
      <c r="W261" s="133"/>
      <c r="AW261" s="1"/>
      <c r="AX261" s="1"/>
      <c r="AY261" s="1"/>
      <c r="BE261" s="1"/>
      <c r="BF261" s="1"/>
      <c r="BG261" s="1"/>
      <c r="BM261" s="1"/>
      <c r="BN261" s="1"/>
      <c r="BO261" s="1"/>
    </row>
    <row r="262" spans="22:67" s="20" customFormat="1" ht="22.5" customHeight="1" x14ac:dyDescent="0.25">
      <c r="V262" s="133"/>
      <c r="W262" s="133"/>
      <c r="AW262" s="1"/>
      <c r="AX262" s="1"/>
      <c r="AY262" s="1"/>
      <c r="BE262" s="1"/>
      <c r="BF262" s="1"/>
      <c r="BG262" s="1"/>
      <c r="BM262" s="1"/>
      <c r="BN262" s="1"/>
      <c r="BO262" s="1"/>
    </row>
    <row r="263" spans="22:67" s="20" customFormat="1" ht="22.5" customHeight="1" x14ac:dyDescent="0.25">
      <c r="V263" s="133"/>
      <c r="W263" s="133"/>
      <c r="AW263" s="1"/>
      <c r="AX263" s="1"/>
      <c r="AY263" s="1"/>
      <c r="BE263" s="1"/>
      <c r="BF263" s="1"/>
      <c r="BG263" s="1"/>
      <c r="BM263" s="1"/>
      <c r="BN263" s="1"/>
      <c r="BO263" s="1"/>
    </row>
    <row r="264" spans="22:67" s="20" customFormat="1" ht="22.5" customHeight="1" x14ac:dyDescent="0.25">
      <c r="V264" s="133"/>
      <c r="W264" s="133"/>
      <c r="AW264" s="1"/>
      <c r="AX264" s="1"/>
      <c r="AY264" s="1"/>
      <c r="BE264" s="1"/>
      <c r="BF264" s="1"/>
      <c r="BG264" s="1"/>
      <c r="BM264" s="1"/>
      <c r="BN264" s="1"/>
      <c r="BO264" s="1"/>
    </row>
    <row r="265" spans="22:67" s="20" customFormat="1" ht="22.5" customHeight="1" x14ac:dyDescent="0.25">
      <c r="V265" s="133"/>
      <c r="W265" s="133"/>
      <c r="AW265" s="1"/>
      <c r="AX265" s="1"/>
      <c r="AY265" s="1"/>
      <c r="BE265" s="1"/>
      <c r="BF265" s="1"/>
      <c r="BG265" s="1"/>
      <c r="BM265" s="1"/>
      <c r="BN265" s="1"/>
      <c r="BO265" s="1"/>
    </row>
    <row r="266" spans="22:67" s="20" customFormat="1" ht="22.5" customHeight="1" x14ac:dyDescent="0.25">
      <c r="V266" s="133"/>
      <c r="W266" s="133"/>
      <c r="AW266" s="1"/>
      <c r="AX266" s="1"/>
      <c r="AY266" s="1"/>
      <c r="BE266" s="1"/>
      <c r="BF266" s="1"/>
      <c r="BG266" s="1"/>
      <c r="BM266" s="1"/>
      <c r="BN266" s="1"/>
      <c r="BO266" s="1"/>
    </row>
    <row r="267" spans="22:67" s="20" customFormat="1" ht="22.5" customHeight="1" x14ac:dyDescent="0.25">
      <c r="V267" s="133"/>
      <c r="W267" s="133"/>
      <c r="AW267" s="1"/>
      <c r="AX267" s="1"/>
      <c r="AY267" s="1"/>
      <c r="BE267" s="1"/>
      <c r="BF267" s="1"/>
      <c r="BG267" s="1"/>
      <c r="BM267" s="1"/>
      <c r="BN267" s="1"/>
      <c r="BO267" s="1"/>
    </row>
    <row r="268" spans="22:67" s="20" customFormat="1" ht="22.5" customHeight="1" x14ac:dyDescent="0.25">
      <c r="V268" s="133"/>
      <c r="W268" s="133"/>
      <c r="AW268" s="1"/>
      <c r="AX268" s="1"/>
      <c r="AY268" s="1"/>
      <c r="BE268" s="1"/>
      <c r="BF268" s="1"/>
      <c r="BG268" s="1"/>
      <c r="BM268" s="1"/>
      <c r="BN268" s="1"/>
      <c r="BO268" s="1"/>
    </row>
    <row r="269" spans="22:67" s="20" customFormat="1" ht="22.5" customHeight="1" x14ac:dyDescent="0.25">
      <c r="V269" s="133"/>
      <c r="W269" s="133"/>
      <c r="AW269" s="1"/>
      <c r="AX269" s="1"/>
      <c r="AY269" s="1"/>
      <c r="BE269" s="1"/>
      <c r="BF269" s="1"/>
      <c r="BG269" s="1"/>
      <c r="BM269" s="1"/>
      <c r="BN269" s="1"/>
      <c r="BO269" s="1"/>
    </row>
    <row r="270" spans="22:67" s="20" customFormat="1" ht="22.5" customHeight="1" x14ac:dyDescent="0.25">
      <c r="V270" s="133"/>
      <c r="W270" s="133"/>
      <c r="AW270" s="1"/>
      <c r="AX270" s="1"/>
      <c r="AY270" s="1"/>
      <c r="BE270" s="1"/>
      <c r="BF270" s="1"/>
      <c r="BG270" s="1"/>
      <c r="BM270" s="1"/>
      <c r="BN270" s="1"/>
      <c r="BO270" s="1"/>
    </row>
    <row r="271" spans="22:67" s="20" customFormat="1" ht="22.5" customHeight="1" x14ac:dyDescent="0.25">
      <c r="V271" s="133"/>
      <c r="W271" s="133"/>
      <c r="AW271" s="1"/>
      <c r="AX271" s="1"/>
      <c r="AY271" s="1"/>
      <c r="BE271" s="1"/>
      <c r="BF271" s="1"/>
      <c r="BG271" s="1"/>
      <c r="BM271" s="1"/>
      <c r="BN271" s="1"/>
      <c r="BO271" s="1"/>
    </row>
    <row r="272" spans="22:67" s="20" customFormat="1" ht="22.5" customHeight="1" x14ac:dyDescent="0.25">
      <c r="V272" s="133"/>
      <c r="W272" s="133"/>
      <c r="AW272" s="1"/>
      <c r="AX272" s="1"/>
      <c r="AY272" s="1"/>
      <c r="BE272" s="1"/>
      <c r="BF272" s="1"/>
      <c r="BG272" s="1"/>
      <c r="BM272" s="1"/>
      <c r="BN272" s="1"/>
      <c r="BO272" s="1"/>
    </row>
    <row r="273" spans="22:67" s="20" customFormat="1" ht="22.5" customHeight="1" x14ac:dyDescent="0.25">
      <c r="V273" s="133"/>
      <c r="W273" s="133"/>
      <c r="AW273" s="1"/>
      <c r="AX273" s="1"/>
      <c r="AY273" s="1"/>
      <c r="BE273" s="1"/>
      <c r="BF273" s="1"/>
      <c r="BG273" s="1"/>
      <c r="BM273" s="1"/>
      <c r="BN273" s="1"/>
      <c r="BO273" s="1"/>
    </row>
    <row r="274" spans="22:67" s="20" customFormat="1" ht="22.5" customHeight="1" x14ac:dyDescent="0.25">
      <c r="V274" s="133"/>
      <c r="W274" s="133"/>
      <c r="AW274" s="1"/>
      <c r="AX274" s="1"/>
      <c r="AY274" s="1"/>
      <c r="BE274" s="1"/>
      <c r="BF274" s="1"/>
      <c r="BG274" s="1"/>
      <c r="BM274" s="1"/>
      <c r="BN274" s="1"/>
      <c r="BO274" s="1"/>
    </row>
    <row r="275" spans="22:67" s="20" customFormat="1" ht="22.5" customHeight="1" x14ac:dyDescent="0.25">
      <c r="V275" s="133"/>
      <c r="W275" s="133"/>
      <c r="AW275" s="1"/>
      <c r="AX275" s="1"/>
      <c r="AY275" s="1"/>
      <c r="BE275" s="1"/>
      <c r="BF275" s="1"/>
      <c r="BG275" s="1"/>
      <c r="BM275" s="1"/>
      <c r="BN275" s="1"/>
      <c r="BO275" s="1"/>
    </row>
    <row r="276" spans="22:67" s="20" customFormat="1" ht="22.5" customHeight="1" x14ac:dyDescent="0.25">
      <c r="V276" s="133"/>
      <c r="W276" s="133"/>
      <c r="AW276" s="1"/>
      <c r="AX276" s="1"/>
      <c r="AY276" s="1"/>
      <c r="BE276" s="1"/>
      <c r="BF276" s="1"/>
      <c r="BG276" s="1"/>
      <c r="BM276" s="1"/>
      <c r="BN276" s="1"/>
      <c r="BO276" s="1"/>
    </row>
    <row r="277" spans="22:67" s="20" customFormat="1" ht="22.5" customHeight="1" x14ac:dyDescent="0.25">
      <c r="V277" s="133"/>
      <c r="W277" s="133"/>
      <c r="AW277" s="1"/>
      <c r="AX277" s="1"/>
      <c r="AY277" s="1"/>
      <c r="BE277" s="1"/>
      <c r="BF277" s="1"/>
      <c r="BG277" s="1"/>
      <c r="BM277" s="1"/>
      <c r="BN277" s="1"/>
      <c r="BO277" s="1"/>
    </row>
    <row r="278" spans="22:67" s="20" customFormat="1" ht="22.5" customHeight="1" x14ac:dyDescent="0.25">
      <c r="V278" s="133"/>
      <c r="W278" s="133"/>
      <c r="AW278" s="1"/>
      <c r="AX278" s="1"/>
      <c r="AY278" s="1"/>
      <c r="BE278" s="1"/>
      <c r="BF278" s="1"/>
      <c r="BG278" s="1"/>
      <c r="BM278" s="1"/>
      <c r="BN278" s="1"/>
      <c r="BO278" s="1"/>
    </row>
    <row r="279" spans="22:67" s="20" customFormat="1" ht="22.5" customHeight="1" x14ac:dyDescent="0.25">
      <c r="V279" s="133"/>
      <c r="W279" s="133"/>
      <c r="AW279" s="1"/>
      <c r="AX279" s="1"/>
      <c r="AY279" s="1"/>
      <c r="BE279" s="1"/>
      <c r="BF279" s="1"/>
      <c r="BG279" s="1"/>
      <c r="BM279" s="1"/>
      <c r="BN279" s="1"/>
      <c r="BO279" s="1"/>
    </row>
    <row r="280" spans="22:67" s="20" customFormat="1" ht="22.5" customHeight="1" x14ac:dyDescent="0.25">
      <c r="V280" s="133"/>
      <c r="W280" s="133"/>
      <c r="AW280" s="1"/>
      <c r="AX280" s="1"/>
      <c r="AY280" s="1"/>
      <c r="BE280" s="1"/>
      <c r="BF280" s="1"/>
      <c r="BG280" s="1"/>
      <c r="BM280" s="1"/>
      <c r="BN280" s="1"/>
      <c r="BO280" s="1"/>
    </row>
    <row r="281" spans="22:67" s="20" customFormat="1" ht="22.5" customHeight="1" x14ac:dyDescent="0.25">
      <c r="V281" s="133"/>
      <c r="W281" s="133"/>
      <c r="AW281" s="1"/>
      <c r="AX281" s="1"/>
      <c r="AY281" s="1"/>
      <c r="BE281" s="1"/>
      <c r="BF281" s="1"/>
      <c r="BG281" s="1"/>
      <c r="BM281" s="1"/>
      <c r="BN281" s="1"/>
      <c r="BO281" s="1"/>
    </row>
    <row r="282" spans="22:67" s="20" customFormat="1" ht="22.5" customHeight="1" x14ac:dyDescent="0.25">
      <c r="V282" s="133"/>
      <c r="W282" s="133"/>
      <c r="AW282" s="1"/>
      <c r="AX282" s="1"/>
      <c r="AY282" s="1"/>
      <c r="BE282" s="1"/>
      <c r="BF282" s="1"/>
      <c r="BG282" s="1"/>
      <c r="BM282" s="1"/>
      <c r="BN282" s="1"/>
      <c r="BO282" s="1"/>
    </row>
    <row r="283" spans="22:67" s="20" customFormat="1" ht="22.5" customHeight="1" x14ac:dyDescent="0.25">
      <c r="V283" s="133"/>
      <c r="W283" s="133"/>
      <c r="AW283" s="1"/>
      <c r="AX283" s="1"/>
      <c r="AY283" s="1"/>
      <c r="BE283" s="1"/>
      <c r="BF283" s="1"/>
      <c r="BG283" s="1"/>
      <c r="BM283" s="1"/>
      <c r="BN283" s="1"/>
      <c r="BO283" s="1"/>
    </row>
    <row r="284" spans="22:67" s="20" customFormat="1" ht="22.5" customHeight="1" x14ac:dyDescent="0.25">
      <c r="V284" s="133"/>
      <c r="W284" s="133"/>
      <c r="AW284" s="1"/>
      <c r="AX284" s="1"/>
      <c r="AY284" s="1"/>
      <c r="BE284" s="1"/>
      <c r="BF284" s="1"/>
      <c r="BG284" s="1"/>
      <c r="BM284" s="1"/>
      <c r="BN284" s="1"/>
      <c r="BO284" s="1"/>
    </row>
    <row r="285" spans="22:67" s="20" customFormat="1" ht="22.5" customHeight="1" x14ac:dyDescent="0.25">
      <c r="V285" s="133"/>
      <c r="W285" s="133"/>
      <c r="AW285" s="1"/>
      <c r="AX285" s="1"/>
      <c r="AY285" s="1"/>
      <c r="BE285" s="1"/>
      <c r="BF285" s="1"/>
      <c r="BG285" s="1"/>
      <c r="BM285" s="1"/>
      <c r="BN285" s="1"/>
      <c r="BO285" s="1"/>
    </row>
    <row r="286" spans="22:67" s="20" customFormat="1" ht="22.5" customHeight="1" x14ac:dyDescent="0.25">
      <c r="V286" s="133"/>
      <c r="W286" s="133"/>
      <c r="AW286" s="1"/>
      <c r="AX286" s="1"/>
      <c r="AY286" s="1"/>
      <c r="BE286" s="1"/>
      <c r="BF286" s="1"/>
      <c r="BG286" s="1"/>
      <c r="BM286" s="1"/>
      <c r="BN286" s="1"/>
      <c r="BO286" s="1"/>
    </row>
    <row r="287" spans="22:67" s="20" customFormat="1" ht="22.5" customHeight="1" x14ac:dyDescent="0.25">
      <c r="V287" s="133"/>
      <c r="W287" s="133"/>
      <c r="AW287" s="1"/>
      <c r="AX287" s="1"/>
      <c r="AY287" s="1"/>
      <c r="BE287" s="1"/>
      <c r="BF287" s="1"/>
      <c r="BG287" s="1"/>
      <c r="BM287" s="1"/>
      <c r="BN287" s="1"/>
      <c r="BO287" s="1"/>
    </row>
    <row r="288" spans="22:67" s="20" customFormat="1" ht="22.5" customHeight="1" x14ac:dyDescent="0.25">
      <c r="V288" s="133"/>
      <c r="W288" s="133"/>
      <c r="AW288" s="1"/>
      <c r="AX288" s="1"/>
      <c r="AY288" s="1"/>
      <c r="BE288" s="1"/>
      <c r="BF288" s="1"/>
      <c r="BG288" s="1"/>
      <c r="BM288" s="1"/>
      <c r="BN288" s="1"/>
      <c r="BO288" s="1"/>
    </row>
    <row r="289" spans="22:67" s="20" customFormat="1" ht="22.5" customHeight="1" x14ac:dyDescent="0.25">
      <c r="V289" s="133"/>
      <c r="W289" s="133"/>
      <c r="AW289" s="1"/>
      <c r="AX289" s="1"/>
      <c r="AY289" s="1"/>
      <c r="BE289" s="1"/>
      <c r="BF289" s="1"/>
      <c r="BG289" s="1"/>
      <c r="BM289" s="1"/>
      <c r="BN289" s="1"/>
      <c r="BO289" s="1"/>
    </row>
    <row r="290" spans="22:67" s="20" customFormat="1" ht="22.5" customHeight="1" x14ac:dyDescent="0.25">
      <c r="V290" s="133"/>
      <c r="W290" s="133"/>
      <c r="AW290" s="1"/>
      <c r="AX290" s="1"/>
      <c r="AY290" s="1"/>
      <c r="BE290" s="1"/>
      <c r="BF290" s="1"/>
      <c r="BG290" s="1"/>
      <c r="BM290" s="1"/>
      <c r="BN290" s="1"/>
      <c r="BO290" s="1"/>
    </row>
    <row r="291" spans="22:67" s="20" customFormat="1" ht="22.5" customHeight="1" x14ac:dyDescent="0.25">
      <c r="V291" s="133"/>
      <c r="W291" s="133"/>
      <c r="AW291" s="1"/>
      <c r="AX291" s="1"/>
      <c r="AY291" s="1"/>
      <c r="BE291" s="1"/>
      <c r="BF291" s="1"/>
      <c r="BG291" s="1"/>
      <c r="BM291" s="1"/>
      <c r="BN291" s="1"/>
      <c r="BO291" s="1"/>
    </row>
    <row r="292" spans="22:67" s="20" customFormat="1" ht="22.5" customHeight="1" x14ac:dyDescent="0.25">
      <c r="V292" s="133"/>
      <c r="W292" s="133"/>
      <c r="AW292" s="1"/>
      <c r="AX292" s="1"/>
      <c r="AY292" s="1"/>
      <c r="BE292" s="1"/>
      <c r="BF292" s="1"/>
      <c r="BG292" s="1"/>
      <c r="BM292" s="1"/>
      <c r="BN292" s="1"/>
      <c r="BO292" s="1"/>
    </row>
    <row r="293" spans="22:67" s="20" customFormat="1" ht="22.5" customHeight="1" x14ac:dyDescent="0.25">
      <c r="V293" s="133"/>
      <c r="W293" s="133"/>
      <c r="AW293" s="1"/>
      <c r="AX293" s="1"/>
      <c r="AY293" s="1"/>
      <c r="BE293" s="1"/>
      <c r="BF293" s="1"/>
      <c r="BG293" s="1"/>
      <c r="BM293" s="1"/>
      <c r="BN293" s="1"/>
      <c r="BO293" s="1"/>
    </row>
    <row r="294" spans="22:67" s="20" customFormat="1" ht="22.5" customHeight="1" x14ac:dyDescent="0.25">
      <c r="V294" s="133"/>
      <c r="W294" s="133"/>
      <c r="AW294" s="1"/>
      <c r="AX294" s="1"/>
      <c r="AY294" s="1"/>
      <c r="BE294" s="1"/>
      <c r="BF294" s="1"/>
      <c r="BG294" s="1"/>
      <c r="BM294" s="1"/>
      <c r="BN294" s="1"/>
      <c r="BO294" s="1"/>
    </row>
    <row r="295" spans="22:67" s="20" customFormat="1" ht="22.5" customHeight="1" x14ac:dyDescent="0.25">
      <c r="V295" s="133"/>
      <c r="W295" s="133"/>
      <c r="AW295" s="1"/>
      <c r="AX295" s="1"/>
      <c r="AY295" s="1"/>
      <c r="BE295" s="1"/>
      <c r="BF295" s="1"/>
      <c r="BG295" s="1"/>
      <c r="BM295" s="1"/>
      <c r="BN295" s="1"/>
      <c r="BO295" s="1"/>
    </row>
    <row r="296" spans="22:67" s="20" customFormat="1" ht="22.5" customHeight="1" x14ac:dyDescent="0.25">
      <c r="V296" s="133"/>
      <c r="W296" s="133"/>
      <c r="AW296" s="1"/>
      <c r="AX296" s="1"/>
      <c r="AY296" s="1"/>
      <c r="BE296" s="1"/>
      <c r="BF296" s="1"/>
      <c r="BG296" s="1"/>
      <c r="BM296" s="1"/>
      <c r="BN296" s="1"/>
      <c r="BO296" s="1"/>
    </row>
    <row r="297" spans="22:67" s="20" customFormat="1" ht="22.5" customHeight="1" x14ac:dyDescent="0.25">
      <c r="V297" s="133"/>
      <c r="W297" s="133"/>
      <c r="AW297" s="1"/>
      <c r="AX297" s="1"/>
      <c r="AY297" s="1"/>
      <c r="BE297" s="1"/>
      <c r="BF297" s="1"/>
      <c r="BG297" s="1"/>
      <c r="BM297" s="1"/>
      <c r="BN297" s="1"/>
      <c r="BO297" s="1"/>
    </row>
    <row r="298" spans="22:67" s="20" customFormat="1" ht="22.5" customHeight="1" x14ac:dyDescent="0.25">
      <c r="V298" s="133"/>
      <c r="W298" s="133"/>
      <c r="AW298" s="1"/>
      <c r="AX298" s="1"/>
      <c r="AY298" s="1"/>
      <c r="BE298" s="1"/>
      <c r="BF298" s="1"/>
      <c r="BG298" s="1"/>
      <c r="BM298" s="1"/>
      <c r="BN298" s="1"/>
      <c r="BO298" s="1"/>
    </row>
    <row r="299" spans="22:67" s="20" customFormat="1" ht="22.5" customHeight="1" x14ac:dyDescent="0.25">
      <c r="V299" s="133"/>
      <c r="W299" s="133"/>
      <c r="AW299" s="1"/>
      <c r="AX299" s="1"/>
      <c r="AY299" s="1"/>
      <c r="BE299" s="1"/>
      <c r="BF299" s="1"/>
      <c r="BG299" s="1"/>
      <c r="BM299" s="1"/>
      <c r="BN299" s="1"/>
      <c r="BO299" s="1"/>
    </row>
    <row r="300" spans="22:67" s="20" customFormat="1" ht="22.5" customHeight="1" x14ac:dyDescent="0.25">
      <c r="V300" s="133"/>
      <c r="W300" s="133"/>
      <c r="AW300" s="1"/>
      <c r="AX300" s="1"/>
      <c r="AY300" s="1"/>
      <c r="BE300" s="1"/>
      <c r="BF300" s="1"/>
      <c r="BG300" s="1"/>
      <c r="BM300" s="1"/>
      <c r="BN300" s="1"/>
      <c r="BO300" s="1"/>
    </row>
    <row r="301" spans="22:67" s="20" customFormat="1" ht="22.5" customHeight="1" x14ac:dyDescent="0.25">
      <c r="V301" s="133"/>
      <c r="W301" s="133"/>
      <c r="AW301" s="1"/>
      <c r="AX301" s="1"/>
      <c r="AY301" s="1"/>
      <c r="BE301" s="1"/>
      <c r="BF301" s="1"/>
      <c r="BG301" s="1"/>
      <c r="BM301" s="1"/>
      <c r="BN301" s="1"/>
      <c r="BO301" s="1"/>
    </row>
    <row r="302" spans="22:67" s="20" customFormat="1" ht="22.5" customHeight="1" x14ac:dyDescent="0.25">
      <c r="V302" s="133"/>
      <c r="W302" s="133"/>
      <c r="AW302" s="1"/>
      <c r="AX302" s="1"/>
      <c r="AY302" s="1"/>
      <c r="BE302" s="1"/>
      <c r="BF302" s="1"/>
      <c r="BG302" s="1"/>
      <c r="BM302" s="1"/>
      <c r="BN302" s="1"/>
      <c r="BO302" s="1"/>
    </row>
    <row r="303" spans="22:67" s="20" customFormat="1" ht="22.5" customHeight="1" x14ac:dyDescent="0.25">
      <c r="V303" s="133"/>
      <c r="W303" s="133"/>
      <c r="AW303" s="1"/>
      <c r="AX303" s="1"/>
      <c r="AY303" s="1"/>
      <c r="BE303" s="1"/>
      <c r="BF303" s="1"/>
      <c r="BG303" s="1"/>
      <c r="BM303" s="1"/>
      <c r="BN303" s="1"/>
      <c r="BO303" s="1"/>
    </row>
    <row r="304" spans="22:67" s="20" customFormat="1" ht="22.5" customHeight="1" x14ac:dyDescent="0.25">
      <c r="V304" s="133"/>
      <c r="W304" s="133"/>
      <c r="AW304" s="1"/>
      <c r="AX304" s="1"/>
      <c r="AY304" s="1"/>
      <c r="BE304" s="1"/>
      <c r="BF304" s="1"/>
      <c r="BG304" s="1"/>
      <c r="BM304" s="1"/>
      <c r="BN304" s="1"/>
      <c r="BO304" s="1"/>
    </row>
    <row r="305" spans="22:67" s="20" customFormat="1" ht="22.5" customHeight="1" x14ac:dyDescent="0.25">
      <c r="V305" s="133"/>
      <c r="W305" s="133"/>
      <c r="AW305" s="1"/>
      <c r="AX305" s="1"/>
      <c r="AY305" s="1"/>
      <c r="BE305" s="1"/>
      <c r="BF305" s="1"/>
      <c r="BG305" s="1"/>
      <c r="BM305" s="1"/>
      <c r="BN305" s="1"/>
      <c r="BO305" s="1"/>
    </row>
    <row r="306" spans="22:67" s="20" customFormat="1" ht="22.5" customHeight="1" x14ac:dyDescent="0.25">
      <c r="V306" s="133"/>
      <c r="W306" s="133"/>
      <c r="AW306" s="1"/>
      <c r="AX306" s="1"/>
      <c r="AY306" s="1"/>
      <c r="BE306" s="1"/>
      <c r="BF306" s="1"/>
      <c r="BG306" s="1"/>
      <c r="BM306" s="1"/>
      <c r="BN306" s="1"/>
      <c r="BO306" s="1"/>
    </row>
    <row r="307" spans="22:67" s="20" customFormat="1" ht="22.5" customHeight="1" x14ac:dyDescent="0.25">
      <c r="V307" s="133"/>
      <c r="W307" s="133"/>
      <c r="AW307" s="1"/>
      <c r="AX307" s="1"/>
      <c r="AY307" s="1"/>
      <c r="BE307" s="1"/>
      <c r="BF307" s="1"/>
      <c r="BG307" s="1"/>
      <c r="BM307" s="1"/>
      <c r="BN307" s="1"/>
      <c r="BO307" s="1"/>
    </row>
    <row r="308" spans="22:67" s="20" customFormat="1" ht="22.5" customHeight="1" x14ac:dyDescent="0.25">
      <c r="V308" s="133"/>
      <c r="W308" s="133"/>
      <c r="AW308" s="1"/>
      <c r="AX308" s="1"/>
      <c r="AY308" s="1"/>
      <c r="BE308" s="1"/>
      <c r="BF308" s="1"/>
      <c r="BG308" s="1"/>
      <c r="BM308" s="1"/>
      <c r="BN308" s="1"/>
      <c r="BO308" s="1"/>
    </row>
    <row r="309" spans="22:67" s="20" customFormat="1" ht="22.5" customHeight="1" x14ac:dyDescent="0.25">
      <c r="V309" s="133"/>
      <c r="W309" s="133"/>
      <c r="AW309" s="1"/>
      <c r="AX309" s="1"/>
      <c r="AY309" s="1"/>
      <c r="BE309" s="1"/>
      <c r="BF309" s="1"/>
      <c r="BG309" s="1"/>
      <c r="BM309" s="1"/>
      <c r="BN309" s="1"/>
      <c r="BO309" s="1"/>
    </row>
    <row r="310" spans="22:67" s="20" customFormat="1" ht="22.5" customHeight="1" x14ac:dyDescent="0.25">
      <c r="V310" s="133"/>
      <c r="W310" s="133"/>
      <c r="AW310" s="1"/>
      <c r="AX310" s="1"/>
      <c r="AY310" s="1"/>
      <c r="BE310" s="1"/>
      <c r="BF310" s="1"/>
      <c r="BG310" s="1"/>
      <c r="BM310" s="1"/>
      <c r="BN310" s="1"/>
      <c r="BO310" s="1"/>
    </row>
    <row r="311" spans="22:67" s="20" customFormat="1" ht="22.5" customHeight="1" x14ac:dyDescent="0.25">
      <c r="V311" s="133"/>
      <c r="W311" s="133"/>
      <c r="AW311" s="1"/>
      <c r="AX311" s="1"/>
      <c r="AY311" s="1"/>
      <c r="BE311" s="1"/>
      <c r="BF311" s="1"/>
      <c r="BG311" s="1"/>
      <c r="BM311" s="1"/>
      <c r="BN311" s="1"/>
      <c r="BO311" s="1"/>
    </row>
    <row r="312" spans="22:67" s="20" customFormat="1" ht="22.5" customHeight="1" x14ac:dyDescent="0.25">
      <c r="V312" s="133"/>
      <c r="W312" s="133"/>
      <c r="AW312" s="1"/>
      <c r="AX312" s="1"/>
      <c r="AY312" s="1"/>
      <c r="BE312" s="1"/>
      <c r="BF312" s="1"/>
      <c r="BG312" s="1"/>
      <c r="BM312" s="1"/>
      <c r="BN312" s="1"/>
      <c r="BO312" s="1"/>
    </row>
    <row r="313" spans="22:67" s="20" customFormat="1" ht="22.5" customHeight="1" x14ac:dyDescent="0.25">
      <c r="V313" s="133"/>
      <c r="W313" s="133"/>
      <c r="AW313" s="1"/>
      <c r="AX313" s="1"/>
      <c r="AY313" s="1"/>
      <c r="BE313" s="1"/>
      <c r="BF313" s="1"/>
      <c r="BG313" s="1"/>
      <c r="BM313" s="1"/>
      <c r="BN313" s="1"/>
      <c r="BO313" s="1"/>
    </row>
    <row r="314" spans="22:67" s="20" customFormat="1" ht="22.5" customHeight="1" x14ac:dyDescent="0.25">
      <c r="V314" s="133"/>
      <c r="W314" s="133"/>
      <c r="AW314" s="1"/>
      <c r="AX314" s="1"/>
      <c r="AY314" s="1"/>
      <c r="BE314" s="1"/>
      <c r="BF314" s="1"/>
      <c r="BG314" s="1"/>
      <c r="BM314" s="1"/>
      <c r="BN314" s="1"/>
      <c r="BO314" s="1"/>
    </row>
    <row r="315" spans="22:67" s="20" customFormat="1" ht="22.5" customHeight="1" x14ac:dyDescent="0.25">
      <c r="V315" s="133"/>
      <c r="W315" s="133"/>
      <c r="AW315" s="1"/>
      <c r="AX315" s="1"/>
      <c r="AY315" s="1"/>
      <c r="BE315" s="1"/>
      <c r="BF315" s="1"/>
      <c r="BG315" s="1"/>
      <c r="BM315" s="1"/>
      <c r="BN315" s="1"/>
      <c r="BO315" s="1"/>
    </row>
    <row r="316" spans="22:67" s="20" customFormat="1" ht="22.5" customHeight="1" x14ac:dyDescent="0.25">
      <c r="V316" s="133"/>
      <c r="W316" s="133"/>
      <c r="AW316" s="1"/>
      <c r="AX316" s="1"/>
      <c r="AY316" s="1"/>
      <c r="BE316" s="1"/>
      <c r="BF316" s="1"/>
      <c r="BG316" s="1"/>
      <c r="BM316" s="1"/>
      <c r="BN316" s="1"/>
      <c r="BO316" s="1"/>
    </row>
    <row r="317" spans="22:67" s="20" customFormat="1" ht="22.5" customHeight="1" x14ac:dyDescent="0.25">
      <c r="V317" s="133"/>
      <c r="W317" s="133"/>
      <c r="AW317" s="1"/>
      <c r="AX317" s="1"/>
      <c r="AY317" s="1"/>
      <c r="BE317" s="1"/>
      <c r="BF317" s="1"/>
      <c r="BG317" s="1"/>
      <c r="BM317" s="1"/>
      <c r="BN317" s="1"/>
      <c r="BO317" s="1"/>
    </row>
    <row r="318" spans="22:67" s="20" customFormat="1" ht="22.5" customHeight="1" x14ac:dyDescent="0.25">
      <c r="V318" s="133"/>
      <c r="W318" s="133"/>
      <c r="AW318" s="1"/>
      <c r="AX318" s="1"/>
      <c r="AY318" s="1"/>
      <c r="BE318" s="1"/>
      <c r="BF318" s="1"/>
      <c r="BG318" s="1"/>
      <c r="BM318" s="1"/>
      <c r="BN318" s="1"/>
      <c r="BO318" s="1"/>
    </row>
    <row r="319" spans="22:67" s="20" customFormat="1" ht="22.5" customHeight="1" x14ac:dyDescent="0.25">
      <c r="V319" s="133"/>
      <c r="W319" s="133"/>
      <c r="AW319" s="1"/>
      <c r="AX319" s="1"/>
      <c r="AY319" s="1"/>
      <c r="BE319" s="1"/>
      <c r="BF319" s="1"/>
      <c r="BG319" s="1"/>
      <c r="BM319" s="1"/>
      <c r="BN319" s="1"/>
      <c r="BO319" s="1"/>
    </row>
    <row r="320" spans="22:67" s="20" customFormat="1" ht="22.5" customHeight="1" x14ac:dyDescent="0.25">
      <c r="V320" s="133"/>
      <c r="W320" s="133"/>
      <c r="AW320" s="1"/>
      <c r="AX320" s="1"/>
      <c r="AY320" s="1"/>
      <c r="BE320" s="1"/>
      <c r="BF320" s="1"/>
      <c r="BG320" s="1"/>
      <c r="BM320" s="1"/>
      <c r="BN320" s="1"/>
      <c r="BO320" s="1"/>
    </row>
    <row r="321" spans="22:67" s="20" customFormat="1" ht="22.5" customHeight="1" x14ac:dyDescent="0.25">
      <c r="V321" s="133"/>
      <c r="W321" s="133"/>
      <c r="AW321" s="1"/>
      <c r="AX321" s="1"/>
      <c r="AY321" s="1"/>
      <c r="BE321" s="1"/>
      <c r="BF321" s="1"/>
      <c r="BG321" s="1"/>
      <c r="BM321" s="1"/>
      <c r="BN321" s="1"/>
      <c r="BO321" s="1"/>
    </row>
    <row r="322" spans="22:67" s="20" customFormat="1" ht="22.5" customHeight="1" x14ac:dyDescent="0.25">
      <c r="V322" s="133"/>
      <c r="W322" s="133"/>
      <c r="AW322" s="1"/>
      <c r="AX322" s="1"/>
      <c r="AY322" s="1"/>
      <c r="BE322" s="1"/>
      <c r="BF322" s="1"/>
      <c r="BG322" s="1"/>
      <c r="BM322" s="1"/>
      <c r="BN322" s="1"/>
      <c r="BO322" s="1"/>
    </row>
    <row r="323" spans="22:67" s="20" customFormat="1" ht="22.5" customHeight="1" x14ac:dyDescent="0.25">
      <c r="V323" s="133"/>
      <c r="W323" s="133"/>
      <c r="AW323" s="1"/>
      <c r="AX323" s="1"/>
      <c r="AY323" s="1"/>
      <c r="BE323" s="1"/>
      <c r="BF323" s="1"/>
      <c r="BG323" s="1"/>
      <c r="BM323" s="1"/>
      <c r="BN323" s="1"/>
      <c r="BO323" s="1"/>
    </row>
    <row r="324" spans="22:67" s="20" customFormat="1" ht="22.5" customHeight="1" x14ac:dyDescent="0.25">
      <c r="V324" s="133"/>
      <c r="W324" s="133"/>
      <c r="AW324" s="1"/>
      <c r="AX324" s="1"/>
      <c r="AY324" s="1"/>
      <c r="BE324" s="1"/>
      <c r="BF324" s="1"/>
      <c r="BG324" s="1"/>
      <c r="BM324" s="1"/>
      <c r="BN324" s="1"/>
      <c r="BO324" s="1"/>
    </row>
    <row r="325" spans="22:67" s="20" customFormat="1" ht="22.5" customHeight="1" x14ac:dyDescent="0.25">
      <c r="V325" s="133"/>
      <c r="W325" s="133"/>
      <c r="AW325" s="1"/>
      <c r="AX325" s="1"/>
      <c r="AY325" s="1"/>
      <c r="BE325" s="1"/>
      <c r="BF325" s="1"/>
      <c r="BG325" s="1"/>
      <c r="BM325" s="1"/>
      <c r="BN325" s="1"/>
      <c r="BO325" s="1"/>
    </row>
    <row r="326" spans="22:67" s="20" customFormat="1" ht="22.5" customHeight="1" x14ac:dyDescent="0.25">
      <c r="V326" s="133"/>
      <c r="W326" s="133"/>
      <c r="AW326" s="1"/>
      <c r="AX326" s="1"/>
      <c r="AY326" s="1"/>
      <c r="BE326" s="1"/>
      <c r="BF326" s="1"/>
      <c r="BG326" s="1"/>
      <c r="BM326" s="1"/>
      <c r="BN326" s="1"/>
      <c r="BO326" s="1"/>
    </row>
    <row r="327" spans="22:67" s="20" customFormat="1" ht="22.5" customHeight="1" x14ac:dyDescent="0.25">
      <c r="V327" s="133"/>
      <c r="W327" s="133"/>
      <c r="AW327" s="1"/>
      <c r="AX327" s="1"/>
      <c r="AY327" s="1"/>
      <c r="BE327" s="1"/>
      <c r="BF327" s="1"/>
      <c r="BG327" s="1"/>
      <c r="BM327" s="1"/>
      <c r="BN327" s="1"/>
      <c r="BO327" s="1"/>
    </row>
    <row r="328" spans="22:67" s="20" customFormat="1" ht="22.5" customHeight="1" x14ac:dyDescent="0.25">
      <c r="V328" s="133"/>
      <c r="W328" s="133"/>
      <c r="AW328" s="1"/>
      <c r="AX328" s="1"/>
      <c r="AY328" s="1"/>
      <c r="BE328" s="1"/>
      <c r="BF328" s="1"/>
      <c r="BG328" s="1"/>
      <c r="BM328" s="1"/>
      <c r="BN328" s="1"/>
      <c r="BO328" s="1"/>
    </row>
    <row r="329" spans="22:67" s="20" customFormat="1" ht="22.5" customHeight="1" x14ac:dyDescent="0.25">
      <c r="V329" s="133"/>
      <c r="W329" s="133"/>
      <c r="AW329" s="1"/>
      <c r="AX329" s="1"/>
      <c r="AY329" s="1"/>
      <c r="BE329" s="1"/>
      <c r="BF329" s="1"/>
      <c r="BG329" s="1"/>
      <c r="BM329" s="1"/>
      <c r="BN329" s="1"/>
      <c r="BO329" s="1"/>
    </row>
    <row r="330" spans="22:67" s="20" customFormat="1" ht="22.5" customHeight="1" x14ac:dyDescent="0.25">
      <c r="V330" s="133"/>
      <c r="W330" s="133"/>
      <c r="AW330" s="1"/>
      <c r="AX330" s="1"/>
      <c r="AY330" s="1"/>
      <c r="BE330" s="1"/>
      <c r="BF330" s="1"/>
      <c r="BG330" s="1"/>
      <c r="BM330" s="1"/>
      <c r="BN330" s="1"/>
      <c r="BO330" s="1"/>
    </row>
    <row r="331" spans="22:67" s="20" customFormat="1" ht="22.5" customHeight="1" x14ac:dyDescent="0.25">
      <c r="V331" s="133"/>
      <c r="W331" s="133"/>
      <c r="AW331" s="1"/>
      <c r="AX331" s="1"/>
      <c r="AY331" s="1"/>
      <c r="BE331" s="1"/>
      <c r="BF331" s="1"/>
      <c r="BG331" s="1"/>
      <c r="BM331" s="1"/>
      <c r="BN331" s="1"/>
      <c r="BO331" s="1"/>
    </row>
    <row r="332" spans="22:67" s="20" customFormat="1" ht="22.5" customHeight="1" x14ac:dyDescent="0.25">
      <c r="V332" s="133"/>
      <c r="W332" s="133"/>
      <c r="AW332" s="1"/>
      <c r="AX332" s="1"/>
      <c r="AY332" s="1"/>
      <c r="BE332" s="1"/>
      <c r="BF332" s="1"/>
      <c r="BG332" s="1"/>
      <c r="BM332" s="1"/>
      <c r="BN332" s="1"/>
      <c r="BO332" s="1"/>
    </row>
    <row r="333" spans="22:67" s="20" customFormat="1" ht="22.5" customHeight="1" x14ac:dyDescent="0.25">
      <c r="V333" s="133"/>
      <c r="W333" s="133"/>
      <c r="AW333" s="1"/>
      <c r="AX333" s="1"/>
      <c r="AY333" s="1"/>
      <c r="BE333" s="1"/>
      <c r="BF333" s="1"/>
      <c r="BG333" s="1"/>
      <c r="BM333" s="1"/>
      <c r="BN333" s="1"/>
      <c r="BO333" s="1"/>
    </row>
    <row r="334" spans="22:67" s="20" customFormat="1" ht="22.5" customHeight="1" x14ac:dyDescent="0.25">
      <c r="V334" s="133"/>
      <c r="W334" s="133"/>
      <c r="AW334" s="1"/>
      <c r="AX334" s="1"/>
      <c r="AY334" s="1"/>
      <c r="BE334" s="1"/>
      <c r="BF334" s="1"/>
      <c r="BG334" s="1"/>
      <c r="BM334" s="1"/>
      <c r="BN334" s="1"/>
      <c r="BO334" s="1"/>
    </row>
    <row r="335" spans="22:67" s="20" customFormat="1" ht="22.5" customHeight="1" x14ac:dyDescent="0.25">
      <c r="V335" s="133"/>
      <c r="W335" s="133"/>
      <c r="AW335" s="1"/>
      <c r="AX335" s="1"/>
      <c r="AY335" s="1"/>
      <c r="BE335" s="1"/>
      <c r="BF335" s="1"/>
      <c r="BG335" s="1"/>
      <c r="BM335" s="1"/>
      <c r="BN335" s="1"/>
      <c r="BO335" s="1"/>
    </row>
    <row r="336" spans="22:67" s="20" customFormat="1" ht="22.5" customHeight="1" x14ac:dyDescent="0.25">
      <c r="V336" s="133"/>
      <c r="W336" s="133"/>
      <c r="AW336" s="1"/>
      <c r="AX336" s="1"/>
      <c r="AY336" s="1"/>
      <c r="BE336" s="1"/>
      <c r="BF336" s="1"/>
      <c r="BG336" s="1"/>
      <c r="BM336" s="1"/>
      <c r="BN336" s="1"/>
      <c r="BO336" s="1"/>
    </row>
    <row r="337" spans="22:67" s="20" customFormat="1" ht="22.5" customHeight="1" x14ac:dyDescent="0.25">
      <c r="V337" s="133"/>
      <c r="W337" s="133"/>
      <c r="AW337" s="1"/>
      <c r="AX337" s="1"/>
      <c r="AY337" s="1"/>
      <c r="BE337" s="1"/>
      <c r="BF337" s="1"/>
      <c r="BG337" s="1"/>
      <c r="BM337" s="1"/>
      <c r="BN337" s="1"/>
      <c r="BO337" s="1"/>
    </row>
    <row r="338" spans="22:67" s="20" customFormat="1" ht="22.5" customHeight="1" x14ac:dyDescent="0.25">
      <c r="V338" s="133"/>
      <c r="W338" s="133"/>
      <c r="AW338" s="1"/>
      <c r="AX338" s="1"/>
      <c r="AY338" s="1"/>
      <c r="BE338" s="1"/>
      <c r="BF338" s="1"/>
      <c r="BG338" s="1"/>
      <c r="BM338" s="1"/>
      <c r="BN338" s="1"/>
      <c r="BO338" s="1"/>
    </row>
    <row r="339" spans="22:67" s="20" customFormat="1" ht="22.5" customHeight="1" x14ac:dyDescent="0.25">
      <c r="V339" s="133"/>
      <c r="W339" s="133"/>
      <c r="AW339" s="1"/>
      <c r="AX339" s="1"/>
      <c r="AY339" s="1"/>
      <c r="BE339" s="1"/>
      <c r="BF339" s="1"/>
      <c r="BG339" s="1"/>
      <c r="BM339" s="1"/>
      <c r="BN339" s="1"/>
      <c r="BO339" s="1"/>
    </row>
    <row r="340" spans="22:67" s="20" customFormat="1" ht="22.5" customHeight="1" x14ac:dyDescent="0.25">
      <c r="V340" s="133"/>
      <c r="W340" s="133"/>
      <c r="AW340" s="1"/>
      <c r="AX340" s="1"/>
      <c r="AY340" s="1"/>
      <c r="BE340" s="1"/>
      <c r="BF340" s="1"/>
      <c r="BG340" s="1"/>
      <c r="BM340" s="1"/>
      <c r="BN340" s="1"/>
      <c r="BO340" s="1"/>
    </row>
    <row r="341" spans="22:67" s="20" customFormat="1" ht="22.5" customHeight="1" x14ac:dyDescent="0.25">
      <c r="V341" s="133"/>
      <c r="W341" s="133"/>
      <c r="AW341" s="1"/>
      <c r="AX341" s="1"/>
      <c r="AY341" s="1"/>
      <c r="BE341" s="1"/>
      <c r="BF341" s="1"/>
      <c r="BG341" s="1"/>
      <c r="BM341" s="1"/>
      <c r="BN341" s="1"/>
      <c r="BO341" s="1"/>
    </row>
    <row r="342" spans="22:67" s="20" customFormat="1" ht="22.5" customHeight="1" x14ac:dyDescent="0.25">
      <c r="V342" s="133"/>
      <c r="W342" s="133"/>
      <c r="AW342" s="1"/>
      <c r="AX342" s="1"/>
      <c r="AY342" s="1"/>
      <c r="BE342" s="1"/>
      <c r="BF342" s="1"/>
      <c r="BG342" s="1"/>
      <c r="BM342" s="1"/>
      <c r="BN342" s="1"/>
      <c r="BO342" s="1"/>
    </row>
    <row r="343" spans="22:67" s="20" customFormat="1" ht="22.5" customHeight="1" x14ac:dyDescent="0.25">
      <c r="V343" s="133"/>
      <c r="W343" s="133"/>
      <c r="AW343" s="1"/>
      <c r="AX343" s="1"/>
      <c r="AY343" s="1"/>
      <c r="BE343" s="1"/>
      <c r="BF343" s="1"/>
      <c r="BG343" s="1"/>
      <c r="BM343" s="1"/>
      <c r="BN343" s="1"/>
      <c r="BO343" s="1"/>
    </row>
    <row r="344" spans="22:67" s="20" customFormat="1" ht="22.5" customHeight="1" x14ac:dyDescent="0.25">
      <c r="V344" s="133"/>
      <c r="W344" s="133"/>
      <c r="AW344" s="1"/>
      <c r="AX344" s="1"/>
      <c r="AY344" s="1"/>
      <c r="BE344" s="1"/>
      <c r="BF344" s="1"/>
      <c r="BG344" s="1"/>
      <c r="BM344" s="1"/>
      <c r="BN344" s="1"/>
      <c r="BO344" s="1"/>
    </row>
    <row r="345" spans="22:67" s="20" customFormat="1" ht="22.5" customHeight="1" x14ac:dyDescent="0.25">
      <c r="V345" s="133"/>
      <c r="W345" s="133"/>
      <c r="AW345" s="1"/>
      <c r="AX345" s="1"/>
      <c r="AY345" s="1"/>
      <c r="BE345" s="1"/>
      <c r="BF345" s="1"/>
      <c r="BG345" s="1"/>
      <c r="BM345" s="1"/>
      <c r="BN345" s="1"/>
      <c r="BO345" s="1"/>
    </row>
    <row r="346" spans="22:67" s="20" customFormat="1" ht="22.5" customHeight="1" x14ac:dyDescent="0.25">
      <c r="V346" s="133"/>
      <c r="W346" s="133"/>
      <c r="AW346" s="1"/>
      <c r="AX346" s="1"/>
      <c r="AY346" s="1"/>
      <c r="BE346" s="1"/>
      <c r="BF346" s="1"/>
      <c r="BG346" s="1"/>
      <c r="BM346" s="1"/>
      <c r="BN346" s="1"/>
      <c r="BO346" s="1"/>
    </row>
    <row r="347" spans="22:67" s="20" customFormat="1" ht="22.5" customHeight="1" x14ac:dyDescent="0.25">
      <c r="V347" s="133"/>
      <c r="W347" s="133"/>
      <c r="AW347" s="1"/>
      <c r="AX347" s="1"/>
      <c r="AY347" s="1"/>
      <c r="BE347" s="1"/>
      <c r="BF347" s="1"/>
      <c r="BG347" s="1"/>
      <c r="BM347" s="1"/>
      <c r="BN347" s="1"/>
      <c r="BO347" s="1"/>
    </row>
    <row r="348" spans="22:67" s="20" customFormat="1" ht="22.5" customHeight="1" x14ac:dyDescent="0.25">
      <c r="V348" s="133"/>
      <c r="W348" s="133"/>
      <c r="AW348" s="1"/>
      <c r="AX348" s="1"/>
      <c r="AY348" s="1"/>
      <c r="BE348" s="1"/>
      <c r="BF348" s="1"/>
      <c r="BG348" s="1"/>
      <c r="BM348" s="1"/>
      <c r="BN348" s="1"/>
      <c r="BO348" s="1"/>
    </row>
    <row r="349" spans="22:67" s="20" customFormat="1" ht="22.5" customHeight="1" x14ac:dyDescent="0.25">
      <c r="V349" s="133"/>
      <c r="W349" s="133"/>
      <c r="AW349" s="1"/>
      <c r="AX349" s="1"/>
      <c r="AY349" s="1"/>
      <c r="BE349" s="1"/>
      <c r="BF349" s="1"/>
      <c r="BG349" s="1"/>
      <c r="BM349" s="1"/>
      <c r="BN349" s="1"/>
      <c r="BO349" s="1"/>
    </row>
    <row r="350" spans="22:67" s="20" customFormat="1" ht="22.5" customHeight="1" x14ac:dyDescent="0.25">
      <c r="V350" s="133"/>
      <c r="W350" s="133"/>
      <c r="AW350" s="1"/>
      <c r="AX350" s="1"/>
      <c r="AY350" s="1"/>
      <c r="BE350" s="1"/>
      <c r="BF350" s="1"/>
      <c r="BG350" s="1"/>
      <c r="BM350" s="1"/>
      <c r="BN350" s="1"/>
      <c r="BO350" s="1"/>
    </row>
    <row r="351" spans="22:67" s="20" customFormat="1" ht="22.5" customHeight="1" x14ac:dyDescent="0.25">
      <c r="V351" s="133"/>
      <c r="W351" s="133"/>
      <c r="AW351" s="1"/>
      <c r="AX351" s="1"/>
      <c r="AY351" s="1"/>
      <c r="BE351" s="1"/>
      <c r="BF351" s="1"/>
      <c r="BG351" s="1"/>
      <c r="BM351" s="1"/>
      <c r="BN351" s="1"/>
      <c r="BO351" s="1"/>
    </row>
    <row r="352" spans="22:67" s="20" customFormat="1" ht="22.5" customHeight="1" x14ac:dyDescent="0.25">
      <c r="V352" s="133"/>
      <c r="W352" s="133"/>
      <c r="AW352" s="1"/>
      <c r="AX352" s="1"/>
      <c r="AY352" s="1"/>
      <c r="BE352" s="1"/>
      <c r="BF352" s="1"/>
      <c r="BG352" s="1"/>
      <c r="BM352" s="1"/>
      <c r="BN352" s="1"/>
      <c r="BO352" s="1"/>
    </row>
    <row r="353" spans="22:67" s="20" customFormat="1" ht="22.5" customHeight="1" x14ac:dyDescent="0.25">
      <c r="V353" s="133"/>
      <c r="W353" s="133"/>
      <c r="AW353" s="1"/>
      <c r="AX353" s="1"/>
      <c r="AY353" s="1"/>
      <c r="BE353" s="1"/>
      <c r="BF353" s="1"/>
      <c r="BG353" s="1"/>
      <c r="BM353" s="1"/>
      <c r="BN353" s="1"/>
      <c r="BO353" s="1"/>
    </row>
    <row r="354" spans="22:67" s="20" customFormat="1" ht="22.5" customHeight="1" x14ac:dyDescent="0.25">
      <c r="V354" s="133"/>
      <c r="W354" s="133"/>
      <c r="AW354" s="1"/>
      <c r="AX354" s="1"/>
      <c r="AY354" s="1"/>
      <c r="BE354" s="1"/>
      <c r="BF354" s="1"/>
      <c r="BG354" s="1"/>
      <c r="BM354" s="1"/>
      <c r="BN354" s="1"/>
      <c r="BO354" s="1"/>
    </row>
    <row r="355" spans="22:67" s="20" customFormat="1" ht="22.5" customHeight="1" x14ac:dyDescent="0.25">
      <c r="V355" s="133"/>
      <c r="W355" s="133"/>
      <c r="AW355" s="1"/>
      <c r="AX355" s="1"/>
      <c r="AY355" s="1"/>
      <c r="BE355" s="1"/>
      <c r="BF355" s="1"/>
      <c r="BG355" s="1"/>
      <c r="BM355" s="1"/>
      <c r="BN355" s="1"/>
      <c r="BO355" s="1"/>
    </row>
    <row r="356" spans="22:67" s="20" customFormat="1" ht="22.5" customHeight="1" x14ac:dyDescent="0.25">
      <c r="V356" s="133"/>
      <c r="W356" s="133"/>
      <c r="AW356" s="1"/>
      <c r="AX356" s="1"/>
      <c r="AY356" s="1"/>
      <c r="BE356" s="1"/>
      <c r="BF356" s="1"/>
      <c r="BG356" s="1"/>
      <c r="BM356" s="1"/>
      <c r="BN356" s="1"/>
      <c r="BO356" s="1"/>
    </row>
    <row r="357" spans="22:67" s="20" customFormat="1" ht="22.5" customHeight="1" x14ac:dyDescent="0.25">
      <c r="V357" s="133"/>
      <c r="W357" s="133"/>
      <c r="AW357" s="1"/>
      <c r="AX357" s="1"/>
      <c r="AY357" s="1"/>
      <c r="BE357" s="1"/>
      <c r="BF357" s="1"/>
      <c r="BG357" s="1"/>
      <c r="BM357" s="1"/>
      <c r="BN357" s="1"/>
      <c r="BO357" s="1"/>
    </row>
    <row r="358" spans="22:67" s="20" customFormat="1" ht="22.5" customHeight="1" x14ac:dyDescent="0.25">
      <c r="V358" s="133"/>
      <c r="W358" s="133"/>
      <c r="AW358" s="1"/>
      <c r="AX358" s="1"/>
      <c r="AY358" s="1"/>
      <c r="BE358" s="1"/>
      <c r="BF358" s="1"/>
      <c r="BG358" s="1"/>
      <c r="BM358" s="1"/>
      <c r="BN358" s="1"/>
      <c r="BO358" s="1"/>
    </row>
    <row r="359" spans="22:67" s="20" customFormat="1" ht="22.5" customHeight="1" x14ac:dyDescent="0.25">
      <c r="V359" s="133"/>
      <c r="W359" s="133"/>
      <c r="AW359" s="1"/>
      <c r="AX359" s="1"/>
      <c r="AY359" s="1"/>
      <c r="BE359" s="1"/>
      <c r="BF359" s="1"/>
      <c r="BG359" s="1"/>
      <c r="BM359" s="1"/>
      <c r="BN359" s="1"/>
      <c r="BO359" s="1"/>
    </row>
    <row r="360" spans="22:67" s="20" customFormat="1" ht="22.5" customHeight="1" x14ac:dyDescent="0.25">
      <c r="V360" s="133"/>
      <c r="W360" s="133"/>
      <c r="AW360" s="1"/>
      <c r="AX360" s="1"/>
      <c r="AY360" s="1"/>
      <c r="BE360" s="1"/>
      <c r="BF360" s="1"/>
      <c r="BG360" s="1"/>
      <c r="BM360" s="1"/>
      <c r="BN360" s="1"/>
      <c r="BO360" s="1"/>
    </row>
    <row r="361" spans="22:67" s="20" customFormat="1" ht="22.5" customHeight="1" x14ac:dyDescent="0.25">
      <c r="V361" s="133"/>
      <c r="W361" s="133"/>
      <c r="AW361" s="1"/>
      <c r="AX361" s="1"/>
      <c r="AY361" s="1"/>
      <c r="BE361" s="1"/>
      <c r="BF361" s="1"/>
      <c r="BG361" s="1"/>
      <c r="BM361" s="1"/>
      <c r="BN361" s="1"/>
      <c r="BO361" s="1"/>
    </row>
    <row r="362" spans="22:67" s="20" customFormat="1" ht="22.5" customHeight="1" x14ac:dyDescent="0.25">
      <c r="V362" s="133"/>
      <c r="W362" s="133"/>
      <c r="AW362" s="1"/>
      <c r="AX362" s="1"/>
      <c r="AY362" s="1"/>
      <c r="BE362" s="1"/>
      <c r="BF362" s="1"/>
      <c r="BG362" s="1"/>
      <c r="BM362" s="1"/>
      <c r="BN362" s="1"/>
      <c r="BO362" s="1"/>
    </row>
    <row r="363" spans="22:67" s="20" customFormat="1" ht="22.5" customHeight="1" x14ac:dyDescent="0.25">
      <c r="V363" s="133"/>
      <c r="W363" s="133"/>
      <c r="AW363" s="1"/>
      <c r="AX363" s="1"/>
      <c r="AY363" s="1"/>
      <c r="BE363" s="1"/>
      <c r="BF363" s="1"/>
      <c r="BG363" s="1"/>
      <c r="BM363" s="1"/>
      <c r="BN363" s="1"/>
      <c r="BO363" s="1"/>
    </row>
    <row r="364" spans="22:67" s="20" customFormat="1" ht="22.5" customHeight="1" x14ac:dyDescent="0.25">
      <c r="V364" s="133"/>
      <c r="W364" s="133"/>
      <c r="AW364" s="1"/>
      <c r="AX364" s="1"/>
      <c r="AY364" s="1"/>
      <c r="BE364" s="1"/>
      <c r="BF364" s="1"/>
      <c r="BG364" s="1"/>
      <c r="BM364" s="1"/>
      <c r="BN364" s="1"/>
      <c r="BO364" s="1"/>
    </row>
    <row r="365" spans="22:67" s="20" customFormat="1" ht="22.5" customHeight="1" x14ac:dyDescent="0.25">
      <c r="V365" s="133"/>
      <c r="W365" s="133"/>
      <c r="AW365" s="1"/>
      <c r="AX365" s="1"/>
      <c r="AY365" s="1"/>
      <c r="BE365" s="1"/>
      <c r="BF365" s="1"/>
      <c r="BG365" s="1"/>
      <c r="BM365" s="1"/>
      <c r="BN365" s="1"/>
      <c r="BO365" s="1"/>
    </row>
    <row r="366" spans="22:67" s="20" customFormat="1" ht="22.5" customHeight="1" x14ac:dyDescent="0.25">
      <c r="V366" s="133"/>
      <c r="W366" s="133"/>
      <c r="AW366" s="1"/>
      <c r="AX366" s="1"/>
      <c r="AY366" s="1"/>
      <c r="BE366" s="1"/>
      <c r="BF366" s="1"/>
      <c r="BG366" s="1"/>
      <c r="BM366" s="1"/>
      <c r="BN366" s="1"/>
      <c r="BO366" s="1"/>
    </row>
    <row r="367" spans="22:67" s="20" customFormat="1" ht="22.5" customHeight="1" x14ac:dyDescent="0.25">
      <c r="V367" s="133"/>
      <c r="W367" s="133"/>
      <c r="AW367" s="1"/>
      <c r="AX367" s="1"/>
      <c r="AY367" s="1"/>
      <c r="BE367" s="1"/>
      <c r="BF367" s="1"/>
      <c r="BG367" s="1"/>
      <c r="BM367" s="1"/>
      <c r="BN367" s="1"/>
      <c r="BO367" s="1"/>
    </row>
    <row r="368" spans="22:67" s="20" customFormat="1" ht="22.5" customHeight="1" x14ac:dyDescent="0.25">
      <c r="V368" s="133"/>
      <c r="W368" s="133"/>
      <c r="AW368" s="1"/>
      <c r="AX368" s="1"/>
      <c r="AY368" s="1"/>
      <c r="BE368" s="1"/>
      <c r="BF368" s="1"/>
      <c r="BG368" s="1"/>
      <c r="BM368" s="1"/>
      <c r="BN368" s="1"/>
      <c r="BO368" s="1"/>
    </row>
    <row r="369" spans="22:67" s="20" customFormat="1" ht="22.5" customHeight="1" x14ac:dyDescent="0.25">
      <c r="V369" s="133"/>
      <c r="W369" s="133"/>
      <c r="AW369" s="1"/>
      <c r="AX369" s="1"/>
      <c r="AY369" s="1"/>
      <c r="BE369" s="1"/>
      <c r="BF369" s="1"/>
      <c r="BG369" s="1"/>
      <c r="BM369" s="1"/>
      <c r="BN369" s="1"/>
      <c r="BO369" s="1"/>
    </row>
    <row r="370" spans="22:67" s="20" customFormat="1" ht="22.5" customHeight="1" x14ac:dyDescent="0.25">
      <c r="V370" s="133"/>
      <c r="W370" s="133"/>
      <c r="AW370" s="1"/>
      <c r="AX370" s="1"/>
      <c r="AY370" s="1"/>
      <c r="BE370" s="1"/>
      <c r="BF370" s="1"/>
      <c r="BG370" s="1"/>
      <c r="BM370" s="1"/>
      <c r="BN370" s="1"/>
      <c r="BO370" s="1"/>
    </row>
    <row r="371" spans="22:67" s="20" customFormat="1" ht="22.5" customHeight="1" x14ac:dyDescent="0.25">
      <c r="V371" s="133"/>
      <c r="W371" s="133"/>
      <c r="AW371" s="1"/>
      <c r="AX371" s="1"/>
      <c r="AY371" s="1"/>
      <c r="BE371" s="1"/>
      <c r="BF371" s="1"/>
      <c r="BG371" s="1"/>
      <c r="BM371" s="1"/>
      <c r="BN371" s="1"/>
      <c r="BO371" s="1"/>
    </row>
    <row r="372" spans="22:67" s="20" customFormat="1" ht="22.5" customHeight="1" x14ac:dyDescent="0.25">
      <c r="V372" s="133"/>
      <c r="W372" s="133"/>
      <c r="AW372" s="1"/>
      <c r="AX372" s="1"/>
      <c r="AY372" s="1"/>
      <c r="BE372" s="1"/>
      <c r="BF372" s="1"/>
      <c r="BG372" s="1"/>
      <c r="BM372" s="1"/>
      <c r="BN372" s="1"/>
      <c r="BO372" s="1"/>
    </row>
    <row r="373" spans="22:67" s="20" customFormat="1" ht="22.5" customHeight="1" x14ac:dyDescent="0.25">
      <c r="V373" s="133"/>
      <c r="W373" s="133"/>
      <c r="AW373" s="1"/>
      <c r="AX373" s="1"/>
      <c r="AY373" s="1"/>
      <c r="BE373" s="1"/>
      <c r="BF373" s="1"/>
      <c r="BG373" s="1"/>
      <c r="BM373" s="1"/>
      <c r="BN373" s="1"/>
      <c r="BO373" s="1"/>
    </row>
    <row r="374" spans="22:67" s="20" customFormat="1" ht="22.5" customHeight="1" x14ac:dyDescent="0.25">
      <c r="V374" s="133"/>
      <c r="W374" s="133"/>
      <c r="AW374" s="1"/>
      <c r="AX374" s="1"/>
      <c r="AY374" s="1"/>
      <c r="BE374" s="1"/>
      <c r="BF374" s="1"/>
      <c r="BG374" s="1"/>
      <c r="BM374" s="1"/>
      <c r="BN374" s="1"/>
      <c r="BO374" s="1"/>
    </row>
    <row r="375" spans="22:67" s="20" customFormat="1" ht="22.5" customHeight="1" x14ac:dyDescent="0.25">
      <c r="V375" s="133"/>
      <c r="W375" s="133"/>
      <c r="AW375" s="1"/>
      <c r="AX375" s="1"/>
      <c r="AY375" s="1"/>
      <c r="BE375" s="1"/>
      <c r="BF375" s="1"/>
      <c r="BG375" s="1"/>
      <c r="BM375" s="1"/>
      <c r="BN375" s="1"/>
      <c r="BO375" s="1"/>
    </row>
    <row r="376" spans="22:67" s="20" customFormat="1" ht="22.5" customHeight="1" x14ac:dyDescent="0.25">
      <c r="V376" s="133"/>
      <c r="W376" s="133"/>
      <c r="AW376" s="1"/>
      <c r="AX376" s="1"/>
      <c r="AY376" s="1"/>
      <c r="BE376" s="1"/>
      <c r="BF376" s="1"/>
      <c r="BG376" s="1"/>
      <c r="BM376" s="1"/>
      <c r="BN376" s="1"/>
      <c r="BO376" s="1"/>
    </row>
    <row r="377" spans="22:67" s="20" customFormat="1" ht="22.5" customHeight="1" x14ac:dyDescent="0.25">
      <c r="V377" s="133"/>
      <c r="W377" s="133"/>
      <c r="AW377" s="1"/>
      <c r="AX377" s="1"/>
      <c r="AY377" s="1"/>
      <c r="BE377" s="1"/>
      <c r="BF377" s="1"/>
      <c r="BG377" s="1"/>
      <c r="BM377" s="1"/>
      <c r="BN377" s="1"/>
      <c r="BO377" s="1"/>
    </row>
    <row r="378" spans="22:67" s="20" customFormat="1" ht="22.5" customHeight="1" x14ac:dyDescent="0.25">
      <c r="V378" s="133"/>
      <c r="W378" s="133"/>
      <c r="AW378" s="1"/>
      <c r="AX378" s="1"/>
      <c r="AY378" s="1"/>
      <c r="BE378" s="1"/>
      <c r="BF378" s="1"/>
      <c r="BG378" s="1"/>
      <c r="BM378" s="1"/>
      <c r="BN378" s="1"/>
      <c r="BO378" s="1"/>
    </row>
    <row r="379" spans="22:67" s="20" customFormat="1" ht="22.5" customHeight="1" x14ac:dyDescent="0.25">
      <c r="V379" s="133"/>
      <c r="W379" s="133"/>
      <c r="AW379" s="1"/>
      <c r="AX379" s="1"/>
      <c r="AY379" s="1"/>
      <c r="BE379" s="1"/>
      <c r="BF379" s="1"/>
      <c r="BG379" s="1"/>
      <c r="BM379" s="1"/>
      <c r="BN379" s="1"/>
      <c r="BO379" s="1"/>
    </row>
    <row r="380" spans="22:67" s="20" customFormat="1" ht="22.5" customHeight="1" x14ac:dyDescent="0.25">
      <c r="V380" s="133"/>
      <c r="W380" s="133"/>
      <c r="AW380" s="1"/>
      <c r="AX380" s="1"/>
      <c r="AY380" s="1"/>
      <c r="BE380" s="1"/>
      <c r="BF380" s="1"/>
      <c r="BG380" s="1"/>
      <c r="BM380" s="1"/>
      <c r="BN380" s="1"/>
      <c r="BO380" s="1"/>
    </row>
    <row r="381" spans="22:67" s="20" customFormat="1" ht="22.5" customHeight="1" x14ac:dyDescent="0.25">
      <c r="V381" s="133"/>
      <c r="W381" s="133"/>
      <c r="AW381" s="1"/>
      <c r="AX381" s="1"/>
      <c r="AY381" s="1"/>
      <c r="BE381" s="1"/>
      <c r="BF381" s="1"/>
      <c r="BG381" s="1"/>
      <c r="BM381" s="1"/>
      <c r="BN381" s="1"/>
      <c r="BO381" s="1"/>
    </row>
    <row r="382" spans="22:67" s="20" customFormat="1" ht="22.5" customHeight="1" x14ac:dyDescent="0.25">
      <c r="V382" s="133"/>
      <c r="W382" s="133"/>
      <c r="AW382" s="1"/>
      <c r="AX382" s="1"/>
      <c r="AY382" s="1"/>
      <c r="BE382" s="1"/>
      <c r="BF382" s="1"/>
      <c r="BG382" s="1"/>
      <c r="BM382" s="1"/>
      <c r="BN382" s="1"/>
      <c r="BO382" s="1"/>
    </row>
    <row r="383" spans="22:67" s="20" customFormat="1" ht="22.5" customHeight="1" x14ac:dyDescent="0.25">
      <c r="V383" s="133"/>
      <c r="W383" s="133"/>
      <c r="AW383" s="1"/>
      <c r="AX383" s="1"/>
      <c r="AY383" s="1"/>
      <c r="BE383" s="1"/>
      <c r="BF383" s="1"/>
      <c r="BG383" s="1"/>
      <c r="BM383" s="1"/>
      <c r="BN383" s="1"/>
      <c r="BO383" s="1"/>
    </row>
    <row r="384" spans="22:67" s="20" customFormat="1" ht="22.5" customHeight="1" x14ac:dyDescent="0.25">
      <c r="V384" s="133"/>
      <c r="W384" s="133"/>
      <c r="AW384" s="1"/>
      <c r="AX384" s="1"/>
      <c r="AY384" s="1"/>
      <c r="BE384" s="1"/>
      <c r="BF384" s="1"/>
      <c r="BG384" s="1"/>
      <c r="BM384" s="1"/>
      <c r="BN384" s="1"/>
      <c r="BO384" s="1"/>
    </row>
    <row r="385" spans="22:67" s="20" customFormat="1" ht="22.5" customHeight="1" x14ac:dyDescent="0.25">
      <c r="V385" s="133"/>
      <c r="W385" s="133"/>
      <c r="AW385" s="1"/>
      <c r="AX385" s="1"/>
      <c r="AY385" s="1"/>
      <c r="BE385" s="1"/>
      <c r="BF385" s="1"/>
      <c r="BG385" s="1"/>
      <c r="BM385" s="1"/>
      <c r="BN385" s="1"/>
      <c r="BO385" s="1"/>
    </row>
    <row r="386" spans="22:67" s="20" customFormat="1" ht="22.5" customHeight="1" x14ac:dyDescent="0.25">
      <c r="V386" s="133"/>
      <c r="W386" s="133"/>
      <c r="AW386" s="1"/>
      <c r="AX386" s="1"/>
      <c r="AY386" s="1"/>
      <c r="BE386" s="1"/>
      <c r="BF386" s="1"/>
      <c r="BG386" s="1"/>
      <c r="BM386" s="1"/>
      <c r="BN386" s="1"/>
      <c r="BO386" s="1"/>
    </row>
    <row r="387" spans="22:67" s="20" customFormat="1" ht="22.5" customHeight="1" x14ac:dyDescent="0.25">
      <c r="V387" s="133"/>
      <c r="W387" s="133"/>
      <c r="AW387" s="1"/>
      <c r="AX387" s="1"/>
      <c r="AY387" s="1"/>
      <c r="BE387" s="1"/>
      <c r="BF387" s="1"/>
      <c r="BG387" s="1"/>
      <c r="BM387" s="1"/>
      <c r="BN387" s="1"/>
      <c r="BO387" s="1"/>
    </row>
    <row r="388" spans="22:67" s="20" customFormat="1" ht="22.5" customHeight="1" x14ac:dyDescent="0.25">
      <c r="V388" s="133"/>
      <c r="W388" s="133"/>
      <c r="AW388" s="1"/>
      <c r="AX388" s="1"/>
      <c r="AY388" s="1"/>
      <c r="BE388" s="1"/>
      <c r="BF388" s="1"/>
      <c r="BG388" s="1"/>
      <c r="BM388" s="1"/>
      <c r="BN388" s="1"/>
      <c r="BO388" s="1"/>
    </row>
    <row r="389" spans="22:67" s="20" customFormat="1" ht="22.5" customHeight="1" x14ac:dyDescent="0.25">
      <c r="V389" s="133"/>
      <c r="W389" s="133"/>
      <c r="AW389" s="1"/>
      <c r="AX389" s="1"/>
      <c r="AY389" s="1"/>
      <c r="BE389" s="1"/>
      <c r="BF389" s="1"/>
      <c r="BG389" s="1"/>
      <c r="BM389" s="1"/>
      <c r="BN389" s="1"/>
      <c r="BO389" s="1"/>
    </row>
    <row r="390" spans="22:67" s="20" customFormat="1" ht="22.5" customHeight="1" x14ac:dyDescent="0.25">
      <c r="V390" s="133"/>
      <c r="W390" s="133"/>
      <c r="AW390" s="1"/>
      <c r="AX390" s="1"/>
      <c r="AY390" s="1"/>
      <c r="BE390" s="1"/>
      <c r="BF390" s="1"/>
      <c r="BG390" s="1"/>
      <c r="BM390" s="1"/>
      <c r="BN390" s="1"/>
      <c r="BO390" s="1"/>
    </row>
    <row r="391" spans="22:67" s="20" customFormat="1" ht="22.5" customHeight="1" x14ac:dyDescent="0.25">
      <c r="V391" s="133"/>
      <c r="W391" s="133"/>
      <c r="AW391" s="1"/>
      <c r="AX391" s="1"/>
      <c r="AY391" s="1"/>
      <c r="BE391" s="1"/>
      <c r="BF391" s="1"/>
      <c r="BG391" s="1"/>
      <c r="BM391" s="1"/>
      <c r="BN391" s="1"/>
      <c r="BO391" s="1"/>
    </row>
    <row r="392" spans="22:67" s="20" customFormat="1" ht="22.5" customHeight="1" x14ac:dyDescent="0.25">
      <c r="V392" s="133"/>
      <c r="W392" s="133"/>
      <c r="AW392" s="1"/>
      <c r="AX392" s="1"/>
      <c r="AY392" s="1"/>
      <c r="BE392" s="1"/>
      <c r="BF392" s="1"/>
      <c r="BG392" s="1"/>
      <c r="BM392" s="1"/>
      <c r="BN392" s="1"/>
      <c r="BO392" s="1"/>
    </row>
    <row r="393" spans="22:67" s="20" customFormat="1" ht="22.5" customHeight="1" x14ac:dyDescent="0.25">
      <c r="V393" s="133"/>
      <c r="W393" s="133"/>
      <c r="AW393" s="1"/>
      <c r="AX393" s="1"/>
      <c r="AY393" s="1"/>
      <c r="BE393" s="1"/>
      <c r="BF393" s="1"/>
      <c r="BG393" s="1"/>
      <c r="BM393" s="1"/>
      <c r="BN393" s="1"/>
      <c r="BO393" s="1"/>
    </row>
    <row r="394" spans="22:67" s="20" customFormat="1" ht="22.5" customHeight="1" x14ac:dyDescent="0.25">
      <c r="V394" s="133"/>
      <c r="W394" s="133"/>
      <c r="AW394" s="1"/>
      <c r="AX394" s="1"/>
      <c r="AY394" s="1"/>
      <c r="BE394" s="1"/>
      <c r="BF394" s="1"/>
      <c r="BG394" s="1"/>
      <c r="BM394" s="1"/>
      <c r="BN394" s="1"/>
      <c r="BO394" s="1"/>
    </row>
    <row r="395" spans="22:67" s="20" customFormat="1" ht="22.5" customHeight="1" x14ac:dyDescent="0.25">
      <c r="V395" s="133"/>
      <c r="W395" s="133"/>
      <c r="AW395" s="1"/>
      <c r="AX395" s="1"/>
      <c r="AY395" s="1"/>
      <c r="BE395" s="1"/>
      <c r="BF395" s="1"/>
      <c r="BG395" s="1"/>
      <c r="BM395" s="1"/>
      <c r="BN395" s="1"/>
      <c r="BO395" s="1"/>
    </row>
    <row r="396" spans="22:67" s="20" customFormat="1" ht="22.5" customHeight="1" x14ac:dyDescent="0.25">
      <c r="V396" s="133"/>
      <c r="W396" s="133"/>
      <c r="AW396" s="1"/>
      <c r="AX396" s="1"/>
      <c r="AY396" s="1"/>
      <c r="BE396" s="1"/>
      <c r="BF396" s="1"/>
      <c r="BG396" s="1"/>
      <c r="BM396" s="1"/>
      <c r="BN396" s="1"/>
      <c r="BO396" s="1"/>
    </row>
    <row r="397" spans="22:67" s="20" customFormat="1" ht="22.5" customHeight="1" x14ac:dyDescent="0.25">
      <c r="V397" s="133"/>
      <c r="W397" s="133"/>
      <c r="AW397" s="1"/>
      <c r="AX397" s="1"/>
      <c r="AY397" s="1"/>
      <c r="BE397" s="1"/>
      <c r="BF397" s="1"/>
      <c r="BG397" s="1"/>
      <c r="BM397" s="1"/>
      <c r="BN397" s="1"/>
      <c r="BO397" s="1"/>
    </row>
    <row r="398" spans="22:67" s="20" customFormat="1" ht="22.5" customHeight="1" x14ac:dyDescent="0.25">
      <c r="V398" s="133"/>
      <c r="W398" s="133"/>
      <c r="AW398" s="1"/>
      <c r="AX398" s="1"/>
      <c r="AY398" s="1"/>
      <c r="BE398" s="1"/>
      <c r="BF398" s="1"/>
      <c r="BG398" s="1"/>
      <c r="BM398" s="1"/>
      <c r="BN398" s="1"/>
      <c r="BO398" s="1"/>
    </row>
    <row r="399" spans="22:67" s="20" customFormat="1" ht="22.5" customHeight="1" x14ac:dyDescent="0.25">
      <c r="V399" s="133"/>
      <c r="W399" s="133"/>
      <c r="AW399" s="1"/>
      <c r="AX399" s="1"/>
      <c r="AY399" s="1"/>
      <c r="BE399" s="1"/>
      <c r="BF399" s="1"/>
      <c r="BG399" s="1"/>
      <c r="BM399" s="1"/>
      <c r="BN399" s="1"/>
      <c r="BO399" s="1"/>
    </row>
    <row r="400" spans="22:67" s="20" customFormat="1" ht="22.5" customHeight="1" x14ac:dyDescent="0.25">
      <c r="V400" s="133"/>
      <c r="W400" s="133"/>
      <c r="AW400" s="1"/>
      <c r="AX400" s="1"/>
      <c r="AY400" s="1"/>
      <c r="BE400" s="1"/>
      <c r="BF400" s="1"/>
      <c r="BG400" s="1"/>
      <c r="BM400" s="1"/>
      <c r="BN400" s="1"/>
      <c r="BO400" s="1"/>
    </row>
    <row r="401" spans="22:67" s="20" customFormat="1" ht="22.5" customHeight="1" x14ac:dyDescent="0.25">
      <c r="V401" s="133"/>
      <c r="W401" s="133"/>
      <c r="AW401" s="1"/>
      <c r="AX401" s="1"/>
      <c r="AY401" s="1"/>
      <c r="BE401" s="1"/>
      <c r="BF401" s="1"/>
      <c r="BG401" s="1"/>
      <c r="BM401" s="1"/>
      <c r="BN401" s="1"/>
      <c r="BO401" s="1"/>
    </row>
    <row r="402" spans="22:67" s="20" customFormat="1" ht="22.5" customHeight="1" x14ac:dyDescent="0.25">
      <c r="V402" s="133"/>
      <c r="W402" s="133"/>
      <c r="AW402" s="1"/>
      <c r="AX402" s="1"/>
      <c r="AY402" s="1"/>
      <c r="BE402" s="1"/>
      <c r="BF402" s="1"/>
      <c r="BG402" s="1"/>
      <c r="BM402" s="1"/>
      <c r="BN402" s="1"/>
      <c r="BO402" s="1"/>
    </row>
    <row r="403" spans="22:67" s="20" customFormat="1" ht="22.5" customHeight="1" x14ac:dyDescent="0.25">
      <c r="V403" s="133"/>
      <c r="W403" s="133"/>
      <c r="AW403" s="1"/>
      <c r="AX403" s="1"/>
      <c r="AY403" s="1"/>
      <c r="BE403" s="1"/>
      <c r="BF403" s="1"/>
      <c r="BG403" s="1"/>
      <c r="BM403" s="1"/>
      <c r="BN403" s="1"/>
      <c r="BO403" s="1"/>
    </row>
    <row r="404" spans="22:67" s="20" customFormat="1" ht="22.5" customHeight="1" x14ac:dyDescent="0.25">
      <c r="V404" s="133"/>
      <c r="W404" s="133"/>
      <c r="AW404" s="1"/>
      <c r="AX404" s="1"/>
      <c r="AY404" s="1"/>
      <c r="BE404" s="1"/>
      <c r="BF404" s="1"/>
      <c r="BG404" s="1"/>
      <c r="BM404" s="1"/>
      <c r="BN404" s="1"/>
      <c r="BO404" s="1"/>
    </row>
    <row r="405" spans="22:67" s="20" customFormat="1" ht="22.5" customHeight="1" x14ac:dyDescent="0.25">
      <c r="V405" s="133"/>
      <c r="W405" s="133"/>
      <c r="AW405" s="1"/>
      <c r="AX405" s="1"/>
      <c r="AY405" s="1"/>
      <c r="BE405" s="1"/>
      <c r="BF405" s="1"/>
      <c r="BG405" s="1"/>
      <c r="BM405" s="1"/>
      <c r="BN405" s="1"/>
      <c r="BO405" s="1"/>
    </row>
    <row r="406" spans="22:67" s="20" customFormat="1" ht="22.5" customHeight="1" x14ac:dyDescent="0.25">
      <c r="V406" s="133"/>
      <c r="W406" s="133"/>
      <c r="AW406" s="1"/>
      <c r="AX406" s="1"/>
      <c r="AY406" s="1"/>
      <c r="BE406" s="1"/>
      <c r="BF406" s="1"/>
      <c r="BG406" s="1"/>
      <c r="BM406" s="1"/>
      <c r="BN406" s="1"/>
      <c r="BO406" s="1"/>
    </row>
    <row r="407" spans="22:67" s="20" customFormat="1" ht="22.5" customHeight="1" x14ac:dyDescent="0.25">
      <c r="V407" s="133"/>
      <c r="W407" s="133"/>
      <c r="AW407" s="1"/>
      <c r="AX407" s="1"/>
      <c r="AY407" s="1"/>
      <c r="BE407" s="1"/>
      <c r="BF407" s="1"/>
      <c r="BG407" s="1"/>
      <c r="BM407" s="1"/>
      <c r="BN407" s="1"/>
      <c r="BO407" s="1"/>
    </row>
    <row r="408" spans="22:67" s="20" customFormat="1" ht="22.5" customHeight="1" x14ac:dyDescent="0.25">
      <c r="V408" s="133"/>
      <c r="W408" s="133"/>
      <c r="AW408" s="1"/>
      <c r="AX408" s="1"/>
      <c r="AY408" s="1"/>
      <c r="BE408" s="1"/>
      <c r="BF408" s="1"/>
      <c r="BG408" s="1"/>
      <c r="BM408" s="1"/>
      <c r="BN408" s="1"/>
      <c r="BO408" s="1"/>
    </row>
    <row r="409" spans="22:67" s="20" customFormat="1" ht="22.5" customHeight="1" x14ac:dyDescent="0.25">
      <c r="V409" s="133"/>
      <c r="W409" s="133"/>
      <c r="AW409" s="1"/>
      <c r="AX409" s="1"/>
      <c r="AY409" s="1"/>
      <c r="BE409" s="1"/>
      <c r="BF409" s="1"/>
      <c r="BG409" s="1"/>
      <c r="BM409" s="1"/>
      <c r="BN409" s="1"/>
      <c r="BO409" s="1"/>
    </row>
    <row r="410" spans="22:67" s="20" customFormat="1" ht="22.5" customHeight="1" x14ac:dyDescent="0.25">
      <c r="V410" s="133"/>
      <c r="W410" s="133"/>
      <c r="AW410" s="1"/>
      <c r="AX410" s="1"/>
      <c r="AY410" s="1"/>
      <c r="BE410" s="1"/>
      <c r="BF410" s="1"/>
      <c r="BG410" s="1"/>
      <c r="BM410" s="1"/>
      <c r="BN410" s="1"/>
      <c r="BO410" s="1"/>
    </row>
    <row r="411" spans="22:67" s="20" customFormat="1" ht="22.5" customHeight="1" x14ac:dyDescent="0.25">
      <c r="V411" s="133"/>
      <c r="W411" s="133"/>
      <c r="AW411" s="1"/>
      <c r="AX411" s="1"/>
      <c r="AY411" s="1"/>
      <c r="BE411" s="1"/>
      <c r="BF411" s="1"/>
      <c r="BG411" s="1"/>
      <c r="BM411" s="1"/>
      <c r="BN411" s="1"/>
      <c r="BO411" s="1"/>
    </row>
    <row r="412" spans="22:67" s="20" customFormat="1" ht="22.5" customHeight="1" x14ac:dyDescent="0.25">
      <c r="V412" s="133"/>
      <c r="W412" s="133"/>
      <c r="AW412" s="1"/>
      <c r="AX412" s="1"/>
      <c r="AY412" s="1"/>
      <c r="BE412" s="1"/>
      <c r="BF412" s="1"/>
      <c r="BG412" s="1"/>
      <c r="BM412" s="1"/>
      <c r="BN412" s="1"/>
      <c r="BO412" s="1"/>
    </row>
    <row r="413" spans="22:67" s="20" customFormat="1" ht="22.5" customHeight="1" x14ac:dyDescent="0.25">
      <c r="V413" s="133"/>
      <c r="W413" s="133"/>
      <c r="AW413" s="1"/>
      <c r="AX413" s="1"/>
      <c r="AY413" s="1"/>
      <c r="BE413" s="1"/>
      <c r="BF413" s="1"/>
      <c r="BG413" s="1"/>
      <c r="BM413" s="1"/>
      <c r="BN413" s="1"/>
      <c r="BO413" s="1"/>
    </row>
    <row r="414" spans="22:67" s="20" customFormat="1" ht="22.5" customHeight="1" x14ac:dyDescent="0.25">
      <c r="V414" s="133"/>
      <c r="W414" s="133"/>
      <c r="AW414" s="1"/>
      <c r="AX414" s="1"/>
      <c r="AY414" s="1"/>
      <c r="BE414" s="1"/>
      <c r="BF414" s="1"/>
      <c r="BG414" s="1"/>
      <c r="BM414" s="1"/>
      <c r="BN414" s="1"/>
      <c r="BO414" s="1"/>
    </row>
    <row r="415" spans="22:67" s="20" customFormat="1" ht="22.5" customHeight="1" x14ac:dyDescent="0.25">
      <c r="V415" s="133"/>
      <c r="W415" s="133"/>
      <c r="AW415" s="1"/>
      <c r="AX415" s="1"/>
      <c r="AY415" s="1"/>
      <c r="BE415" s="1"/>
      <c r="BF415" s="1"/>
      <c r="BG415" s="1"/>
      <c r="BM415" s="1"/>
      <c r="BN415" s="1"/>
      <c r="BO415" s="1"/>
    </row>
    <row r="416" spans="22:67" s="20" customFormat="1" ht="22.5" customHeight="1" x14ac:dyDescent="0.25">
      <c r="V416" s="133"/>
      <c r="W416" s="133"/>
      <c r="AW416" s="1"/>
      <c r="AX416" s="1"/>
      <c r="AY416" s="1"/>
      <c r="BE416" s="1"/>
      <c r="BF416" s="1"/>
      <c r="BG416" s="1"/>
      <c r="BM416" s="1"/>
      <c r="BN416" s="1"/>
      <c r="BO416" s="1"/>
    </row>
    <row r="417" spans="22:67" s="20" customFormat="1" ht="22.5" customHeight="1" x14ac:dyDescent="0.25">
      <c r="V417" s="133"/>
      <c r="W417" s="133"/>
      <c r="AW417" s="1"/>
      <c r="AX417" s="1"/>
      <c r="AY417" s="1"/>
      <c r="BE417" s="1"/>
      <c r="BF417" s="1"/>
      <c r="BG417" s="1"/>
      <c r="BM417" s="1"/>
      <c r="BN417" s="1"/>
      <c r="BO417" s="1"/>
    </row>
    <row r="418" spans="22:67" s="20" customFormat="1" ht="22.5" customHeight="1" x14ac:dyDescent="0.25">
      <c r="V418" s="133"/>
      <c r="W418" s="133"/>
      <c r="AW418" s="1"/>
      <c r="AX418" s="1"/>
      <c r="AY418" s="1"/>
      <c r="BE418" s="1"/>
      <c r="BF418" s="1"/>
      <c r="BG418" s="1"/>
      <c r="BM418" s="1"/>
      <c r="BN418" s="1"/>
      <c r="BO418" s="1"/>
    </row>
    <row r="419" spans="22:67" s="20" customFormat="1" ht="22.5" customHeight="1" x14ac:dyDescent="0.25">
      <c r="V419" s="133"/>
      <c r="W419" s="133"/>
      <c r="AW419" s="1"/>
      <c r="AX419" s="1"/>
      <c r="AY419" s="1"/>
      <c r="BE419" s="1"/>
      <c r="BF419" s="1"/>
      <c r="BG419" s="1"/>
      <c r="BM419" s="1"/>
      <c r="BN419" s="1"/>
      <c r="BO419" s="1"/>
    </row>
    <row r="420" spans="22:67" s="20" customFormat="1" ht="22.5" customHeight="1" x14ac:dyDescent="0.25">
      <c r="V420" s="133"/>
      <c r="W420" s="133"/>
      <c r="AW420" s="1"/>
      <c r="AX420" s="1"/>
      <c r="AY420" s="1"/>
      <c r="BE420" s="1"/>
      <c r="BF420" s="1"/>
      <c r="BG420" s="1"/>
      <c r="BM420" s="1"/>
      <c r="BN420" s="1"/>
      <c r="BO420" s="1"/>
    </row>
    <row r="421" spans="22:67" s="20" customFormat="1" ht="22.5" customHeight="1" x14ac:dyDescent="0.25">
      <c r="V421" s="133"/>
      <c r="W421" s="133"/>
      <c r="AW421" s="1"/>
      <c r="AX421" s="1"/>
      <c r="AY421" s="1"/>
      <c r="BE421" s="1"/>
      <c r="BF421" s="1"/>
      <c r="BG421" s="1"/>
      <c r="BM421" s="1"/>
      <c r="BN421" s="1"/>
      <c r="BO421" s="1"/>
    </row>
    <row r="422" spans="22:67" s="20" customFormat="1" ht="22.5" customHeight="1" x14ac:dyDescent="0.25">
      <c r="V422" s="133"/>
      <c r="W422" s="133"/>
      <c r="AW422" s="1"/>
      <c r="AX422" s="1"/>
      <c r="AY422" s="1"/>
      <c r="BE422" s="1"/>
      <c r="BF422" s="1"/>
      <c r="BG422" s="1"/>
      <c r="BM422" s="1"/>
      <c r="BN422" s="1"/>
      <c r="BO422" s="1"/>
    </row>
    <row r="423" spans="22:67" s="20" customFormat="1" ht="22.5" customHeight="1" x14ac:dyDescent="0.25">
      <c r="V423" s="133"/>
      <c r="W423" s="133"/>
      <c r="AW423" s="1"/>
      <c r="AX423" s="1"/>
      <c r="AY423" s="1"/>
      <c r="BE423" s="1"/>
      <c r="BF423" s="1"/>
      <c r="BG423" s="1"/>
      <c r="BM423" s="1"/>
      <c r="BN423" s="1"/>
      <c r="BO423" s="1"/>
    </row>
    <row r="424" spans="22:67" s="20" customFormat="1" ht="22.5" customHeight="1" x14ac:dyDescent="0.25">
      <c r="V424" s="133"/>
      <c r="W424" s="133"/>
      <c r="AW424" s="1"/>
      <c r="AX424" s="1"/>
      <c r="AY424" s="1"/>
      <c r="BE424" s="1"/>
      <c r="BF424" s="1"/>
      <c r="BG424" s="1"/>
      <c r="BM424" s="1"/>
      <c r="BN424" s="1"/>
      <c r="BO424" s="1"/>
    </row>
    <row r="425" spans="22:67" s="20" customFormat="1" ht="22.5" customHeight="1" x14ac:dyDescent="0.25">
      <c r="V425" s="133"/>
      <c r="W425" s="133"/>
      <c r="AW425" s="1"/>
      <c r="AX425" s="1"/>
      <c r="AY425" s="1"/>
      <c r="BE425" s="1"/>
      <c r="BF425" s="1"/>
      <c r="BG425" s="1"/>
      <c r="BM425" s="1"/>
      <c r="BN425" s="1"/>
      <c r="BO425" s="1"/>
    </row>
    <row r="426" spans="22:67" s="20" customFormat="1" ht="22.5" customHeight="1" x14ac:dyDescent="0.25">
      <c r="V426" s="133"/>
      <c r="W426" s="133"/>
      <c r="AW426" s="1"/>
      <c r="AX426" s="1"/>
      <c r="AY426" s="1"/>
      <c r="BE426" s="1"/>
      <c r="BF426" s="1"/>
      <c r="BG426" s="1"/>
      <c r="BM426" s="1"/>
      <c r="BN426" s="1"/>
      <c r="BO426" s="1"/>
    </row>
    <row r="427" spans="22:67" s="20" customFormat="1" ht="22.5" customHeight="1" x14ac:dyDescent="0.25">
      <c r="V427" s="133"/>
      <c r="W427" s="133"/>
      <c r="AW427" s="1"/>
      <c r="AX427" s="1"/>
      <c r="AY427" s="1"/>
      <c r="BE427" s="1"/>
      <c r="BF427" s="1"/>
      <c r="BG427" s="1"/>
      <c r="BM427" s="1"/>
      <c r="BN427" s="1"/>
      <c r="BO427" s="1"/>
    </row>
    <row r="428" spans="22:67" s="20" customFormat="1" ht="22.5" customHeight="1" x14ac:dyDescent="0.25">
      <c r="V428" s="133"/>
      <c r="W428" s="133"/>
      <c r="AW428" s="1"/>
      <c r="AX428" s="1"/>
      <c r="AY428" s="1"/>
      <c r="BE428" s="1"/>
      <c r="BF428" s="1"/>
      <c r="BG428" s="1"/>
      <c r="BM428" s="1"/>
      <c r="BN428" s="1"/>
      <c r="BO428" s="1"/>
    </row>
    <row r="429" spans="22:67" s="20" customFormat="1" ht="22.5" customHeight="1" x14ac:dyDescent="0.25">
      <c r="V429" s="133"/>
      <c r="W429" s="133"/>
      <c r="AW429" s="1"/>
      <c r="AX429" s="1"/>
      <c r="AY429" s="1"/>
      <c r="BE429" s="1"/>
      <c r="BF429" s="1"/>
      <c r="BG429" s="1"/>
      <c r="BM429" s="1"/>
      <c r="BN429" s="1"/>
      <c r="BO429" s="1"/>
    </row>
    <row r="430" spans="22:67" s="20" customFormat="1" ht="22.5" customHeight="1" x14ac:dyDescent="0.25">
      <c r="V430" s="133"/>
      <c r="W430" s="133"/>
      <c r="AW430" s="1"/>
      <c r="AX430" s="1"/>
      <c r="AY430" s="1"/>
      <c r="BE430" s="1"/>
      <c r="BF430" s="1"/>
      <c r="BG430" s="1"/>
      <c r="BM430" s="1"/>
      <c r="BN430" s="1"/>
      <c r="BO430" s="1"/>
    </row>
    <row r="431" spans="22:67" s="20" customFormat="1" ht="22.5" customHeight="1" x14ac:dyDescent="0.25">
      <c r="V431" s="133"/>
      <c r="W431" s="133"/>
      <c r="AW431" s="1"/>
      <c r="AX431" s="1"/>
      <c r="AY431" s="1"/>
      <c r="BE431" s="1"/>
      <c r="BF431" s="1"/>
      <c r="BG431" s="1"/>
      <c r="BM431" s="1"/>
      <c r="BN431" s="1"/>
      <c r="BO431" s="1"/>
    </row>
    <row r="432" spans="22:67" s="20" customFormat="1" ht="22.5" customHeight="1" x14ac:dyDescent="0.25">
      <c r="V432" s="133"/>
      <c r="W432" s="133"/>
      <c r="AW432" s="1"/>
      <c r="AX432" s="1"/>
      <c r="AY432" s="1"/>
      <c r="BE432" s="1"/>
      <c r="BF432" s="1"/>
      <c r="BG432" s="1"/>
      <c r="BM432" s="1"/>
      <c r="BN432" s="1"/>
      <c r="BO432" s="1"/>
    </row>
    <row r="433" spans="22:67" s="20" customFormat="1" ht="22.5" customHeight="1" x14ac:dyDescent="0.25">
      <c r="V433" s="133"/>
      <c r="W433" s="133"/>
      <c r="AW433" s="1"/>
      <c r="AX433" s="1"/>
      <c r="AY433" s="1"/>
      <c r="BE433" s="1"/>
      <c r="BF433" s="1"/>
      <c r="BG433" s="1"/>
      <c r="BM433" s="1"/>
      <c r="BN433" s="1"/>
      <c r="BO433" s="1"/>
    </row>
    <row r="434" spans="22:67" s="20" customFormat="1" ht="22.5" customHeight="1" x14ac:dyDescent="0.25">
      <c r="V434" s="133"/>
      <c r="W434" s="133"/>
      <c r="AW434" s="1"/>
      <c r="AX434" s="1"/>
      <c r="AY434" s="1"/>
      <c r="BE434" s="1"/>
      <c r="BF434" s="1"/>
      <c r="BG434" s="1"/>
      <c r="BM434" s="1"/>
      <c r="BN434" s="1"/>
      <c r="BO434" s="1"/>
    </row>
    <row r="435" spans="22:67" s="20" customFormat="1" ht="22.5" customHeight="1" x14ac:dyDescent="0.25">
      <c r="V435" s="133"/>
      <c r="W435" s="133"/>
      <c r="AW435" s="1"/>
      <c r="AX435" s="1"/>
      <c r="AY435" s="1"/>
      <c r="BE435" s="1"/>
      <c r="BF435" s="1"/>
      <c r="BG435" s="1"/>
      <c r="BM435" s="1"/>
      <c r="BN435" s="1"/>
      <c r="BO435" s="1"/>
    </row>
    <row r="436" spans="22:67" s="20" customFormat="1" ht="22.5" customHeight="1" x14ac:dyDescent="0.25">
      <c r="V436" s="133"/>
      <c r="W436" s="133"/>
      <c r="AW436" s="1"/>
      <c r="AX436" s="1"/>
      <c r="AY436" s="1"/>
      <c r="BE436" s="1"/>
      <c r="BF436" s="1"/>
      <c r="BG436" s="1"/>
      <c r="BM436" s="1"/>
      <c r="BN436" s="1"/>
      <c r="BO436" s="1"/>
    </row>
    <row r="437" spans="22:67" s="20" customFormat="1" ht="22.5" customHeight="1" x14ac:dyDescent="0.25">
      <c r="V437" s="133"/>
      <c r="W437" s="133"/>
      <c r="AW437" s="1"/>
      <c r="AX437" s="1"/>
      <c r="AY437" s="1"/>
      <c r="BE437" s="1"/>
      <c r="BF437" s="1"/>
      <c r="BG437" s="1"/>
      <c r="BM437" s="1"/>
      <c r="BN437" s="1"/>
      <c r="BO437" s="1"/>
    </row>
    <row r="438" spans="22:67" s="20" customFormat="1" ht="22.5" customHeight="1" x14ac:dyDescent="0.25">
      <c r="V438" s="133"/>
      <c r="W438" s="133"/>
      <c r="AW438" s="1"/>
      <c r="AX438" s="1"/>
      <c r="AY438" s="1"/>
      <c r="BE438" s="1"/>
      <c r="BF438" s="1"/>
      <c r="BG438" s="1"/>
      <c r="BM438" s="1"/>
      <c r="BN438" s="1"/>
      <c r="BO438" s="1"/>
    </row>
    <row r="439" spans="22:67" s="20" customFormat="1" ht="22.5" customHeight="1" x14ac:dyDescent="0.25">
      <c r="V439" s="133"/>
      <c r="W439" s="133"/>
      <c r="AW439" s="1"/>
      <c r="AX439" s="1"/>
      <c r="AY439" s="1"/>
      <c r="BE439" s="1"/>
      <c r="BF439" s="1"/>
      <c r="BG439" s="1"/>
      <c r="BM439" s="1"/>
      <c r="BN439" s="1"/>
      <c r="BO439" s="1"/>
    </row>
    <row r="440" spans="22:67" s="20" customFormat="1" ht="22.5" customHeight="1" x14ac:dyDescent="0.25">
      <c r="V440" s="133"/>
      <c r="W440" s="133"/>
      <c r="AW440" s="1"/>
      <c r="AX440" s="1"/>
      <c r="AY440" s="1"/>
      <c r="BE440" s="1"/>
      <c r="BF440" s="1"/>
      <c r="BG440" s="1"/>
      <c r="BM440" s="1"/>
      <c r="BN440" s="1"/>
      <c r="BO440" s="1"/>
    </row>
    <row r="441" spans="22:67" s="20" customFormat="1" ht="22.5" customHeight="1" x14ac:dyDescent="0.25">
      <c r="V441" s="133"/>
      <c r="W441" s="133"/>
      <c r="AW441" s="1"/>
      <c r="AX441" s="1"/>
      <c r="AY441" s="1"/>
      <c r="BE441" s="1"/>
      <c r="BF441" s="1"/>
      <c r="BG441" s="1"/>
      <c r="BM441" s="1"/>
      <c r="BN441" s="1"/>
      <c r="BO441" s="1"/>
    </row>
    <row r="442" spans="22:67" s="20" customFormat="1" ht="22.5" customHeight="1" x14ac:dyDescent="0.25">
      <c r="V442" s="133"/>
      <c r="W442" s="133"/>
      <c r="AW442" s="1"/>
      <c r="AX442" s="1"/>
      <c r="AY442" s="1"/>
      <c r="BE442" s="1"/>
      <c r="BF442" s="1"/>
      <c r="BG442" s="1"/>
      <c r="BM442" s="1"/>
      <c r="BN442" s="1"/>
      <c r="BO442" s="1"/>
    </row>
    <row r="443" spans="22:67" s="20" customFormat="1" ht="22.5" customHeight="1" x14ac:dyDescent="0.25">
      <c r="V443" s="133"/>
      <c r="W443" s="133"/>
      <c r="AW443" s="1"/>
      <c r="AX443" s="1"/>
      <c r="AY443" s="1"/>
      <c r="BE443" s="1"/>
      <c r="BF443" s="1"/>
      <c r="BG443" s="1"/>
      <c r="BM443" s="1"/>
      <c r="BN443" s="1"/>
      <c r="BO443" s="1"/>
    </row>
    <row r="444" spans="22:67" s="20" customFormat="1" ht="22.5" customHeight="1" x14ac:dyDescent="0.25">
      <c r="V444" s="133"/>
      <c r="W444" s="133"/>
      <c r="AW444" s="1"/>
      <c r="AX444" s="1"/>
      <c r="AY444" s="1"/>
      <c r="BE444" s="1"/>
      <c r="BF444" s="1"/>
      <c r="BG444" s="1"/>
      <c r="BM444" s="1"/>
      <c r="BN444" s="1"/>
      <c r="BO444" s="1"/>
    </row>
    <row r="445" spans="22:67" s="20" customFormat="1" ht="22.5" customHeight="1" x14ac:dyDescent="0.25">
      <c r="V445" s="133"/>
      <c r="W445" s="133"/>
      <c r="AW445" s="1"/>
      <c r="AX445" s="1"/>
      <c r="AY445" s="1"/>
      <c r="BE445" s="1"/>
      <c r="BF445" s="1"/>
      <c r="BG445" s="1"/>
      <c r="BM445" s="1"/>
      <c r="BN445" s="1"/>
      <c r="BO445" s="1"/>
    </row>
    <row r="446" spans="22:67" s="20" customFormat="1" ht="22.5" customHeight="1" x14ac:dyDescent="0.25">
      <c r="V446" s="133"/>
      <c r="W446" s="133"/>
      <c r="AW446" s="1"/>
      <c r="AX446" s="1"/>
      <c r="AY446" s="1"/>
      <c r="BE446" s="1"/>
      <c r="BF446" s="1"/>
      <c r="BG446" s="1"/>
      <c r="BM446" s="1"/>
      <c r="BN446" s="1"/>
      <c r="BO446" s="1"/>
    </row>
    <row r="447" spans="22:67" s="20" customFormat="1" ht="22.5" customHeight="1" x14ac:dyDescent="0.25">
      <c r="V447" s="133"/>
      <c r="W447" s="133"/>
      <c r="AW447" s="1"/>
      <c r="AX447" s="1"/>
      <c r="AY447" s="1"/>
      <c r="BE447" s="1"/>
      <c r="BF447" s="1"/>
      <c r="BG447" s="1"/>
      <c r="BM447" s="1"/>
      <c r="BN447" s="1"/>
      <c r="BO447" s="1"/>
    </row>
    <row r="448" spans="22:67" s="20" customFormat="1" ht="22.5" customHeight="1" x14ac:dyDescent="0.25">
      <c r="V448" s="133"/>
      <c r="W448" s="133"/>
      <c r="AW448" s="1"/>
      <c r="AX448" s="1"/>
      <c r="AY448" s="1"/>
      <c r="BE448" s="1"/>
      <c r="BF448" s="1"/>
      <c r="BG448" s="1"/>
      <c r="BM448" s="1"/>
      <c r="BN448" s="1"/>
      <c r="BO448" s="1"/>
    </row>
    <row r="449" spans="22:67" s="20" customFormat="1" ht="22.5" customHeight="1" x14ac:dyDescent="0.25">
      <c r="V449" s="133"/>
      <c r="W449" s="133"/>
      <c r="AW449" s="1"/>
      <c r="AX449" s="1"/>
      <c r="AY449" s="1"/>
      <c r="BE449" s="1"/>
      <c r="BF449" s="1"/>
      <c r="BG449" s="1"/>
      <c r="BM449" s="1"/>
      <c r="BN449" s="1"/>
      <c r="BO449" s="1"/>
    </row>
    <row r="450" spans="22:67" s="20" customFormat="1" ht="22.5" customHeight="1" x14ac:dyDescent="0.25">
      <c r="V450" s="133"/>
      <c r="W450" s="133"/>
      <c r="AW450" s="1"/>
      <c r="AX450" s="1"/>
      <c r="AY450" s="1"/>
      <c r="BE450" s="1"/>
      <c r="BF450" s="1"/>
      <c r="BG450" s="1"/>
      <c r="BM450" s="1"/>
      <c r="BN450" s="1"/>
      <c r="BO450" s="1"/>
    </row>
    <row r="451" spans="22:67" s="20" customFormat="1" ht="22.5" customHeight="1" x14ac:dyDescent="0.25">
      <c r="V451" s="133"/>
      <c r="W451" s="133"/>
      <c r="AW451" s="1"/>
      <c r="AX451" s="1"/>
      <c r="AY451" s="1"/>
      <c r="BE451" s="1"/>
      <c r="BF451" s="1"/>
      <c r="BG451" s="1"/>
      <c r="BM451" s="1"/>
      <c r="BN451" s="1"/>
      <c r="BO451" s="1"/>
    </row>
    <row r="452" spans="22:67" s="20" customFormat="1" ht="22.5" customHeight="1" x14ac:dyDescent="0.25">
      <c r="V452" s="133"/>
      <c r="W452" s="133"/>
      <c r="AW452" s="1"/>
      <c r="AX452" s="1"/>
      <c r="AY452" s="1"/>
      <c r="BE452" s="1"/>
      <c r="BF452" s="1"/>
      <c r="BG452" s="1"/>
      <c r="BM452" s="1"/>
      <c r="BN452" s="1"/>
      <c r="BO452" s="1"/>
    </row>
    <row r="453" spans="22:67" s="20" customFormat="1" ht="22.5" customHeight="1" x14ac:dyDescent="0.25">
      <c r="V453" s="133"/>
      <c r="W453" s="133"/>
      <c r="AW453" s="1"/>
      <c r="AX453" s="1"/>
      <c r="AY453" s="1"/>
      <c r="BE453" s="1"/>
      <c r="BF453" s="1"/>
      <c r="BG453" s="1"/>
      <c r="BM453" s="1"/>
      <c r="BN453" s="1"/>
      <c r="BO453" s="1"/>
    </row>
    <row r="454" spans="22:67" s="20" customFormat="1" ht="22.5" customHeight="1" x14ac:dyDescent="0.25">
      <c r="V454" s="133"/>
      <c r="W454" s="133"/>
      <c r="AW454" s="1"/>
      <c r="AX454" s="1"/>
      <c r="AY454" s="1"/>
      <c r="BE454" s="1"/>
      <c r="BF454" s="1"/>
      <c r="BG454" s="1"/>
      <c r="BM454" s="1"/>
      <c r="BN454" s="1"/>
      <c r="BO454" s="1"/>
    </row>
    <row r="455" spans="22:67" s="20" customFormat="1" ht="22.5" customHeight="1" x14ac:dyDescent="0.25">
      <c r="V455" s="133"/>
      <c r="W455" s="133"/>
      <c r="AW455" s="1"/>
      <c r="AX455" s="1"/>
      <c r="AY455" s="1"/>
      <c r="BE455" s="1"/>
      <c r="BF455" s="1"/>
      <c r="BG455" s="1"/>
      <c r="BM455" s="1"/>
      <c r="BN455" s="1"/>
      <c r="BO455" s="1"/>
    </row>
    <row r="456" spans="22:67" s="20" customFormat="1" ht="22.5" customHeight="1" x14ac:dyDescent="0.25">
      <c r="V456" s="133"/>
      <c r="W456" s="133"/>
      <c r="AW456" s="1"/>
      <c r="AX456" s="1"/>
      <c r="AY456" s="1"/>
      <c r="BE456" s="1"/>
      <c r="BF456" s="1"/>
      <c r="BG456" s="1"/>
      <c r="BM456" s="1"/>
      <c r="BN456" s="1"/>
      <c r="BO456" s="1"/>
    </row>
    <row r="457" spans="22:67" s="20" customFormat="1" ht="22.5" customHeight="1" x14ac:dyDescent="0.25">
      <c r="V457" s="133"/>
      <c r="W457" s="133"/>
      <c r="AW457" s="1"/>
      <c r="AX457" s="1"/>
      <c r="AY457" s="1"/>
      <c r="BE457" s="1"/>
      <c r="BF457" s="1"/>
      <c r="BG457" s="1"/>
      <c r="BM457" s="1"/>
      <c r="BN457" s="1"/>
      <c r="BO457" s="1"/>
    </row>
    <row r="458" spans="22:67" s="20" customFormat="1" ht="22.5" customHeight="1" x14ac:dyDescent="0.25">
      <c r="V458" s="133"/>
      <c r="W458" s="133"/>
      <c r="AW458" s="1"/>
      <c r="AX458" s="1"/>
      <c r="AY458" s="1"/>
      <c r="BE458" s="1"/>
      <c r="BF458" s="1"/>
      <c r="BG458" s="1"/>
      <c r="BM458" s="1"/>
      <c r="BN458" s="1"/>
      <c r="BO458" s="1"/>
    </row>
    <row r="459" spans="22:67" s="20" customFormat="1" ht="22.5" customHeight="1" x14ac:dyDescent="0.25">
      <c r="V459" s="133"/>
      <c r="W459" s="133"/>
      <c r="AW459" s="1"/>
      <c r="AX459" s="1"/>
      <c r="AY459" s="1"/>
      <c r="BE459" s="1"/>
      <c r="BF459" s="1"/>
      <c r="BG459" s="1"/>
      <c r="BM459" s="1"/>
      <c r="BN459" s="1"/>
      <c r="BO459" s="1"/>
    </row>
    <row r="460" spans="22:67" s="20" customFormat="1" ht="22.5" customHeight="1" x14ac:dyDescent="0.25">
      <c r="V460" s="133"/>
      <c r="W460" s="133"/>
      <c r="AW460" s="1"/>
      <c r="AX460" s="1"/>
      <c r="AY460" s="1"/>
      <c r="BE460" s="1"/>
      <c r="BF460" s="1"/>
      <c r="BG460" s="1"/>
      <c r="BM460" s="1"/>
      <c r="BN460" s="1"/>
      <c r="BO460" s="1"/>
    </row>
    <row r="461" spans="22:67" s="20" customFormat="1" ht="22.5" customHeight="1" x14ac:dyDescent="0.25">
      <c r="V461" s="133"/>
      <c r="W461" s="133"/>
      <c r="AW461" s="1"/>
      <c r="AX461" s="1"/>
      <c r="AY461" s="1"/>
      <c r="BE461" s="1"/>
      <c r="BF461" s="1"/>
      <c r="BG461" s="1"/>
      <c r="BM461" s="1"/>
      <c r="BN461" s="1"/>
      <c r="BO461" s="1"/>
    </row>
    <row r="462" spans="22:67" s="20" customFormat="1" ht="22.5" customHeight="1" x14ac:dyDescent="0.25">
      <c r="V462" s="133"/>
      <c r="W462" s="133"/>
      <c r="AW462" s="1"/>
      <c r="AX462" s="1"/>
      <c r="AY462" s="1"/>
      <c r="BE462" s="1"/>
      <c r="BF462" s="1"/>
      <c r="BG462" s="1"/>
      <c r="BM462" s="1"/>
      <c r="BN462" s="1"/>
      <c r="BO462" s="1"/>
    </row>
    <row r="463" spans="22:67" s="20" customFormat="1" ht="22.5" customHeight="1" x14ac:dyDescent="0.25">
      <c r="V463" s="133"/>
      <c r="W463" s="133"/>
      <c r="AW463" s="1"/>
      <c r="AX463" s="1"/>
      <c r="AY463" s="1"/>
      <c r="BE463" s="1"/>
      <c r="BF463" s="1"/>
      <c r="BG463" s="1"/>
      <c r="BM463" s="1"/>
      <c r="BN463" s="1"/>
      <c r="BO463" s="1"/>
    </row>
    <row r="464" spans="22:67" s="20" customFormat="1" ht="22.5" customHeight="1" x14ac:dyDescent="0.25">
      <c r="V464" s="133"/>
      <c r="W464" s="133"/>
      <c r="AW464" s="1"/>
      <c r="AX464" s="1"/>
      <c r="AY464" s="1"/>
      <c r="BE464" s="1"/>
      <c r="BF464" s="1"/>
      <c r="BG464" s="1"/>
      <c r="BM464" s="1"/>
      <c r="BN464" s="1"/>
      <c r="BO464" s="1"/>
    </row>
    <row r="465" spans="22:67" s="20" customFormat="1" ht="22.5" customHeight="1" x14ac:dyDescent="0.25">
      <c r="V465" s="133"/>
      <c r="W465" s="133"/>
      <c r="AW465" s="1"/>
      <c r="AX465" s="1"/>
      <c r="AY465" s="1"/>
      <c r="BE465" s="1"/>
      <c r="BF465" s="1"/>
      <c r="BG465" s="1"/>
      <c r="BM465" s="1"/>
      <c r="BN465" s="1"/>
      <c r="BO465" s="1"/>
    </row>
    <row r="466" spans="22:67" s="20" customFormat="1" ht="22.5" customHeight="1" x14ac:dyDescent="0.25">
      <c r="V466" s="133"/>
      <c r="W466" s="133"/>
      <c r="AW466" s="1"/>
      <c r="AX466" s="1"/>
      <c r="AY466" s="1"/>
      <c r="BE466" s="1"/>
      <c r="BF466" s="1"/>
      <c r="BG466" s="1"/>
      <c r="BM466" s="1"/>
      <c r="BN466" s="1"/>
      <c r="BO466" s="1"/>
    </row>
    <row r="467" spans="22:67" s="20" customFormat="1" ht="22.5" customHeight="1" x14ac:dyDescent="0.25">
      <c r="V467" s="133"/>
      <c r="W467" s="133"/>
      <c r="AW467" s="1"/>
      <c r="AX467" s="1"/>
      <c r="AY467" s="1"/>
      <c r="BE467" s="1"/>
      <c r="BF467" s="1"/>
      <c r="BG467" s="1"/>
      <c r="BM467" s="1"/>
      <c r="BN467" s="1"/>
      <c r="BO467" s="1"/>
    </row>
    <row r="468" spans="22:67" s="20" customFormat="1" ht="22.5" customHeight="1" x14ac:dyDescent="0.25">
      <c r="V468" s="133"/>
      <c r="W468" s="133"/>
      <c r="AW468" s="1"/>
      <c r="AX468" s="1"/>
      <c r="AY468" s="1"/>
      <c r="BE468" s="1"/>
      <c r="BF468" s="1"/>
      <c r="BG468" s="1"/>
      <c r="BM468" s="1"/>
      <c r="BN468" s="1"/>
      <c r="BO468" s="1"/>
    </row>
    <row r="469" spans="22:67" s="20" customFormat="1" ht="22.5" customHeight="1" x14ac:dyDescent="0.25">
      <c r="V469" s="133"/>
      <c r="W469" s="133"/>
      <c r="AW469" s="1"/>
      <c r="AX469" s="1"/>
      <c r="AY469" s="1"/>
      <c r="BE469" s="1"/>
      <c r="BF469" s="1"/>
      <c r="BG469" s="1"/>
      <c r="BM469" s="1"/>
      <c r="BN469" s="1"/>
      <c r="BO469" s="1"/>
    </row>
    <row r="470" spans="22:67" s="20" customFormat="1" ht="22.5" customHeight="1" x14ac:dyDescent="0.25">
      <c r="V470" s="133"/>
      <c r="W470" s="133"/>
      <c r="AW470" s="1"/>
      <c r="AX470" s="1"/>
      <c r="AY470" s="1"/>
      <c r="BE470" s="1"/>
      <c r="BF470" s="1"/>
      <c r="BG470" s="1"/>
      <c r="BM470" s="1"/>
      <c r="BN470" s="1"/>
      <c r="BO470" s="1"/>
    </row>
    <row r="471" spans="22:67" s="20" customFormat="1" ht="22.5" customHeight="1" x14ac:dyDescent="0.25">
      <c r="V471" s="133"/>
      <c r="W471" s="133"/>
      <c r="AW471" s="1"/>
      <c r="AX471" s="1"/>
      <c r="AY471" s="1"/>
      <c r="BE471" s="1"/>
      <c r="BF471" s="1"/>
      <c r="BG471" s="1"/>
      <c r="BM471" s="1"/>
      <c r="BN471" s="1"/>
      <c r="BO471" s="1"/>
    </row>
    <row r="472" spans="22:67" s="20" customFormat="1" ht="22.5" customHeight="1" x14ac:dyDescent="0.25">
      <c r="V472" s="133"/>
      <c r="W472" s="133"/>
      <c r="AW472" s="1"/>
      <c r="AX472" s="1"/>
      <c r="AY472" s="1"/>
      <c r="BE472" s="1"/>
      <c r="BF472" s="1"/>
      <c r="BG472" s="1"/>
      <c r="BM472" s="1"/>
      <c r="BN472" s="1"/>
      <c r="BO472" s="1"/>
    </row>
    <row r="473" spans="22:67" s="20" customFormat="1" ht="22.5" customHeight="1" x14ac:dyDescent="0.25">
      <c r="V473" s="133"/>
      <c r="W473" s="133"/>
      <c r="AW473" s="1"/>
      <c r="AX473" s="1"/>
      <c r="AY473" s="1"/>
      <c r="BE473" s="1"/>
      <c r="BF473" s="1"/>
      <c r="BG473" s="1"/>
      <c r="BM473" s="1"/>
      <c r="BN473" s="1"/>
      <c r="BO473" s="1"/>
    </row>
    <row r="474" spans="22:67" s="20" customFormat="1" ht="22.5" customHeight="1" x14ac:dyDescent="0.25">
      <c r="V474" s="133"/>
      <c r="W474" s="133"/>
      <c r="AW474" s="1"/>
      <c r="AX474" s="1"/>
      <c r="AY474" s="1"/>
      <c r="BE474" s="1"/>
      <c r="BF474" s="1"/>
      <c r="BG474" s="1"/>
      <c r="BM474" s="1"/>
      <c r="BN474" s="1"/>
      <c r="BO474" s="1"/>
    </row>
    <row r="475" spans="22:67" s="20" customFormat="1" ht="22.5" customHeight="1" x14ac:dyDescent="0.25">
      <c r="V475" s="133"/>
      <c r="W475" s="133"/>
      <c r="AW475" s="1"/>
      <c r="AX475" s="1"/>
      <c r="AY475" s="1"/>
      <c r="BE475" s="1"/>
      <c r="BF475" s="1"/>
      <c r="BG475" s="1"/>
      <c r="BM475" s="1"/>
      <c r="BN475" s="1"/>
      <c r="BO475" s="1"/>
    </row>
    <row r="476" spans="22:67" s="20" customFormat="1" ht="22.5" customHeight="1" x14ac:dyDescent="0.25">
      <c r="V476" s="133"/>
      <c r="W476" s="133"/>
      <c r="AW476" s="1"/>
      <c r="AX476" s="1"/>
      <c r="AY476" s="1"/>
      <c r="BE476" s="1"/>
      <c r="BF476" s="1"/>
      <c r="BG476" s="1"/>
      <c r="BM476" s="1"/>
      <c r="BN476" s="1"/>
      <c r="BO476" s="1"/>
    </row>
    <row r="477" spans="22:67" s="20" customFormat="1" ht="22.5" customHeight="1" x14ac:dyDescent="0.25">
      <c r="V477" s="133"/>
      <c r="W477" s="133"/>
      <c r="AW477" s="1"/>
      <c r="AX477" s="1"/>
      <c r="AY477" s="1"/>
      <c r="BE477" s="1"/>
      <c r="BF477" s="1"/>
      <c r="BG477" s="1"/>
      <c r="BM477" s="1"/>
      <c r="BN477" s="1"/>
      <c r="BO477" s="1"/>
    </row>
    <row r="478" spans="22:67" s="20" customFormat="1" ht="22.5" customHeight="1" x14ac:dyDescent="0.25">
      <c r="V478" s="133"/>
      <c r="W478" s="133"/>
      <c r="AW478" s="1"/>
      <c r="AX478" s="1"/>
      <c r="AY478" s="1"/>
      <c r="BE478" s="1"/>
      <c r="BF478" s="1"/>
      <c r="BG478" s="1"/>
      <c r="BM478" s="1"/>
      <c r="BN478" s="1"/>
      <c r="BO478" s="1"/>
    </row>
    <row r="479" spans="22:67" s="20" customFormat="1" ht="22.5" customHeight="1" x14ac:dyDescent="0.25">
      <c r="V479" s="133"/>
      <c r="W479" s="133"/>
      <c r="AW479" s="1"/>
      <c r="AX479" s="1"/>
      <c r="AY479" s="1"/>
      <c r="BE479" s="1"/>
      <c r="BF479" s="1"/>
      <c r="BG479" s="1"/>
      <c r="BM479" s="1"/>
      <c r="BN479" s="1"/>
      <c r="BO479" s="1"/>
    </row>
    <row r="480" spans="22:67" s="20" customFormat="1" ht="22.5" customHeight="1" x14ac:dyDescent="0.25">
      <c r="V480" s="133"/>
      <c r="W480" s="133"/>
      <c r="AW480" s="1"/>
      <c r="AX480" s="1"/>
      <c r="AY480" s="1"/>
      <c r="BE480" s="1"/>
      <c r="BF480" s="1"/>
      <c r="BG480" s="1"/>
      <c r="BM480" s="1"/>
      <c r="BN480" s="1"/>
      <c r="BO480" s="1"/>
    </row>
    <row r="481" spans="22:67" s="20" customFormat="1" ht="22.5" customHeight="1" x14ac:dyDescent="0.25">
      <c r="V481" s="133"/>
      <c r="W481" s="133"/>
      <c r="AW481" s="1"/>
      <c r="AX481" s="1"/>
      <c r="AY481" s="1"/>
      <c r="BE481" s="1"/>
      <c r="BF481" s="1"/>
      <c r="BG481" s="1"/>
      <c r="BM481" s="1"/>
      <c r="BN481" s="1"/>
      <c r="BO481" s="1"/>
    </row>
    <row r="482" spans="22:67" s="20" customFormat="1" ht="22.5" customHeight="1" x14ac:dyDescent="0.25">
      <c r="V482" s="133"/>
      <c r="W482" s="133"/>
      <c r="AW482" s="1"/>
      <c r="AX482" s="1"/>
      <c r="AY482" s="1"/>
      <c r="BE482" s="1"/>
      <c r="BF482" s="1"/>
      <c r="BG482" s="1"/>
      <c r="BM482" s="1"/>
      <c r="BN482" s="1"/>
      <c r="BO482" s="1"/>
    </row>
    <row r="483" spans="22:67" s="20" customFormat="1" ht="22.5" customHeight="1" x14ac:dyDescent="0.25">
      <c r="V483" s="133"/>
      <c r="W483" s="133"/>
      <c r="AW483" s="1"/>
      <c r="AX483" s="1"/>
      <c r="AY483" s="1"/>
      <c r="BE483" s="1"/>
      <c r="BF483" s="1"/>
      <c r="BG483" s="1"/>
      <c r="BM483" s="1"/>
      <c r="BN483" s="1"/>
      <c r="BO483" s="1"/>
    </row>
    <row r="484" spans="22:67" s="20" customFormat="1" ht="22.5" customHeight="1" x14ac:dyDescent="0.25">
      <c r="V484" s="133"/>
      <c r="W484" s="133"/>
      <c r="AW484" s="1"/>
      <c r="AX484" s="1"/>
      <c r="AY484" s="1"/>
      <c r="BE484" s="1"/>
      <c r="BF484" s="1"/>
      <c r="BG484" s="1"/>
      <c r="BM484" s="1"/>
      <c r="BN484" s="1"/>
      <c r="BO484" s="1"/>
    </row>
    <row r="485" spans="22:67" s="20" customFormat="1" ht="22.5" customHeight="1" x14ac:dyDescent="0.25">
      <c r="V485" s="133"/>
      <c r="W485" s="133"/>
      <c r="AW485" s="1"/>
      <c r="AX485" s="1"/>
      <c r="AY485" s="1"/>
      <c r="BE485" s="1"/>
      <c r="BF485" s="1"/>
      <c r="BG485" s="1"/>
      <c r="BM485" s="1"/>
      <c r="BN485" s="1"/>
      <c r="BO485" s="1"/>
    </row>
    <row r="486" spans="22:67" s="20" customFormat="1" ht="22.5" customHeight="1" x14ac:dyDescent="0.25">
      <c r="V486" s="133"/>
      <c r="W486" s="133"/>
      <c r="AW486" s="1"/>
      <c r="AX486" s="1"/>
      <c r="AY486" s="1"/>
      <c r="BE486" s="1"/>
      <c r="BF486" s="1"/>
      <c r="BG486" s="1"/>
      <c r="BM486" s="1"/>
      <c r="BN486" s="1"/>
      <c r="BO486" s="1"/>
    </row>
    <row r="487" spans="22:67" s="20" customFormat="1" ht="22.5" customHeight="1" x14ac:dyDescent="0.25">
      <c r="V487" s="133"/>
      <c r="W487" s="133"/>
      <c r="AW487" s="1"/>
      <c r="AX487" s="1"/>
      <c r="AY487" s="1"/>
      <c r="BE487" s="1"/>
      <c r="BF487" s="1"/>
      <c r="BG487" s="1"/>
      <c r="BM487" s="1"/>
      <c r="BN487" s="1"/>
      <c r="BO487" s="1"/>
    </row>
    <row r="488" spans="22:67" s="20" customFormat="1" ht="22.5" customHeight="1" x14ac:dyDescent="0.25">
      <c r="V488" s="133"/>
      <c r="W488" s="133"/>
      <c r="AW488" s="1"/>
      <c r="AX488" s="1"/>
      <c r="AY488" s="1"/>
      <c r="BE488" s="1"/>
      <c r="BF488" s="1"/>
      <c r="BG488" s="1"/>
      <c r="BM488" s="1"/>
      <c r="BN488" s="1"/>
      <c r="BO488" s="1"/>
    </row>
    <row r="489" spans="22:67" s="20" customFormat="1" ht="22.5" customHeight="1" x14ac:dyDescent="0.25">
      <c r="V489" s="133"/>
      <c r="W489" s="133"/>
      <c r="AW489" s="1"/>
      <c r="AX489" s="1"/>
      <c r="AY489" s="1"/>
      <c r="BE489" s="1"/>
      <c r="BF489" s="1"/>
      <c r="BG489" s="1"/>
      <c r="BM489" s="1"/>
      <c r="BN489" s="1"/>
      <c r="BO489" s="1"/>
    </row>
    <row r="490" spans="22:67" s="20" customFormat="1" ht="22.5" customHeight="1" x14ac:dyDescent="0.25">
      <c r="V490" s="133"/>
      <c r="W490" s="133"/>
      <c r="AW490" s="1"/>
      <c r="AX490" s="1"/>
      <c r="AY490" s="1"/>
      <c r="BE490" s="1"/>
      <c r="BF490" s="1"/>
      <c r="BG490" s="1"/>
      <c r="BM490" s="1"/>
      <c r="BN490" s="1"/>
      <c r="BO490" s="1"/>
    </row>
    <row r="491" spans="22:67" s="20" customFormat="1" ht="22.5" customHeight="1" x14ac:dyDescent="0.25">
      <c r="V491" s="133"/>
      <c r="W491" s="133"/>
      <c r="AW491" s="1"/>
      <c r="AX491" s="1"/>
      <c r="AY491" s="1"/>
      <c r="BE491" s="1"/>
      <c r="BF491" s="1"/>
      <c r="BG491" s="1"/>
      <c r="BM491" s="1"/>
      <c r="BN491" s="1"/>
      <c r="BO491" s="1"/>
    </row>
    <row r="492" spans="22:67" s="20" customFormat="1" ht="22.5" customHeight="1" x14ac:dyDescent="0.25">
      <c r="V492" s="133"/>
      <c r="W492" s="133"/>
      <c r="AW492" s="1"/>
      <c r="AX492" s="1"/>
      <c r="AY492" s="1"/>
      <c r="BE492" s="1"/>
      <c r="BF492" s="1"/>
      <c r="BG492" s="1"/>
      <c r="BM492" s="1"/>
      <c r="BN492" s="1"/>
      <c r="BO492" s="1"/>
    </row>
    <row r="493" spans="22:67" s="20" customFormat="1" ht="22.5" customHeight="1" x14ac:dyDescent="0.25">
      <c r="V493" s="133"/>
      <c r="W493" s="133"/>
      <c r="AW493" s="1"/>
      <c r="AX493" s="1"/>
      <c r="AY493" s="1"/>
      <c r="BE493" s="1"/>
      <c r="BF493" s="1"/>
      <c r="BG493" s="1"/>
      <c r="BM493" s="1"/>
      <c r="BN493" s="1"/>
      <c r="BO493" s="1"/>
    </row>
    <row r="494" spans="22:67" s="20" customFormat="1" ht="22.5" customHeight="1" x14ac:dyDescent="0.25">
      <c r="V494" s="133"/>
      <c r="W494" s="133"/>
      <c r="AW494" s="1"/>
      <c r="AX494" s="1"/>
      <c r="AY494" s="1"/>
      <c r="BE494" s="1"/>
      <c r="BF494" s="1"/>
      <c r="BG494" s="1"/>
      <c r="BM494" s="1"/>
      <c r="BN494" s="1"/>
      <c r="BO494" s="1"/>
    </row>
    <row r="495" spans="22:67" s="20" customFormat="1" ht="22.5" customHeight="1" x14ac:dyDescent="0.25">
      <c r="V495" s="133"/>
      <c r="W495" s="133"/>
      <c r="AW495" s="1"/>
      <c r="AX495" s="1"/>
      <c r="AY495" s="1"/>
      <c r="BE495" s="1"/>
      <c r="BF495" s="1"/>
      <c r="BG495" s="1"/>
      <c r="BM495" s="1"/>
      <c r="BN495" s="1"/>
      <c r="BO495" s="1"/>
    </row>
    <row r="496" spans="22:67" s="20" customFormat="1" ht="22.5" customHeight="1" x14ac:dyDescent="0.25">
      <c r="V496" s="133"/>
      <c r="W496" s="133"/>
      <c r="AW496" s="1"/>
      <c r="AX496" s="1"/>
      <c r="AY496" s="1"/>
      <c r="BE496" s="1"/>
      <c r="BF496" s="1"/>
      <c r="BG496" s="1"/>
      <c r="BM496" s="1"/>
      <c r="BN496" s="1"/>
      <c r="BO496" s="1"/>
    </row>
    <row r="497" spans="22:67" s="20" customFormat="1" ht="22.5" customHeight="1" x14ac:dyDescent="0.25">
      <c r="V497" s="133"/>
      <c r="W497" s="133"/>
      <c r="AW497" s="1"/>
      <c r="AX497" s="1"/>
      <c r="AY497" s="1"/>
      <c r="BE497" s="1"/>
      <c r="BF497" s="1"/>
      <c r="BG497" s="1"/>
      <c r="BM497" s="1"/>
      <c r="BN497" s="1"/>
      <c r="BO497" s="1"/>
    </row>
    <row r="498" spans="22:67" s="20" customFormat="1" ht="22.5" customHeight="1" x14ac:dyDescent="0.25">
      <c r="V498" s="133"/>
      <c r="W498" s="133"/>
      <c r="AW498" s="1"/>
      <c r="AX498" s="1"/>
      <c r="AY498" s="1"/>
      <c r="BE498" s="1"/>
      <c r="BF498" s="1"/>
      <c r="BG498" s="1"/>
      <c r="BM498" s="1"/>
      <c r="BN498" s="1"/>
      <c r="BO498" s="1"/>
    </row>
    <row r="499" spans="22:67" s="20" customFormat="1" ht="22.5" customHeight="1" x14ac:dyDescent="0.25">
      <c r="V499" s="133"/>
      <c r="W499" s="133"/>
      <c r="AW499" s="1"/>
      <c r="AX499" s="1"/>
      <c r="AY499" s="1"/>
      <c r="BE499" s="1"/>
      <c r="BF499" s="1"/>
      <c r="BG499" s="1"/>
      <c r="BM499" s="1"/>
      <c r="BN499" s="1"/>
      <c r="BO499" s="1"/>
    </row>
    <row r="500" spans="22:67" s="20" customFormat="1" ht="22.5" customHeight="1" x14ac:dyDescent="0.25">
      <c r="V500" s="133"/>
      <c r="W500" s="133"/>
      <c r="AW500" s="1"/>
      <c r="AX500" s="1"/>
      <c r="AY500" s="1"/>
      <c r="BE500" s="1"/>
      <c r="BF500" s="1"/>
      <c r="BG500" s="1"/>
      <c r="BM500" s="1"/>
      <c r="BN500" s="1"/>
      <c r="BO500" s="1"/>
    </row>
    <row r="501" spans="22:67" s="20" customFormat="1" ht="22.5" customHeight="1" x14ac:dyDescent="0.25">
      <c r="V501" s="133"/>
      <c r="W501" s="133"/>
      <c r="AW501" s="1"/>
      <c r="AX501" s="1"/>
      <c r="AY501" s="1"/>
      <c r="BE501" s="1"/>
      <c r="BF501" s="1"/>
      <c r="BG501" s="1"/>
      <c r="BM501" s="1"/>
      <c r="BN501" s="1"/>
      <c r="BO501" s="1"/>
    </row>
    <row r="502" spans="22:67" s="20" customFormat="1" ht="22.5" customHeight="1" x14ac:dyDescent="0.25">
      <c r="V502" s="133"/>
      <c r="W502" s="133"/>
      <c r="AW502" s="1"/>
      <c r="AX502" s="1"/>
      <c r="AY502" s="1"/>
      <c r="BE502" s="1"/>
      <c r="BF502" s="1"/>
      <c r="BG502" s="1"/>
      <c r="BM502" s="1"/>
      <c r="BN502" s="1"/>
      <c r="BO502" s="1"/>
    </row>
    <row r="503" spans="22:67" s="20" customFormat="1" ht="22.5" customHeight="1" x14ac:dyDescent="0.25">
      <c r="V503" s="133"/>
      <c r="W503" s="133"/>
      <c r="AW503" s="1"/>
      <c r="AX503" s="1"/>
      <c r="AY503" s="1"/>
      <c r="BE503" s="1"/>
      <c r="BF503" s="1"/>
      <c r="BG503" s="1"/>
      <c r="BM503" s="1"/>
      <c r="BN503" s="1"/>
      <c r="BO503" s="1"/>
    </row>
    <row r="504" spans="22:67" s="20" customFormat="1" ht="22.5" customHeight="1" x14ac:dyDescent="0.25">
      <c r="V504" s="133"/>
      <c r="W504" s="133"/>
      <c r="AW504" s="1"/>
      <c r="AX504" s="1"/>
      <c r="AY504" s="1"/>
      <c r="BE504" s="1"/>
      <c r="BF504" s="1"/>
      <c r="BG504" s="1"/>
      <c r="BM504" s="1"/>
      <c r="BN504" s="1"/>
      <c r="BO504" s="1"/>
    </row>
    <row r="505" spans="22:67" s="20" customFormat="1" ht="22.5" customHeight="1" x14ac:dyDescent="0.25">
      <c r="V505" s="133"/>
      <c r="W505" s="133"/>
      <c r="AW505" s="1"/>
      <c r="AX505" s="1"/>
      <c r="AY505" s="1"/>
      <c r="BE505" s="1"/>
      <c r="BF505" s="1"/>
      <c r="BG505" s="1"/>
      <c r="BM505" s="1"/>
      <c r="BN505" s="1"/>
      <c r="BO505" s="1"/>
    </row>
    <row r="506" spans="22:67" s="20" customFormat="1" ht="22.5" customHeight="1" x14ac:dyDescent="0.25">
      <c r="V506" s="133"/>
      <c r="W506" s="133"/>
      <c r="AW506" s="1"/>
      <c r="AX506" s="1"/>
      <c r="AY506" s="1"/>
      <c r="BE506" s="1"/>
      <c r="BF506" s="1"/>
      <c r="BG506" s="1"/>
      <c r="BM506" s="1"/>
      <c r="BN506" s="1"/>
      <c r="BO506" s="1"/>
    </row>
    <row r="507" spans="22:67" s="20" customFormat="1" ht="22.5" customHeight="1" x14ac:dyDescent="0.25">
      <c r="V507" s="133"/>
      <c r="W507" s="133"/>
      <c r="AW507" s="1"/>
      <c r="AX507" s="1"/>
      <c r="AY507" s="1"/>
      <c r="BE507" s="1"/>
      <c r="BF507" s="1"/>
      <c r="BG507" s="1"/>
      <c r="BM507" s="1"/>
      <c r="BN507" s="1"/>
      <c r="BO507" s="1"/>
    </row>
    <row r="508" spans="22:67" s="20" customFormat="1" ht="22.5" customHeight="1" x14ac:dyDescent="0.25">
      <c r="V508" s="133"/>
      <c r="W508" s="133"/>
      <c r="AW508" s="1"/>
      <c r="AX508" s="1"/>
      <c r="AY508" s="1"/>
      <c r="BE508" s="1"/>
      <c r="BF508" s="1"/>
      <c r="BG508" s="1"/>
      <c r="BM508" s="1"/>
      <c r="BN508" s="1"/>
      <c r="BO508" s="1"/>
    </row>
    <row r="509" spans="22:67" s="20" customFormat="1" ht="22.5" customHeight="1" x14ac:dyDescent="0.25">
      <c r="V509" s="133"/>
      <c r="W509" s="133"/>
      <c r="AW509" s="1"/>
      <c r="AX509" s="1"/>
      <c r="AY509" s="1"/>
      <c r="BE509" s="1"/>
      <c r="BF509" s="1"/>
      <c r="BG509" s="1"/>
      <c r="BM509" s="1"/>
      <c r="BN509" s="1"/>
      <c r="BO509" s="1"/>
    </row>
    <row r="510" spans="22:67" s="20" customFormat="1" ht="22.5" customHeight="1" x14ac:dyDescent="0.25">
      <c r="V510" s="133"/>
      <c r="W510" s="133"/>
      <c r="AW510" s="1"/>
      <c r="AX510" s="1"/>
      <c r="AY510" s="1"/>
      <c r="BE510" s="1"/>
      <c r="BF510" s="1"/>
      <c r="BG510" s="1"/>
      <c r="BM510" s="1"/>
      <c r="BN510" s="1"/>
      <c r="BO510" s="1"/>
    </row>
    <row r="511" spans="22:67" s="20" customFormat="1" ht="22.5" customHeight="1" x14ac:dyDescent="0.25">
      <c r="V511" s="133"/>
      <c r="W511" s="133"/>
      <c r="AW511" s="1"/>
      <c r="AX511" s="1"/>
      <c r="AY511" s="1"/>
      <c r="BE511" s="1"/>
      <c r="BF511" s="1"/>
      <c r="BG511" s="1"/>
      <c r="BM511" s="1"/>
      <c r="BN511" s="1"/>
      <c r="BO511" s="1"/>
    </row>
    <row r="512" spans="22:67" s="20" customFormat="1" ht="22.5" customHeight="1" x14ac:dyDescent="0.25">
      <c r="V512" s="133"/>
      <c r="W512" s="133"/>
      <c r="AW512" s="1"/>
      <c r="AX512" s="1"/>
      <c r="AY512" s="1"/>
      <c r="BE512" s="1"/>
      <c r="BF512" s="1"/>
      <c r="BG512" s="1"/>
      <c r="BM512" s="1"/>
      <c r="BN512" s="1"/>
      <c r="BO512" s="1"/>
    </row>
    <row r="513" spans="22:67" s="20" customFormat="1" ht="22.5" customHeight="1" x14ac:dyDescent="0.25">
      <c r="V513" s="133"/>
      <c r="W513" s="133"/>
      <c r="AW513" s="1"/>
      <c r="AX513" s="1"/>
      <c r="AY513" s="1"/>
      <c r="BE513" s="1"/>
      <c r="BF513" s="1"/>
      <c r="BG513" s="1"/>
      <c r="BM513" s="1"/>
      <c r="BN513" s="1"/>
      <c r="BO513" s="1"/>
    </row>
    <row r="514" spans="22:67" s="20" customFormat="1" ht="22.5" customHeight="1" x14ac:dyDescent="0.25">
      <c r="V514" s="133"/>
      <c r="W514" s="133"/>
      <c r="AW514" s="1"/>
      <c r="AX514" s="1"/>
      <c r="AY514" s="1"/>
      <c r="BE514" s="1"/>
      <c r="BF514" s="1"/>
      <c r="BG514" s="1"/>
      <c r="BM514" s="1"/>
      <c r="BN514" s="1"/>
      <c r="BO514" s="1"/>
    </row>
    <row r="515" spans="22:67" s="20" customFormat="1" ht="22.5" customHeight="1" x14ac:dyDescent="0.25">
      <c r="V515" s="133"/>
      <c r="W515" s="133"/>
      <c r="AW515" s="1"/>
      <c r="AX515" s="1"/>
      <c r="AY515" s="1"/>
      <c r="BE515" s="1"/>
      <c r="BF515" s="1"/>
      <c r="BG515" s="1"/>
      <c r="BM515" s="1"/>
      <c r="BN515" s="1"/>
      <c r="BO515" s="1"/>
    </row>
    <row r="516" spans="22:67" s="20" customFormat="1" ht="22.5" customHeight="1" x14ac:dyDescent="0.25">
      <c r="V516" s="133"/>
      <c r="W516" s="133"/>
      <c r="AW516" s="1"/>
      <c r="AX516" s="1"/>
      <c r="AY516" s="1"/>
      <c r="BE516" s="1"/>
      <c r="BF516" s="1"/>
      <c r="BG516" s="1"/>
      <c r="BM516" s="1"/>
      <c r="BN516" s="1"/>
      <c r="BO516" s="1"/>
    </row>
    <row r="517" spans="22:67" s="20" customFormat="1" ht="22.5" customHeight="1" x14ac:dyDescent="0.25">
      <c r="V517" s="133"/>
      <c r="W517" s="133"/>
      <c r="AW517" s="1"/>
      <c r="AX517" s="1"/>
      <c r="AY517" s="1"/>
      <c r="BE517" s="1"/>
      <c r="BF517" s="1"/>
      <c r="BG517" s="1"/>
      <c r="BM517" s="1"/>
      <c r="BN517" s="1"/>
      <c r="BO517" s="1"/>
    </row>
    <row r="518" spans="22:67" s="20" customFormat="1" ht="22.5" customHeight="1" x14ac:dyDescent="0.25">
      <c r="V518" s="133"/>
      <c r="W518" s="133"/>
      <c r="AW518" s="1"/>
      <c r="AX518" s="1"/>
      <c r="AY518" s="1"/>
      <c r="BE518" s="1"/>
      <c r="BF518" s="1"/>
      <c r="BG518" s="1"/>
      <c r="BM518" s="1"/>
      <c r="BN518" s="1"/>
      <c r="BO518" s="1"/>
    </row>
    <row r="519" spans="22:67" s="20" customFormat="1" ht="22.5" customHeight="1" x14ac:dyDescent="0.25">
      <c r="V519" s="133"/>
      <c r="W519" s="133"/>
      <c r="AW519" s="1"/>
      <c r="AX519" s="1"/>
      <c r="AY519" s="1"/>
      <c r="BE519" s="1"/>
      <c r="BF519" s="1"/>
      <c r="BG519" s="1"/>
      <c r="BM519" s="1"/>
      <c r="BN519" s="1"/>
      <c r="BO519" s="1"/>
    </row>
    <row r="520" spans="22:67" s="20" customFormat="1" ht="22.5" customHeight="1" x14ac:dyDescent="0.25">
      <c r="V520" s="133"/>
      <c r="W520" s="133"/>
      <c r="AW520" s="1"/>
      <c r="AX520" s="1"/>
      <c r="AY520" s="1"/>
      <c r="BE520" s="1"/>
      <c r="BF520" s="1"/>
      <c r="BG520" s="1"/>
      <c r="BM520" s="1"/>
      <c r="BN520" s="1"/>
      <c r="BO520" s="1"/>
    </row>
    <row r="521" spans="22:67" s="20" customFormat="1" ht="22.5" customHeight="1" x14ac:dyDescent="0.25">
      <c r="V521" s="133"/>
      <c r="W521" s="133"/>
      <c r="AW521" s="1"/>
      <c r="AX521" s="1"/>
      <c r="AY521" s="1"/>
      <c r="BE521" s="1"/>
      <c r="BF521" s="1"/>
      <c r="BG521" s="1"/>
      <c r="BM521" s="1"/>
      <c r="BN521" s="1"/>
      <c r="BO521" s="1"/>
    </row>
    <row r="522" spans="22:67" s="20" customFormat="1" ht="22.5" customHeight="1" x14ac:dyDescent="0.25">
      <c r="V522" s="133"/>
      <c r="W522" s="133"/>
      <c r="AW522" s="1"/>
      <c r="AX522" s="1"/>
      <c r="AY522" s="1"/>
      <c r="BE522" s="1"/>
      <c r="BF522" s="1"/>
      <c r="BG522" s="1"/>
      <c r="BM522" s="1"/>
      <c r="BN522" s="1"/>
      <c r="BO522" s="1"/>
    </row>
    <row r="523" spans="22:67" s="20" customFormat="1" ht="22.5" customHeight="1" x14ac:dyDescent="0.25">
      <c r="V523" s="133"/>
      <c r="W523" s="133"/>
      <c r="AW523" s="1"/>
      <c r="AX523" s="1"/>
      <c r="AY523" s="1"/>
      <c r="BE523" s="1"/>
      <c r="BF523" s="1"/>
      <c r="BG523" s="1"/>
      <c r="BM523" s="1"/>
      <c r="BN523" s="1"/>
      <c r="BO523" s="1"/>
    </row>
    <row r="524" spans="22:67" s="20" customFormat="1" ht="22.5" customHeight="1" x14ac:dyDescent="0.25">
      <c r="V524" s="133"/>
      <c r="W524" s="133"/>
      <c r="AW524" s="1"/>
      <c r="AX524" s="1"/>
      <c r="AY524" s="1"/>
      <c r="BE524" s="1"/>
      <c r="BF524" s="1"/>
      <c r="BG524" s="1"/>
      <c r="BM524" s="1"/>
      <c r="BN524" s="1"/>
      <c r="BO524" s="1"/>
    </row>
    <row r="525" spans="22:67" s="20" customFormat="1" ht="22.5" customHeight="1" x14ac:dyDescent="0.25">
      <c r="V525" s="133"/>
      <c r="W525" s="133"/>
      <c r="AW525" s="1"/>
      <c r="AX525" s="1"/>
      <c r="AY525" s="1"/>
      <c r="BE525" s="1"/>
      <c r="BF525" s="1"/>
      <c r="BG525" s="1"/>
      <c r="BM525" s="1"/>
      <c r="BN525" s="1"/>
      <c r="BO525" s="1"/>
    </row>
    <row r="526" spans="22:67" s="20" customFormat="1" ht="22.5" customHeight="1" x14ac:dyDescent="0.25">
      <c r="V526" s="133"/>
      <c r="W526" s="133"/>
      <c r="AW526" s="1"/>
      <c r="AX526" s="1"/>
      <c r="AY526" s="1"/>
      <c r="BE526" s="1"/>
      <c r="BF526" s="1"/>
      <c r="BG526" s="1"/>
      <c r="BM526" s="1"/>
      <c r="BN526" s="1"/>
      <c r="BO526" s="1"/>
    </row>
    <row r="527" spans="22:67" s="20" customFormat="1" ht="22.5" customHeight="1" x14ac:dyDescent="0.25">
      <c r="V527" s="133"/>
      <c r="W527" s="133"/>
      <c r="AW527" s="1"/>
      <c r="AX527" s="1"/>
      <c r="AY527" s="1"/>
      <c r="BE527" s="1"/>
      <c r="BF527" s="1"/>
      <c r="BG527" s="1"/>
      <c r="BM527" s="1"/>
      <c r="BN527" s="1"/>
      <c r="BO527" s="1"/>
    </row>
    <row r="528" spans="22:67" s="20" customFormat="1" ht="22.5" customHeight="1" x14ac:dyDescent="0.25">
      <c r="V528" s="133"/>
      <c r="W528" s="133"/>
      <c r="AW528" s="1"/>
      <c r="AX528" s="1"/>
      <c r="AY528" s="1"/>
      <c r="BE528" s="1"/>
      <c r="BF528" s="1"/>
      <c r="BG528" s="1"/>
      <c r="BM528" s="1"/>
      <c r="BN528" s="1"/>
      <c r="BO528" s="1"/>
    </row>
    <row r="529" spans="22:67" s="20" customFormat="1" ht="22.5" customHeight="1" x14ac:dyDescent="0.25">
      <c r="V529" s="133"/>
      <c r="W529" s="133"/>
      <c r="AW529" s="1"/>
      <c r="AX529" s="1"/>
      <c r="AY529" s="1"/>
      <c r="BE529" s="1"/>
      <c r="BF529" s="1"/>
      <c r="BG529" s="1"/>
      <c r="BM529" s="1"/>
      <c r="BN529" s="1"/>
      <c r="BO529" s="1"/>
    </row>
    <row r="530" spans="22:67" s="20" customFormat="1" ht="22.5" customHeight="1" x14ac:dyDescent="0.25">
      <c r="V530" s="133"/>
      <c r="W530" s="133"/>
      <c r="AW530" s="1"/>
      <c r="AX530" s="1"/>
      <c r="AY530" s="1"/>
      <c r="BE530" s="1"/>
      <c r="BF530" s="1"/>
      <c r="BG530" s="1"/>
      <c r="BM530" s="1"/>
      <c r="BN530" s="1"/>
      <c r="BO530" s="1"/>
    </row>
    <row r="531" spans="22:67" s="20" customFormat="1" ht="22.5" customHeight="1" x14ac:dyDescent="0.25">
      <c r="V531" s="133"/>
      <c r="W531" s="133"/>
      <c r="AW531" s="1"/>
      <c r="AX531" s="1"/>
      <c r="AY531" s="1"/>
      <c r="BE531" s="1"/>
      <c r="BF531" s="1"/>
      <c r="BG531" s="1"/>
      <c r="BM531" s="1"/>
      <c r="BN531" s="1"/>
      <c r="BO531" s="1"/>
    </row>
    <row r="532" spans="22:67" s="20" customFormat="1" ht="22.5" customHeight="1" x14ac:dyDescent="0.25">
      <c r="V532" s="133"/>
      <c r="W532" s="133"/>
      <c r="AW532" s="1"/>
      <c r="AX532" s="1"/>
      <c r="AY532" s="1"/>
      <c r="BE532" s="1"/>
      <c r="BF532" s="1"/>
      <c r="BG532" s="1"/>
      <c r="BM532" s="1"/>
      <c r="BN532" s="1"/>
      <c r="BO532" s="1"/>
    </row>
    <row r="533" spans="22:67" s="20" customFormat="1" ht="22.5" customHeight="1" x14ac:dyDescent="0.25">
      <c r="V533" s="133"/>
      <c r="W533" s="133"/>
      <c r="AW533" s="1"/>
      <c r="AX533" s="1"/>
      <c r="AY533" s="1"/>
      <c r="BE533" s="1"/>
      <c r="BF533" s="1"/>
      <c r="BG533" s="1"/>
      <c r="BM533" s="1"/>
      <c r="BN533" s="1"/>
      <c r="BO533" s="1"/>
    </row>
    <row r="534" spans="22:67" s="20" customFormat="1" ht="22.5" customHeight="1" x14ac:dyDescent="0.25">
      <c r="V534" s="133"/>
      <c r="W534" s="133"/>
      <c r="AW534" s="1"/>
      <c r="AX534" s="1"/>
      <c r="AY534" s="1"/>
      <c r="BE534" s="1"/>
      <c r="BF534" s="1"/>
      <c r="BG534" s="1"/>
      <c r="BM534" s="1"/>
      <c r="BN534" s="1"/>
      <c r="BO534" s="1"/>
    </row>
    <row r="535" spans="22:67" s="20" customFormat="1" ht="22.5" customHeight="1" x14ac:dyDescent="0.25">
      <c r="V535" s="133"/>
      <c r="W535" s="133"/>
      <c r="AW535" s="1"/>
      <c r="AX535" s="1"/>
      <c r="AY535" s="1"/>
      <c r="BE535" s="1"/>
      <c r="BF535" s="1"/>
      <c r="BG535" s="1"/>
      <c r="BM535" s="1"/>
      <c r="BN535" s="1"/>
      <c r="BO535" s="1"/>
    </row>
    <row r="536" spans="22:67" s="20" customFormat="1" ht="22.5" customHeight="1" x14ac:dyDescent="0.25">
      <c r="V536" s="133"/>
      <c r="W536" s="133"/>
      <c r="AW536" s="1"/>
      <c r="AX536" s="1"/>
      <c r="AY536" s="1"/>
      <c r="BE536" s="1"/>
      <c r="BF536" s="1"/>
      <c r="BG536" s="1"/>
      <c r="BM536" s="1"/>
      <c r="BN536" s="1"/>
      <c r="BO536" s="1"/>
    </row>
    <row r="537" spans="22:67" s="20" customFormat="1" ht="22.5" customHeight="1" x14ac:dyDescent="0.25">
      <c r="V537" s="133"/>
      <c r="W537" s="133"/>
      <c r="AW537" s="1"/>
      <c r="AX537" s="1"/>
      <c r="AY537" s="1"/>
      <c r="BE537" s="1"/>
      <c r="BF537" s="1"/>
      <c r="BG537" s="1"/>
      <c r="BM537" s="1"/>
      <c r="BN537" s="1"/>
      <c r="BO537" s="1"/>
    </row>
    <row r="538" spans="22:67" s="20" customFormat="1" ht="22.5" customHeight="1" x14ac:dyDescent="0.25">
      <c r="V538" s="133"/>
      <c r="W538" s="133"/>
      <c r="AW538" s="1"/>
      <c r="AX538" s="1"/>
      <c r="AY538" s="1"/>
      <c r="BE538" s="1"/>
      <c r="BF538" s="1"/>
      <c r="BG538" s="1"/>
      <c r="BM538" s="1"/>
      <c r="BN538" s="1"/>
      <c r="BO538" s="1"/>
    </row>
    <row r="539" spans="22:67" s="20" customFormat="1" ht="22.5" customHeight="1" x14ac:dyDescent="0.25">
      <c r="V539" s="133"/>
      <c r="W539" s="133"/>
      <c r="AW539" s="1"/>
      <c r="AX539" s="1"/>
      <c r="AY539" s="1"/>
      <c r="BE539" s="1"/>
      <c r="BF539" s="1"/>
      <c r="BG539" s="1"/>
      <c r="BM539" s="1"/>
      <c r="BN539" s="1"/>
      <c r="BO539" s="1"/>
    </row>
    <row r="540" spans="22:67" s="20" customFormat="1" ht="22.5" customHeight="1" x14ac:dyDescent="0.25">
      <c r="V540" s="133"/>
      <c r="W540" s="133"/>
      <c r="AW540" s="1"/>
      <c r="AX540" s="1"/>
      <c r="AY540" s="1"/>
      <c r="BE540" s="1"/>
      <c r="BF540" s="1"/>
      <c r="BG540" s="1"/>
      <c r="BM540" s="1"/>
      <c r="BN540" s="1"/>
      <c r="BO540" s="1"/>
    </row>
    <row r="541" spans="22:67" s="20" customFormat="1" ht="22.5" customHeight="1" x14ac:dyDescent="0.25">
      <c r="V541" s="133"/>
      <c r="W541" s="133"/>
      <c r="AW541" s="1"/>
      <c r="AX541" s="1"/>
      <c r="AY541" s="1"/>
      <c r="BE541" s="1"/>
      <c r="BF541" s="1"/>
      <c r="BG541" s="1"/>
      <c r="BM541" s="1"/>
      <c r="BN541" s="1"/>
      <c r="BO541" s="1"/>
    </row>
    <row r="542" spans="22:67" s="20" customFormat="1" ht="22.5" customHeight="1" x14ac:dyDescent="0.25">
      <c r="V542" s="133"/>
      <c r="W542" s="133"/>
      <c r="AW542" s="1"/>
      <c r="AX542" s="1"/>
      <c r="AY542" s="1"/>
      <c r="BE542" s="1"/>
      <c r="BF542" s="1"/>
      <c r="BG542" s="1"/>
      <c r="BM542" s="1"/>
      <c r="BN542" s="1"/>
      <c r="BO542" s="1"/>
    </row>
    <row r="543" spans="22:67" s="20" customFormat="1" ht="22.5" customHeight="1" x14ac:dyDescent="0.25">
      <c r="V543" s="133"/>
      <c r="W543" s="133"/>
      <c r="AW543" s="1"/>
      <c r="AX543" s="1"/>
      <c r="AY543" s="1"/>
      <c r="BE543" s="1"/>
      <c r="BF543" s="1"/>
      <c r="BG543" s="1"/>
      <c r="BM543" s="1"/>
      <c r="BN543" s="1"/>
      <c r="BO543" s="1"/>
    </row>
    <row r="544" spans="22:67" s="20" customFormat="1" ht="22.5" customHeight="1" x14ac:dyDescent="0.25">
      <c r="V544" s="133"/>
      <c r="W544" s="133"/>
      <c r="AW544" s="1"/>
      <c r="AX544" s="1"/>
      <c r="AY544" s="1"/>
      <c r="BE544" s="1"/>
      <c r="BF544" s="1"/>
      <c r="BG544" s="1"/>
      <c r="BM544" s="1"/>
      <c r="BN544" s="1"/>
      <c r="BO544" s="1"/>
    </row>
    <row r="545" spans="22:67" s="20" customFormat="1" ht="22.5" customHeight="1" x14ac:dyDescent="0.25">
      <c r="V545" s="133"/>
      <c r="W545" s="133"/>
      <c r="AW545" s="1"/>
      <c r="AX545" s="1"/>
      <c r="AY545" s="1"/>
      <c r="BE545" s="1"/>
      <c r="BF545" s="1"/>
      <c r="BG545" s="1"/>
      <c r="BM545" s="1"/>
      <c r="BN545" s="1"/>
      <c r="BO545" s="1"/>
    </row>
    <row r="546" spans="22:67" s="20" customFormat="1" ht="22.5" customHeight="1" x14ac:dyDescent="0.25">
      <c r="V546" s="133"/>
      <c r="W546" s="133"/>
      <c r="AW546" s="1"/>
      <c r="AX546" s="1"/>
      <c r="AY546" s="1"/>
      <c r="BE546" s="1"/>
      <c r="BF546" s="1"/>
      <c r="BG546" s="1"/>
      <c r="BM546" s="1"/>
      <c r="BN546" s="1"/>
      <c r="BO546" s="1"/>
    </row>
    <row r="547" spans="22:67" s="20" customFormat="1" ht="22.5" customHeight="1" x14ac:dyDescent="0.25">
      <c r="V547" s="133"/>
      <c r="W547" s="133"/>
      <c r="AW547" s="1"/>
      <c r="AX547" s="1"/>
      <c r="AY547" s="1"/>
      <c r="BE547" s="1"/>
      <c r="BF547" s="1"/>
      <c r="BG547" s="1"/>
      <c r="BM547" s="1"/>
      <c r="BN547" s="1"/>
      <c r="BO547" s="1"/>
    </row>
    <row r="548" spans="22:67" s="20" customFormat="1" ht="22.5" customHeight="1" x14ac:dyDescent="0.25">
      <c r="V548" s="133"/>
      <c r="W548" s="133"/>
      <c r="AW548" s="1"/>
      <c r="AX548" s="1"/>
      <c r="AY548" s="1"/>
      <c r="BE548" s="1"/>
      <c r="BF548" s="1"/>
      <c r="BG548" s="1"/>
      <c r="BM548" s="1"/>
      <c r="BN548" s="1"/>
      <c r="BO548" s="1"/>
    </row>
    <row r="549" spans="22:67" s="20" customFormat="1" ht="22.5" customHeight="1" x14ac:dyDescent="0.25">
      <c r="V549" s="133"/>
      <c r="W549" s="133"/>
      <c r="AW549" s="1"/>
      <c r="AX549" s="1"/>
      <c r="AY549" s="1"/>
      <c r="BE549" s="1"/>
      <c r="BF549" s="1"/>
      <c r="BG549" s="1"/>
      <c r="BM549" s="1"/>
      <c r="BN549" s="1"/>
      <c r="BO549" s="1"/>
    </row>
    <row r="550" spans="22:67" s="20" customFormat="1" ht="22.5" customHeight="1" x14ac:dyDescent="0.25">
      <c r="V550" s="133"/>
      <c r="W550" s="133"/>
      <c r="AW550" s="1"/>
      <c r="AX550" s="1"/>
      <c r="AY550" s="1"/>
      <c r="BE550" s="1"/>
      <c r="BF550" s="1"/>
      <c r="BG550" s="1"/>
      <c r="BM550" s="1"/>
      <c r="BN550" s="1"/>
      <c r="BO550" s="1"/>
    </row>
    <row r="551" spans="22:67" s="20" customFormat="1" ht="22.5" customHeight="1" x14ac:dyDescent="0.25">
      <c r="V551" s="133"/>
      <c r="W551" s="133"/>
      <c r="AW551" s="1"/>
      <c r="AX551" s="1"/>
      <c r="AY551" s="1"/>
      <c r="BE551" s="1"/>
      <c r="BF551" s="1"/>
      <c r="BG551" s="1"/>
      <c r="BM551" s="1"/>
      <c r="BN551" s="1"/>
      <c r="BO551" s="1"/>
    </row>
    <row r="552" spans="22:67" s="20" customFormat="1" ht="22.5" customHeight="1" x14ac:dyDescent="0.25">
      <c r="V552" s="133"/>
      <c r="W552" s="133"/>
      <c r="AW552" s="1"/>
      <c r="AX552" s="1"/>
      <c r="AY552" s="1"/>
      <c r="BE552" s="1"/>
      <c r="BF552" s="1"/>
      <c r="BG552" s="1"/>
      <c r="BM552" s="1"/>
      <c r="BN552" s="1"/>
      <c r="BO552" s="1"/>
    </row>
    <row r="553" spans="22:67" s="20" customFormat="1" ht="22.5" customHeight="1" x14ac:dyDescent="0.25">
      <c r="V553" s="133"/>
      <c r="W553" s="133"/>
      <c r="AW553" s="1"/>
      <c r="AX553" s="1"/>
      <c r="AY553" s="1"/>
      <c r="BE553" s="1"/>
      <c r="BF553" s="1"/>
      <c r="BG553" s="1"/>
      <c r="BM553" s="1"/>
      <c r="BN553" s="1"/>
      <c r="BO553" s="1"/>
    </row>
    <row r="554" spans="22:67" s="20" customFormat="1" ht="22.5" customHeight="1" x14ac:dyDescent="0.25">
      <c r="V554" s="133"/>
      <c r="W554" s="133"/>
      <c r="AW554" s="1"/>
      <c r="AX554" s="1"/>
      <c r="AY554" s="1"/>
      <c r="BE554" s="1"/>
      <c r="BF554" s="1"/>
      <c r="BG554" s="1"/>
      <c r="BM554" s="1"/>
      <c r="BN554" s="1"/>
      <c r="BO554" s="1"/>
    </row>
    <row r="555" spans="22:67" s="20" customFormat="1" ht="22.5" customHeight="1" x14ac:dyDescent="0.25">
      <c r="V555" s="133"/>
      <c r="W555" s="133"/>
      <c r="AW555" s="1"/>
      <c r="AX555" s="1"/>
      <c r="AY555" s="1"/>
      <c r="BE555" s="1"/>
      <c r="BF555" s="1"/>
      <c r="BG555" s="1"/>
      <c r="BM555" s="1"/>
      <c r="BN555" s="1"/>
      <c r="BO555" s="1"/>
    </row>
    <row r="556" spans="22:67" s="20" customFormat="1" ht="22.5" customHeight="1" x14ac:dyDescent="0.25">
      <c r="V556" s="133"/>
      <c r="W556" s="133"/>
      <c r="AW556" s="1"/>
      <c r="AX556" s="1"/>
      <c r="AY556" s="1"/>
      <c r="BE556" s="1"/>
      <c r="BF556" s="1"/>
      <c r="BG556" s="1"/>
      <c r="BM556" s="1"/>
      <c r="BN556" s="1"/>
      <c r="BO556" s="1"/>
    </row>
  </sheetData>
  <sheetProtection algorithmName="SHA-512" hashValue="C9N8nYpMwLM0OsSoNB4ycHlkgVNTw8K3EAerDzWefLU2NnwDPGjypjNKhJ9HbINJ2AsY3T8ToxV/539zgeeqtw==" saltValue="IiuN5rdBP4wg7wWS3jBGhQ==" spinCount="100000" sheet="1" objects="1" selectLockedCells="1" selectUnlockedCells="1"/>
  <mergeCells count="42">
    <mergeCell ref="W7:W14"/>
    <mergeCell ref="BM4:BT4"/>
    <mergeCell ref="C1:X3"/>
    <mergeCell ref="A4:K4"/>
    <mergeCell ref="L4:P5"/>
    <mergeCell ref="Q4:U5"/>
    <mergeCell ref="V4:W5"/>
    <mergeCell ref="X4:X5"/>
    <mergeCell ref="A5:C5"/>
    <mergeCell ref="E5:F5"/>
    <mergeCell ref="G5:I5"/>
    <mergeCell ref="J5:J6"/>
    <mergeCell ref="Y4:AF4"/>
    <mergeCell ref="AG4:AN4"/>
    <mergeCell ref="AO4:AV4"/>
    <mergeCell ref="AW4:BD4"/>
    <mergeCell ref="BE4:BL4"/>
    <mergeCell ref="BE5:BH5"/>
    <mergeCell ref="BI5:BL5"/>
    <mergeCell ref="BM5:BP5"/>
    <mergeCell ref="K5:K6"/>
    <mergeCell ref="Y5:AB5"/>
    <mergeCell ref="AC5:AF5"/>
    <mergeCell ref="AG5:AJ5"/>
    <mergeCell ref="AK5:AN5"/>
    <mergeCell ref="AO5:AR5"/>
    <mergeCell ref="BI15:BJ15"/>
    <mergeCell ref="BM15:BN15"/>
    <mergeCell ref="BQ15:BR15"/>
    <mergeCell ref="BQ5:BT5"/>
    <mergeCell ref="Y15:Z15"/>
    <mergeCell ref="AC15:AD15"/>
    <mergeCell ref="AG15:AH15"/>
    <mergeCell ref="AK15:AL15"/>
    <mergeCell ref="AO15:AP15"/>
    <mergeCell ref="AS15:AT15"/>
    <mergeCell ref="AW15:AX15"/>
    <mergeCell ref="BA15:BB15"/>
    <mergeCell ref="BE15:BF15"/>
    <mergeCell ref="AS5:AV5"/>
    <mergeCell ref="AW5:AZ5"/>
    <mergeCell ref="BA5:BD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D49"/>
  <sheetViews>
    <sheetView tabSelected="1" topLeftCell="A34" workbookViewId="0">
      <selection activeCell="G10" sqref="G10"/>
    </sheetView>
  </sheetViews>
  <sheetFormatPr baseColWidth="10" defaultColWidth="9.140625" defaultRowHeight="15" x14ac:dyDescent="0.25"/>
  <cols>
    <col min="1" max="1" width="21.5703125" bestFit="1" customWidth="1"/>
    <col min="2" max="2" width="26" customWidth="1"/>
    <col min="3" max="3" width="17" customWidth="1"/>
    <col min="4" max="4" width="15.42578125" customWidth="1"/>
  </cols>
  <sheetData>
    <row r="1" spans="1:4" x14ac:dyDescent="0.25">
      <c r="A1" s="618" t="s">
        <v>17</v>
      </c>
      <c r="B1" s="646" t="s">
        <v>18</v>
      </c>
      <c r="C1" s="648" t="s">
        <v>891</v>
      </c>
      <c r="D1" s="649"/>
    </row>
    <row r="2" spans="1:4" ht="30" x14ac:dyDescent="0.25">
      <c r="A2" s="619"/>
      <c r="B2" s="647"/>
      <c r="C2" s="420" t="s">
        <v>874</v>
      </c>
      <c r="D2" s="421" t="s">
        <v>875</v>
      </c>
    </row>
    <row r="3" spans="1:4" x14ac:dyDescent="0.25">
      <c r="A3" s="406" t="s">
        <v>876</v>
      </c>
      <c r="B3" s="407"/>
      <c r="C3" s="370">
        <v>0.7</v>
      </c>
      <c r="D3" s="371">
        <v>0.65</v>
      </c>
    </row>
    <row r="4" spans="1:4" x14ac:dyDescent="0.25">
      <c r="A4" s="406" t="s">
        <v>877</v>
      </c>
      <c r="B4" s="407"/>
      <c r="C4" s="370">
        <v>0.51</v>
      </c>
      <c r="D4" s="372">
        <v>0.57399999999999995</v>
      </c>
    </row>
    <row r="5" spans="1:4" x14ac:dyDescent="0.25">
      <c r="A5" s="406" t="s">
        <v>878</v>
      </c>
      <c r="B5" s="407"/>
      <c r="C5" s="370">
        <v>0.53200000000000003</v>
      </c>
      <c r="D5" s="372">
        <v>0.53600000000000003</v>
      </c>
    </row>
    <row r="6" spans="1:4" x14ac:dyDescent="0.25">
      <c r="A6" s="408" t="s">
        <v>879</v>
      </c>
      <c r="B6" s="407"/>
      <c r="C6" s="370">
        <v>0.45700000000000002</v>
      </c>
      <c r="D6" s="373" t="s">
        <v>283</v>
      </c>
    </row>
    <row r="7" spans="1:4" x14ac:dyDescent="0.25">
      <c r="A7" s="409" t="s">
        <v>543</v>
      </c>
      <c r="B7" s="410"/>
      <c r="C7" s="374">
        <v>0.75280000000000002</v>
      </c>
      <c r="D7" s="375">
        <v>0.63880000000000003</v>
      </c>
    </row>
    <row r="8" spans="1:4" x14ac:dyDescent="0.25">
      <c r="A8" s="409" t="s">
        <v>880</v>
      </c>
      <c r="B8" s="410"/>
      <c r="C8" s="370">
        <v>0.57999999999999996</v>
      </c>
      <c r="D8" s="372">
        <v>0.56499999999999995</v>
      </c>
    </row>
    <row r="9" spans="1:4" x14ac:dyDescent="0.25">
      <c r="A9" s="634" t="s">
        <v>726</v>
      </c>
      <c r="B9" s="411" t="s">
        <v>759</v>
      </c>
      <c r="C9" s="376">
        <v>0.46100000000000002</v>
      </c>
      <c r="D9" s="377" t="s">
        <v>283</v>
      </c>
    </row>
    <row r="10" spans="1:4" x14ac:dyDescent="0.25">
      <c r="A10" s="635"/>
      <c r="B10" s="411" t="s">
        <v>775</v>
      </c>
      <c r="C10" s="376">
        <v>0.53400000000000003</v>
      </c>
      <c r="D10" s="378">
        <v>0.56999999999999995</v>
      </c>
    </row>
    <row r="11" spans="1:4" x14ac:dyDescent="0.25">
      <c r="A11" s="635"/>
      <c r="B11" s="411" t="s">
        <v>350</v>
      </c>
      <c r="C11" s="376">
        <v>0.36899999999999999</v>
      </c>
      <c r="D11" s="378">
        <v>0.49299999999999999</v>
      </c>
    </row>
    <row r="12" spans="1:4" x14ac:dyDescent="0.25">
      <c r="A12" s="635"/>
      <c r="B12" s="411" t="s">
        <v>827</v>
      </c>
      <c r="C12" s="376">
        <v>0.73199999999999998</v>
      </c>
      <c r="D12" s="379">
        <v>0.54700000000000004</v>
      </c>
    </row>
    <row r="13" spans="1:4" x14ac:dyDescent="0.25">
      <c r="A13" s="635"/>
      <c r="B13" s="411" t="s">
        <v>843</v>
      </c>
      <c r="C13" s="376">
        <v>0.52300000000000002</v>
      </c>
      <c r="D13" s="378">
        <v>0.46300000000000002</v>
      </c>
    </row>
    <row r="14" spans="1:4" x14ac:dyDescent="0.25">
      <c r="A14" s="636"/>
      <c r="B14" s="412" t="s">
        <v>881</v>
      </c>
      <c r="C14" s="380">
        <v>0.52400000000000002</v>
      </c>
      <c r="D14" s="380">
        <v>0.51900000000000002</v>
      </c>
    </row>
    <row r="15" spans="1:4" x14ac:dyDescent="0.25">
      <c r="A15" s="637" t="s">
        <v>882</v>
      </c>
      <c r="B15" s="411" t="s">
        <v>725</v>
      </c>
      <c r="C15" s="376">
        <v>0.69199999999999995</v>
      </c>
      <c r="D15" s="378">
        <v>0.7</v>
      </c>
    </row>
    <row r="16" spans="1:4" x14ac:dyDescent="0.25">
      <c r="A16" s="638"/>
      <c r="B16" s="413" t="s">
        <v>327</v>
      </c>
      <c r="C16" s="376">
        <v>0.59599999999999997</v>
      </c>
      <c r="D16" s="381" t="s">
        <v>283</v>
      </c>
    </row>
    <row r="17" spans="1:4" x14ac:dyDescent="0.25">
      <c r="A17" s="650"/>
      <c r="B17" s="412" t="s">
        <v>883</v>
      </c>
      <c r="C17" s="380">
        <v>0.64400000000000002</v>
      </c>
      <c r="D17" s="380">
        <v>0.7</v>
      </c>
    </row>
    <row r="18" spans="1:4" x14ac:dyDescent="0.25">
      <c r="A18" s="634" t="s">
        <v>977</v>
      </c>
      <c r="B18" s="414" t="s">
        <v>977</v>
      </c>
      <c r="C18" s="382">
        <v>0.47770000000000001</v>
      </c>
      <c r="D18" s="379">
        <v>0.24740000000000001</v>
      </c>
    </row>
    <row r="19" spans="1:4" x14ac:dyDescent="0.25">
      <c r="A19" s="635"/>
      <c r="B19" s="413" t="s">
        <v>101</v>
      </c>
      <c r="C19" s="383">
        <v>0.37980000000000003</v>
      </c>
      <c r="D19" s="379">
        <v>0.26989999999999997</v>
      </c>
    </row>
    <row r="20" spans="1:4" x14ac:dyDescent="0.25">
      <c r="A20" s="635"/>
      <c r="B20" s="413" t="s">
        <v>143</v>
      </c>
      <c r="C20" s="383">
        <v>0.38500000000000001</v>
      </c>
      <c r="D20" s="379">
        <v>0.30099999999999999</v>
      </c>
    </row>
    <row r="21" spans="1:4" x14ac:dyDescent="0.25">
      <c r="A21" s="635"/>
      <c r="B21" s="413" t="s">
        <v>175</v>
      </c>
      <c r="C21" s="383">
        <v>0.39679999999999999</v>
      </c>
      <c r="D21" s="379">
        <v>0.33169999999999999</v>
      </c>
    </row>
    <row r="22" spans="1:4" x14ac:dyDescent="0.25">
      <c r="A22" s="635"/>
      <c r="B22" s="413" t="s">
        <v>206</v>
      </c>
      <c r="C22" s="383">
        <v>0.42980000000000002</v>
      </c>
      <c r="D22" s="379">
        <v>0.31209999999999999</v>
      </c>
    </row>
    <row r="23" spans="1:4" x14ac:dyDescent="0.25">
      <c r="A23" s="635"/>
      <c r="B23" s="413" t="s">
        <v>235</v>
      </c>
      <c r="C23" s="383">
        <v>0.54249999999999998</v>
      </c>
      <c r="D23" s="379">
        <v>0.4451</v>
      </c>
    </row>
    <row r="24" spans="1:4" x14ac:dyDescent="0.25">
      <c r="A24" s="635"/>
      <c r="B24" s="413" t="s">
        <v>284</v>
      </c>
      <c r="C24" s="383">
        <v>0.31269999999999998</v>
      </c>
      <c r="D24" s="377" t="s">
        <v>283</v>
      </c>
    </row>
    <row r="25" spans="1:4" x14ac:dyDescent="0.25">
      <c r="A25" s="635"/>
      <c r="B25" s="413" t="s">
        <v>884</v>
      </c>
      <c r="C25" s="376">
        <v>0.33460000000000001</v>
      </c>
      <c r="D25" s="381" t="s">
        <v>283</v>
      </c>
    </row>
    <row r="26" spans="1:4" x14ac:dyDescent="0.25">
      <c r="A26" s="635"/>
      <c r="B26" s="413" t="s">
        <v>361</v>
      </c>
      <c r="C26" s="376">
        <v>0.48020000000000002</v>
      </c>
      <c r="D26" s="381" t="s">
        <v>283</v>
      </c>
    </row>
    <row r="27" spans="1:4" x14ac:dyDescent="0.25">
      <c r="A27" s="636"/>
      <c r="B27" s="412" t="s">
        <v>978</v>
      </c>
      <c r="C27" s="380">
        <v>0.41549999999999998</v>
      </c>
      <c r="D27" s="380">
        <v>0.31780000000000003</v>
      </c>
    </row>
    <row r="28" spans="1:4" x14ac:dyDescent="0.25">
      <c r="A28" s="634" t="s">
        <v>979</v>
      </c>
      <c r="B28" s="414" t="s">
        <v>979</v>
      </c>
      <c r="C28" s="382">
        <v>0.45419999999999999</v>
      </c>
      <c r="D28" s="379">
        <v>0.37940000000000002</v>
      </c>
    </row>
    <row r="29" spans="1:4" x14ac:dyDescent="0.25">
      <c r="A29" s="635"/>
      <c r="B29" s="413" t="s">
        <v>980</v>
      </c>
      <c r="C29" s="383">
        <v>0.51160000000000005</v>
      </c>
      <c r="D29" s="379">
        <v>0.52270000000000005</v>
      </c>
    </row>
    <row r="30" spans="1:4" x14ac:dyDescent="0.25">
      <c r="A30" s="635"/>
      <c r="B30" s="413" t="s">
        <v>981</v>
      </c>
      <c r="C30" s="383">
        <v>0.36180000000000001</v>
      </c>
      <c r="D30" s="379">
        <v>0.49280000000000002</v>
      </c>
    </row>
    <row r="31" spans="1:4" x14ac:dyDescent="0.25">
      <c r="A31" s="635"/>
      <c r="B31" s="413" t="s">
        <v>982</v>
      </c>
      <c r="C31" s="383">
        <v>0.47010000000000002</v>
      </c>
      <c r="D31" s="379">
        <v>0.54790000000000005</v>
      </c>
    </row>
    <row r="32" spans="1:4" x14ac:dyDescent="0.25">
      <c r="A32" s="635"/>
      <c r="B32" s="413" t="s">
        <v>983</v>
      </c>
      <c r="C32" s="383">
        <v>0.32700000000000001</v>
      </c>
      <c r="D32" s="379">
        <v>0.52590000000000003</v>
      </c>
    </row>
    <row r="33" spans="1:4" x14ac:dyDescent="0.25">
      <c r="A33" s="635"/>
      <c r="B33" s="413" t="s">
        <v>984</v>
      </c>
      <c r="C33" s="383">
        <v>0.51119999999999999</v>
      </c>
      <c r="D33" s="379">
        <v>0.56020000000000003</v>
      </c>
    </row>
    <row r="34" spans="1:4" x14ac:dyDescent="0.25">
      <c r="A34" s="635"/>
      <c r="B34" s="413" t="s">
        <v>266</v>
      </c>
      <c r="C34" s="383">
        <v>0.50109999999999999</v>
      </c>
      <c r="D34" s="377" t="s">
        <v>283</v>
      </c>
    </row>
    <row r="35" spans="1:4" x14ac:dyDescent="0.25">
      <c r="A35" s="635"/>
      <c r="B35" s="413" t="s">
        <v>284</v>
      </c>
      <c r="C35" s="383">
        <v>0.17860000000000001</v>
      </c>
      <c r="D35" s="379">
        <v>0.6825</v>
      </c>
    </row>
    <row r="36" spans="1:4" x14ac:dyDescent="0.25">
      <c r="A36" s="635"/>
      <c r="B36" s="413" t="s">
        <v>884</v>
      </c>
      <c r="C36" s="376">
        <v>0.40699999999999997</v>
      </c>
      <c r="D36" s="381" t="s">
        <v>283</v>
      </c>
    </row>
    <row r="37" spans="1:4" x14ac:dyDescent="0.25">
      <c r="A37" s="635"/>
      <c r="B37" s="413" t="s">
        <v>361</v>
      </c>
      <c r="C37" s="376">
        <v>0.48420000000000002</v>
      </c>
      <c r="D37" s="381" t="s">
        <v>283</v>
      </c>
    </row>
    <row r="38" spans="1:4" x14ac:dyDescent="0.25">
      <c r="A38" s="636"/>
      <c r="B38" s="412" t="s">
        <v>985</v>
      </c>
      <c r="C38" s="380">
        <v>0.42070000000000002</v>
      </c>
      <c r="D38" s="380">
        <v>0.5302</v>
      </c>
    </row>
    <row r="39" spans="1:4" x14ac:dyDescent="0.25">
      <c r="A39" s="637" t="s">
        <v>886</v>
      </c>
      <c r="B39" s="415" t="s">
        <v>887</v>
      </c>
      <c r="C39" s="416">
        <v>0.55600000000000005</v>
      </c>
      <c r="D39" s="417">
        <v>0.32500000000000001</v>
      </c>
    </row>
    <row r="40" spans="1:4" x14ac:dyDescent="0.25">
      <c r="A40" s="638"/>
      <c r="B40" s="413" t="s">
        <v>491</v>
      </c>
      <c r="C40" s="383">
        <v>0.51300000000000001</v>
      </c>
      <c r="D40" s="379">
        <v>0.437</v>
      </c>
    </row>
    <row r="41" spans="1:4" x14ac:dyDescent="0.25">
      <c r="A41" s="639"/>
      <c r="B41" s="412" t="s">
        <v>888</v>
      </c>
      <c r="C41" s="380">
        <v>0.53449999999999998</v>
      </c>
      <c r="D41" s="380">
        <v>0.38100000000000001</v>
      </c>
    </row>
    <row r="42" spans="1:4" ht="15.75" x14ac:dyDescent="0.25">
      <c r="A42" s="418" t="s">
        <v>889</v>
      </c>
      <c r="B42" s="418"/>
      <c r="C42" s="419">
        <v>0.55189999999999995</v>
      </c>
      <c r="D42" s="419">
        <v>0.54120000000000001</v>
      </c>
    </row>
    <row r="43" spans="1:4" ht="15.75" thickBot="1" x14ac:dyDescent="0.3"/>
    <row r="44" spans="1:4" ht="15" customHeight="1" x14ac:dyDescent="0.25">
      <c r="A44" s="651" t="s">
        <v>890</v>
      </c>
      <c r="B44" s="652"/>
      <c r="C44" s="652"/>
      <c r="D44" s="653"/>
    </row>
    <row r="45" spans="1:4" ht="34.5" customHeight="1" x14ac:dyDescent="0.25">
      <c r="A45" s="654"/>
      <c r="B45" s="655"/>
      <c r="C45" s="655"/>
      <c r="D45" s="656"/>
    </row>
    <row r="46" spans="1:4" ht="34.5" customHeight="1" x14ac:dyDescent="0.25">
      <c r="A46" s="654" t="s">
        <v>1469</v>
      </c>
      <c r="B46" s="655"/>
      <c r="C46" s="655"/>
      <c r="D46" s="656"/>
    </row>
    <row r="47" spans="1:4" x14ac:dyDescent="0.25">
      <c r="A47" s="640" t="s">
        <v>1470</v>
      </c>
      <c r="B47" s="641"/>
      <c r="C47" s="641"/>
      <c r="D47" s="642"/>
    </row>
    <row r="48" spans="1:4" x14ac:dyDescent="0.25">
      <c r="A48" s="640"/>
      <c r="B48" s="641"/>
      <c r="C48" s="641"/>
      <c r="D48" s="642"/>
    </row>
    <row r="49" spans="1:4" ht="15.75" thickBot="1" x14ac:dyDescent="0.3">
      <c r="A49" s="643"/>
      <c r="B49" s="644"/>
      <c r="C49" s="644"/>
      <c r="D49" s="645"/>
    </row>
  </sheetData>
  <sheetProtection algorithmName="SHA-512" hashValue="XnZQtxG0wnkzDxEhHg0BLlgSPAVg7DxH55zAqDh+dfIu4PwNqPQZTdnfy59Sh6WzbIhTkqWAZRaCxMDWpQHcpg==" saltValue="nWiIHe428rfwOVzgexVY6Q==" spinCount="100000" sheet="1" objects="1" scenarios="1" selectLockedCells="1" selectUnlockedCells="1"/>
  <mergeCells count="11">
    <mergeCell ref="A28:A38"/>
    <mergeCell ref="A39:A41"/>
    <mergeCell ref="A47:D49"/>
    <mergeCell ref="A1:A2"/>
    <mergeCell ref="B1:B2"/>
    <mergeCell ref="C1:D1"/>
    <mergeCell ref="A9:A14"/>
    <mergeCell ref="A15:A17"/>
    <mergeCell ref="A18:A27"/>
    <mergeCell ref="A44:D45"/>
    <mergeCell ref="A46:D4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sheetPr>
  <dimension ref="A1:AAF618"/>
  <sheetViews>
    <sheetView topLeftCell="AN1" zoomScaleNormal="100" workbookViewId="0">
      <selection activeCell="AO7" sqref="AO7:AO8"/>
    </sheetView>
  </sheetViews>
  <sheetFormatPr baseColWidth="10" defaultColWidth="11.42578125" defaultRowHeight="22.5" customHeight="1" x14ac:dyDescent="0.25"/>
  <cols>
    <col min="1" max="1" width="22.42578125" style="88" customWidth="1"/>
    <col min="2" max="2" width="26.7109375" style="88" customWidth="1"/>
    <col min="3" max="3" width="23.85546875" style="88" customWidth="1"/>
    <col min="4" max="4" width="33.42578125" style="88" customWidth="1"/>
    <col min="5" max="5" width="43.42578125" style="88" customWidth="1"/>
    <col min="6" max="6" width="17.140625" style="88" customWidth="1"/>
    <col min="7" max="7" width="26.7109375" style="88" customWidth="1"/>
    <col min="8" max="8" width="16.7109375" style="88" customWidth="1"/>
    <col min="9" max="9" width="17.28515625" style="88" customWidth="1"/>
    <col min="10" max="10" width="16.85546875" style="88" customWidth="1"/>
    <col min="11" max="11" width="12.5703125" style="88" customWidth="1"/>
    <col min="12" max="12" width="29.5703125" style="88" customWidth="1"/>
    <col min="13" max="13" width="35.42578125" style="88" customWidth="1"/>
    <col min="14" max="14" width="12.28515625" style="88" customWidth="1"/>
    <col min="15" max="15" width="10.7109375" style="88" customWidth="1"/>
    <col min="16" max="16" width="12.28515625" style="88" customWidth="1"/>
    <col min="17" max="17" width="25.28515625" style="88" customWidth="1"/>
    <col min="18" max="18" width="34" style="88" customWidth="1"/>
    <col min="19" max="19" width="19.28515625" style="134" customWidth="1"/>
    <col min="20" max="20" width="11.7109375" style="88" customWidth="1"/>
    <col min="21" max="21" width="18" style="88" customWidth="1"/>
    <col min="22" max="22" width="17" style="137" customWidth="1"/>
    <col min="23" max="23" width="18.5703125" style="137" customWidth="1"/>
    <col min="24" max="24" width="20.7109375" style="88" customWidth="1"/>
    <col min="25" max="25" width="12.85546875" style="88" customWidth="1"/>
    <col min="26" max="26" width="7.140625" style="88" customWidth="1"/>
    <col min="27" max="27" width="20.7109375" style="88" customWidth="1"/>
    <col min="28" max="28" width="37.7109375" style="88" customWidth="1"/>
    <col min="29" max="29" width="11.5703125" style="88" customWidth="1"/>
    <col min="30" max="30" width="8.140625" style="88" customWidth="1"/>
    <col min="31" max="31" width="20.42578125" style="88" customWidth="1"/>
    <col min="32" max="32" width="43" style="134" customWidth="1"/>
    <col min="33" max="33" width="12.85546875" style="88" customWidth="1"/>
    <col min="34" max="34" width="7.140625" style="88" customWidth="1"/>
    <col min="35" max="35" width="20.7109375" style="88" customWidth="1"/>
    <col min="36" max="36" width="37.7109375" style="88" customWidth="1"/>
    <col min="37" max="37" width="11.5703125" style="88" customWidth="1"/>
    <col min="38" max="38" width="8.140625" style="88" customWidth="1"/>
    <col min="39" max="39" width="20.42578125" style="88" customWidth="1"/>
    <col min="40" max="40" width="43" style="134" customWidth="1"/>
    <col min="41" max="41" width="12.85546875" style="88" customWidth="1"/>
    <col min="42" max="42" width="7.140625" style="88" customWidth="1"/>
    <col min="43" max="43" width="20.7109375" style="88" customWidth="1"/>
    <col min="44" max="44" width="37.7109375" style="88" customWidth="1"/>
    <col min="45" max="45" width="11.5703125" style="88" customWidth="1"/>
    <col min="46" max="46" width="8.140625" style="88" customWidth="1"/>
    <col min="47" max="47" width="20.42578125" style="88" customWidth="1"/>
    <col min="48" max="48" width="43" style="134" customWidth="1"/>
    <col min="49" max="708" width="11.42578125" style="20"/>
    <col min="709" max="16384" width="11.42578125" style="88"/>
  </cols>
  <sheetData>
    <row r="1" spans="1:708" s="1" customFormat="1" ht="15.75" x14ac:dyDescent="0.25">
      <c r="C1" s="769" t="s">
        <v>0</v>
      </c>
      <c r="D1" s="769"/>
      <c r="E1" s="769"/>
      <c r="F1" s="769"/>
      <c r="G1" s="769"/>
      <c r="H1" s="769"/>
      <c r="I1" s="769"/>
      <c r="J1" s="769"/>
      <c r="K1" s="769"/>
      <c r="L1" s="769"/>
      <c r="M1" s="769"/>
      <c r="N1" s="769"/>
      <c r="O1" s="769"/>
      <c r="P1" s="769"/>
      <c r="Q1" s="769"/>
      <c r="R1" s="769"/>
      <c r="S1" s="769"/>
      <c r="T1" s="769"/>
      <c r="U1" s="769"/>
      <c r="V1" s="769"/>
      <c r="W1" s="769"/>
      <c r="X1" s="769"/>
      <c r="AE1" s="2"/>
      <c r="AF1" s="3"/>
      <c r="AM1" s="2"/>
      <c r="AN1" s="3"/>
      <c r="AU1" s="4" t="s">
        <v>1</v>
      </c>
      <c r="AV1" s="5">
        <v>43458</v>
      </c>
    </row>
    <row r="2" spans="1:708" s="1" customFormat="1" ht="30" customHeight="1" x14ac:dyDescent="0.25">
      <c r="C2" s="769"/>
      <c r="D2" s="769"/>
      <c r="E2" s="769"/>
      <c r="F2" s="769"/>
      <c r="G2" s="769"/>
      <c r="H2" s="769"/>
      <c r="I2" s="769"/>
      <c r="J2" s="769"/>
      <c r="K2" s="769"/>
      <c r="L2" s="769"/>
      <c r="M2" s="769"/>
      <c r="N2" s="769"/>
      <c r="O2" s="769"/>
      <c r="P2" s="769"/>
      <c r="Q2" s="769"/>
      <c r="R2" s="769"/>
      <c r="S2" s="769"/>
      <c r="T2" s="769"/>
      <c r="U2" s="769"/>
      <c r="V2" s="769"/>
      <c r="W2" s="769"/>
      <c r="X2" s="769"/>
      <c r="AE2" s="2"/>
      <c r="AF2" s="2"/>
      <c r="AM2" s="2"/>
      <c r="AN2" s="2"/>
      <c r="AU2" s="4" t="s">
        <v>2</v>
      </c>
      <c r="AV2" s="4">
        <v>5</v>
      </c>
    </row>
    <row r="3" spans="1:708" s="1" customFormat="1" ht="29.25" customHeight="1" x14ac:dyDescent="0.25">
      <c r="C3" s="769"/>
      <c r="D3" s="769"/>
      <c r="E3" s="769"/>
      <c r="F3" s="769"/>
      <c r="G3" s="769"/>
      <c r="H3" s="769"/>
      <c r="I3" s="769"/>
      <c r="J3" s="769"/>
      <c r="K3" s="769"/>
      <c r="L3" s="769"/>
      <c r="M3" s="769"/>
      <c r="N3" s="769"/>
      <c r="O3" s="769"/>
      <c r="P3" s="769"/>
      <c r="Q3" s="769"/>
      <c r="R3" s="769"/>
      <c r="S3" s="769"/>
      <c r="T3" s="769"/>
      <c r="U3" s="769"/>
      <c r="V3" s="769"/>
      <c r="W3" s="769"/>
      <c r="X3" s="769"/>
      <c r="AE3" s="2"/>
      <c r="AF3" s="2"/>
      <c r="AM3" s="2"/>
      <c r="AN3" s="2"/>
      <c r="AU3" s="4" t="s">
        <v>3</v>
      </c>
      <c r="AV3" s="4" t="s">
        <v>4</v>
      </c>
    </row>
    <row r="4" spans="1:708" s="7" customFormat="1" ht="12.75" customHeight="1" x14ac:dyDescent="0.25">
      <c r="A4" s="770" t="s">
        <v>5</v>
      </c>
      <c r="B4" s="771"/>
      <c r="C4" s="771"/>
      <c r="D4" s="771"/>
      <c r="E4" s="771"/>
      <c r="F4" s="771"/>
      <c r="G4" s="771"/>
      <c r="H4" s="771"/>
      <c r="I4" s="771"/>
      <c r="J4" s="771"/>
      <c r="K4" s="772"/>
      <c r="L4" s="773" t="s">
        <v>6</v>
      </c>
      <c r="M4" s="774"/>
      <c r="N4" s="774"/>
      <c r="O4" s="774"/>
      <c r="P4" s="775"/>
      <c r="Q4" s="773" t="s">
        <v>7</v>
      </c>
      <c r="R4" s="774"/>
      <c r="S4" s="774"/>
      <c r="T4" s="774"/>
      <c r="U4" s="775"/>
      <c r="V4" s="779" t="s">
        <v>8</v>
      </c>
      <c r="W4" s="780"/>
      <c r="X4" s="783" t="s">
        <v>9</v>
      </c>
      <c r="Y4" s="776" t="s">
        <v>10</v>
      </c>
      <c r="Z4" s="777"/>
      <c r="AA4" s="777"/>
      <c r="AB4" s="777"/>
      <c r="AC4" s="777"/>
      <c r="AD4" s="777"/>
      <c r="AE4" s="777"/>
      <c r="AF4" s="778"/>
      <c r="AG4" s="776" t="s">
        <v>11</v>
      </c>
      <c r="AH4" s="777"/>
      <c r="AI4" s="777"/>
      <c r="AJ4" s="777"/>
      <c r="AK4" s="777"/>
      <c r="AL4" s="777"/>
      <c r="AM4" s="777"/>
      <c r="AN4" s="778"/>
      <c r="AO4" s="776" t="s">
        <v>12</v>
      </c>
      <c r="AP4" s="777"/>
      <c r="AQ4" s="777"/>
      <c r="AR4" s="777"/>
      <c r="AS4" s="777"/>
      <c r="AT4" s="777"/>
      <c r="AU4" s="777"/>
      <c r="AV4" s="778"/>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c r="AAF4" s="6"/>
    </row>
    <row r="5" spans="1:708" s="9" customFormat="1" ht="15" x14ac:dyDescent="0.25">
      <c r="A5" s="785" t="s">
        <v>13</v>
      </c>
      <c r="B5" s="786"/>
      <c r="C5" s="787"/>
      <c r="D5" s="8" t="s">
        <v>14</v>
      </c>
      <c r="E5" s="785" t="s">
        <v>15</v>
      </c>
      <c r="F5" s="787"/>
      <c r="G5" s="785" t="s">
        <v>16</v>
      </c>
      <c r="H5" s="786"/>
      <c r="I5" s="787"/>
      <c r="J5" s="788" t="s">
        <v>17</v>
      </c>
      <c r="K5" s="788" t="s">
        <v>18</v>
      </c>
      <c r="L5" s="776"/>
      <c r="M5" s="777"/>
      <c r="N5" s="777"/>
      <c r="O5" s="777"/>
      <c r="P5" s="778"/>
      <c r="Q5" s="776"/>
      <c r="R5" s="777"/>
      <c r="S5" s="777"/>
      <c r="T5" s="777"/>
      <c r="U5" s="778"/>
      <c r="V5" s="781"/>
      <c r="W5" s="782"/>
      <c r="X5" s="784"/>
      <c r="Y5" s="785" t="s">
        <v>19</v>
      </c>
      <c r="Z5" s="786"/>
      <c r="AA5" s="786"/>
      <c r="AB5" s="790"/>
      <c r="AC5" s="791" t="s">
        <v>20</v>
      </c>
      <c r="AD5" s="786"/>
      <c r="AE5" s="786"/>
      <c r="AF5" s="787"/>
      <c r="AG5" s="785" t="s">
        <v>19</v>
      </c>
      <c r="AH5" s="786"/>
      <c r="AI5" s="786"/>
      <c r="AJ5" s="790"/>
      <c r="AK5" s="791" t="s">
        <v>20</v>
      </c>
      <c r="AL5" s="786"/>
      <c r="AM5" s="786"/>
      <c r="AN5" s="787"/>
      <c r="AO5" s="785" t="s">
        <v>19</v>
      </c>
      <c r="AP5" s="786"/>
      <c r="AQ5" s="786"/>
      <c r="AR5" s="790"/>
      <c r="AS5" s="791" t="s">
        <v>20</v>
      </c>
      <c r="AT5" s="786"/>
      <c r="AU5" s="786"/>
      <c r="AV5" s="787"/>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row>
    <row r="6" spans="1:708" s="7" customFormat="1" ht="25.5" customHeight="1" x14ac:dyDescent="0.25">
      <c r="A6" s="10" t="s">
        <v>21</v>
      </c>
      <c r="B6" s="10" t="s">
        <v>22</v>
      </c>
      <c r="C6" s="11" t="s">
        <v>23</v>
      </c>
      <c r="D6" s="11" t="s">
        <v>24</v>
      </c>
      <c r="E6" s="11" t="s">
        <v>25</v>
      </c>
      <c r="F6" s="11" t="s">
        <v>26</v>
      </c>
      <c r="G6" s="11" t="s">
        <v>27</v>
      </c>
      <c r="H6" s="11" t="s">
        <v>28</v>
      </c>
      <c r="I6" s="11" t="s">
        <v>29</v>
      </c>
      <c r="J6" s="789"/>
      <c r="K6" s="789"/>
      <c r="L6" s="11" t="s">
        <v>6</v>
      </c>
      <c r="M6" s="11" t="s">
        <v>30</v>
      </c>
      <c r="N6" s="12" t="s">
        <v>31</v>
      </c>
      <c r="O6" s="12" t="s">
        <v>32</v>
      </c>
      <c r="P6" s="12" t="s">
        <v>33</v>
      </c>
      <c r="Q6" s="11" t="s">
        <v>7</v>
      </c>
      <c r="R6" s="11" t="s">
        <v>34</v>
      </c>
      <c r="S6" s="11" t="s">
        <v>31</v>
      </c>
      <c r="T6" s="11" t="s">
        <v>32</v>
      </c>
      <c r="U6" s="11" t="s">
        <v>35</v>
      </c>
      <c r="V6" s="13" t="s">
        <v>36</v>
      </c>
      <c r="W6" s="13" t="s">
        <v>37</v>
      </c>
      <c r="X6" s="11" t="s">
        <v>38</v>
      </c>
      <c r="Y6" s="11" t="s">
        <v>39</v>
      </c>
      <c r="Z6" s="11" t="s">
        <v>40</v>
      </c>
      <c r="AA6" s="11" t="s">
        <v>41</v>
      </c>
      <c r="AB6" s="11" t="s">
        <v>42</v>
      </c>
      <c r="AC6" s="11" t="s">
        <v>39</v>
      </c>
      <c r="AD6" s="11" t="s">
        <v>40</v>
      </c>
      <c r="AE6" s="11" t="s">
        <v>41</v>
      </c>
      <c r="AF6" s="11" t="s">
        <v>42</v>
      </c>
      <c r="AG6" s="12" t="s">
        <v>39</v>
      </c>
      <c r="AH6" s="12" t="s">
        <v>40</v>
      </c>
      <c r="AI6" s="12" t="s">
        <v>41</v>
      </c>
      <c r="AJ6" s="12" t="s">
        <v>42</v>
      </c>
      <c r="AK6" s="12" t="s">
        <v>39</v>
      </c>
      <c r="AL6" s="12" t="s">
        <v>40</v>
      </c>
      <c r="AM6" s="12" t="s">
        <v>41</v>
      </c>
      <c r="AN6" s="12" t="s">
        <v>42</v>
      </c>
      <c r="AO6" s="11" t="s">
        <v>39</v>
      </c>
      <c r="AP6" s="11" t="s">
        <v>40</v>
      </c>
      <c r="AQ6" s="11" t="s">
        <v>41</v>
      </c>
      <c r="AR6" s="11" t="s">
        <v>42</v>
      </c>
      <c r="AS6" s="11" t="s">
        <v>39</v>
      </c>
      <c r="AT6" s="11" t="s">
        <v>40</v>
      </c>
      <c r="AU6" s="11" t="s">
        <v>41</v>
      </c>
      <c r="AV6" s="11" t="s">
        <v>42</v>
      </c>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row>
    <row r="7" spans="1:708" s="21" customFormat="1" ht="55.5" customHeight="1" x14ac:dyDescent="0.25">
      <c r="A7" s="768" t="s">
        <v>43</v>
      </c>
      <c r="B7" s="694" t="s">
        <v>44</v>
      </c>
      <c r="C7" s="696" t="s">
        <v>45</v>
      </c>
      <c r="D7" s="762" t="s">
        <v>46</v>
      </c>
      <c r="E7" s="762" t="s">
        <v>47</v>
      </c>
      <c r="F7" s="762" t="s">
        <v>48</v>
      </c>
      <c r="G7" s="762" t="s">
        <v>49</v>
      </c>
      <c r="H7" s="762" t="s">
        <v>50</v>
      </c>
      <c r="I7" s="762" t="s">
        <v>51</v>
      </c>
      <c r="J7" s="762" t="s">
        <v>52</v>
      </c>
      <c r="K7" s="762" t="s">
        <v>53</v>
      </c>
      <c r="L7" s="762" t="s">
        <v>54</v>
      </c>
      <c r="M7" s="762" t="s">
        <v>55</v>
      </c>
      <c r="N7" s="762" t="s">
        <v>56</v>
      </c>
      <c r="O7" s="762"/>
      <c r="P7" s="762">
        <v>480</v>
      </c>
      <c r="Q7" s="14" t="s">
        <v>57</v>
      </c>
      <c r="R7" s="14" t="s">
        <v>58</v>
      </c>
      <c r="S7" s="15" t="s">
        <v>56</v>
      </c>
      <c r="T7" s="15"/>
      <c r="U7" s="15">
        <v>139</v>
      </c>
      <c r="V7" s="1011">
        <v>7066011455</v>
      </c>
      <c r="W7" s="1008">
        <v>48447003636</v>
      </c>
      <c r="X7" s="16" t="s">
        <v>59</v>
      </c>
      <c r="Y7" s="756">
        <v>41</v>
      </c>
      <c r="Z7" s="756">
        <f>+P7</f>
        <v>480</v>
      </c>
      <c r="AA7" s="758">
        <f>+Y7/Z7</f>
        <v>8.5416666666666669E-2</v>
      </c>
      <c r="AB7" s="760" t="s">
        <v>60</v>
      </c>
      <c r="AC7" s="15">
        <v>6</v>
      </c>
      <c r="AD7" s="15">
        <f>+U7</f>
        <v>139</v>
      </c>
      <c r="AE7" s="17">
        <f>+AC7/AD7</f>
        <v>4.3165467625899283E-2</v>
      </c>
      <c r="AF7" s="15" t="s">
        <v>61</v>
      </c>
      <c r="AG7" s="749">
        <v>77</v>
      </c>
      <c r="AH7" s="749">
        <v>480</v>
      </c>
      <c r="AI7" s="751">
        <v>0.16041666666666668</v>
      </c>
      <c r="AJ7" s="747" t="s">
        <v>62</v>
      </c>
      <c r="AK7" s="18">
        <v>17</v>
      </c>
      <c r="AL7" s="18">
        <v>139</v>
      </c>
      <c r="AM7" s="19">
        <v>0.1223021582733813</v>
      </c>
      <c r="AN7" s="18" t="s">
        <v>63</v>
      </c>
      <c r="AO7" s="749">
        <v>108</v>
      </c>
      <c r="AP7" s="749">
        <f>+P7</f>
        <v>480</v>
      </c>
      <c r="AQ7" s="751">
        <f>+AO7/AP7</f>
        <v>0.22500000000000001</v>
      </c>
      <c r="AR7" s="747" t="s">
        <v>64</v>
      </c>
      <c r="AS7" s="18">
        <v>20</v>
      </c>
      <c r="AT7" s="18">
        <f>+U7</f>
        <v>139</v>
      </c>
      <c r="AU7" s="19">
        <f>+AS7/AT7</f>
        <v>0.14388489208633093</v>
      </c>
      <c r="AV7" s="18" t="s">
        <v>65</v>
      </c>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c r="ZQ7" s="20"/>
      <c r="ZR7" s="20"/>
      <c r="ZS7" s="20"/>
      <c r="ZT7" s="20"/>
      <c r="ZU7" s="20"/>
      <c r="ZV7" s="20"/>
      <c r="ZW7" s="20"/>
      <c r="ZX7" s="20"/>
      <c r="ZY7" s="20"/>
      <c r="ZZ7" s="20"/>
      <c r="AAA7" s="20"/>
      <c r="AAB7" s="20"/>
      <c r="AAC7" s="20"/>
      <c r="AAD7" s="20"/>
      <c r="AAE7" s="20"/>
      <c r="AAF7" s="20"/>
    </row>
    <row r="8" spans="1:708" s="31" customFormat="1" ht="55.5" customHeight="1" x14ac:dyDescent="0.25">
      <c r="A8" s="693"/>
      <c r="B8" s="695"/>
      <c r="C8" s="716"/>
      <c r="D8" s="763"/>
      <c r="E8" s="763"/>
      <c r="F8" s="763"/>
      <c r="G8" s="763"/>
      <c r="H8" s="763"/>
      <c r="I8" s="763"/>
      <c r="J8" s="763"/>
      <c r="K8" s="763"/>
      <c r="L8" s="763"/>
      <c r="M8" s="763"/>
      <c r="N8" s="763"/>
      <c r="O8" s="763"/>
      <c r="P8" s="763"/>
      <c r="Q8" s="22" t="s">
        <v>66</v>
      </c>
      <c r="R8" s="22" t="s">
        <v>67</v>
      </c>
      <c r="S8" s="23" t="s">
        <v>56</v>
      </c>
      <c r="T8" s="23"/>
      <c r="U8" s="23">
        <v>436</v>
      </c>
      <c r="V8" s="1013"/>
      <c r="W8" s="1009"/>
      <c r="X8" s="24" t="s">
        <v>59</v>
      </c>
      <c r="Y8" s="757"/>
      <c r="Z8" s="757"/>
      <c r="AA8" s="759"/>
      <c r="AB8" s="761"/>
      <c r="AC8" s="25">
        <v>24</v>
      </c>
      <c r="AD8" s="25">
        <f>+U8</f>
        <v>436</v>
      </c>
      <c r="AE8" s="26">
        <f>+AC8/AD8</f>
        <v>5.5045871559633031E-2</v>
      </c>
      <c r="AF8" s="27" t="s">
        <v>68</v>
      </c>
      <c r="AG8" s="750"/>
      <c r="AH8" s="750"/>
      <c r="AI8" s="752"/>
      <c r="AJ8" s="748"/>
      <c r="AK8" s="28">
        <v>52</v>
      </c>
      <c r="AL8" s="28">
        <v>436</v>
      </c>
      <c r="AM8" s="29">
        <v>0.11926605504587157</v>
      </c>
      <c r="AN8" s="30" t="s">
        <v>69</v>
      </c>
      <c r="AO8" s="750"/>
      <c r="AP8" s="750"/>
      <c r="AQ8" s="752"/>
      <c r="AR8" s="748"/>
      <c r="AS8" s="28">
        <v>77</v>
      </c>
      <c r="AT8" s="28">
        <f>+U8</f>
        <v>436</v>
      </c>
      <c r="AU8" s="29">
        <f>+AS8/AT8</f>
        <v>0.17660550458715596</v>
      </c>
      <c r="AV8" s="30" t="s">
        <v>70</v>
      </c>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row>
    <row r="9" spans="1:708" s="21" customFormat="1" ht="70.5" customHeight="1" x14ac:dyDescent="0.25">
      <c r="A9" s="693"/>
      <c r="B9" s="695"/>
      <c r="C9" s="14" t="s">
        <v>45</v>
      </c>
      <c r="D9" s="14" t="s">
        <v>46</v>
      </c>
      <c r="E9" s="15" t="s">
        <v>71</v>
      </c>
      <c r="F9" s="15" t="s">
        <v>48</v>
      </c>
      <c r="G9" s="15" t="s">
        <v>49</v>
      </c>
      <c r="H9" s="14" t="s">
        <v>50</v>
      </c>
      <c r="I9" s="15" t="s">
        <v>51</v>
      </c>
      <c r="J9" s="15" t="s">
        <v>52</v>
      </c>
      <c r="K9" s="14" t="s">
        <v>53</v>
      </c>
      <c r="L9" s="14" t="s">
        <v>72</v>
      </c>
      <c r="M9" s="14" t="s">
        <v>73</v>
      </c>
      <c r="N9" s="15" t="s">
        <v>74</v>
      </c>
      <c r="O9" s="15"/>
      <c r="P9" s="32">
        <v>0.89</v>
      </c>
      <c r="Q9" s="33"/>
      <c r="R9" s="34"/>
      <c r="S9" s="35"/>
      <c r="T9" s="34"/>
      <c r="U9" s="36"/>
      <c r="V9" s="1013"/>
      <c r="W9" s="1009"/>
      <c r="X9" s="37" t="s">
        <v>59</v>
      </c>
      <c r="Y9" s="38">
        <f>16/16</f>
        <v>1</v>
      </c>
      <c r="Z9" s="38">
        <f>+P9</f>
        <v>0.89</v>
      </c>
      <c r="AA9" s="38">
        <f>+Y9/Z9</f>
        <v>1.1235955056179776</v>
      </c>
      <c r="AB9" s="39" t="s">
        <v>75</v>
      </c>
      <c r="AC9" s="753"/>
      <c r="AD9" s="754"/>
      <c r="AE9" s="754"/>
      <c r="AF9" s="755"/>
      <c r="AG9" s="40">
        <v>1</v>
      </c>
      <c r="AH9" s="40">
        <v>0.89</v>
      </c>
      <c r="AI9" s="40">
        <v>1.1235955056179776</v>
      </c>
      <c r="AJ9" s="41" t="s">
        <v>76</v>
      </c>
      <c r="AK9" s="739"/>
      <c r="AL9" s="740"/>
      <c r="AM9" s="740"/>
      <c r="AN9" s="741"/>
      <c r="AO9" s="40">
        <f>39/39</f>
        <v>1</v>
      </c>
      <c r="AP9" s="40">
        <f>+P9</f>
        <v>0.89</v>
      </c>
      <c r="AQ9" s="40">
        <f>+AO9/AP9</f>
        <v>1.1235955056179776</v>
      </c>
      <c r="AR9" s="41" t="s">
        <v>77</v>
      </c>
      <c r="AS9" s="739"/>
      <c r="AT9" s="740"/>
      <c r="AU9" s="740"/>
      <c r="AV9" s="741"/>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row>
    <row r="10" spans="1:708" s="31" customFormat="1" ht="51" customHeight="1" x14ac:dyDescent="0.25">
      <c r="A10" s="693"/>
      <c r="B10" s="695"/>
      <c r="C10" s="742" t="s">
        <v>45</v>
      </c>
      <c r="D10" s="742" t="s">
        <v>46</v>
      </c>
      <c r="E10" s="742" t="s">
        <v>47</v>
      </c>
      <c r="F10" s="742" t="s">
        <v>48</v>
      </c>
      <c r="G10" s="742" t="s">
        <v>49</v>
      </c>
      <c r="H10" s="742" t="s">
        <v>50</v>
      </c>
      <c r="I10" s="742" t="s">
        <v>78</v>
      </c>
      <c r="J10" s="742" t="s">
        <v>52</v>
      </c>
      <c r="K10" s="742" t="s">
        <v>53</v>
      </c>
      <c r="L10" s="742" t="s">
        <v>79</v>
      </c>
      <c r="M10" s="742" t="s">
        <v>80</v>
      </c>
      <c r="N10" s="742" t="s">
        <v>56</v>
      </c>
      <c r="O10" s="742"/>
      <c r="P10" s="742">
        <v>2488</v>
      </c>
      <c r="Q10" s="42" t="s">
        <v>81</v>
      </c>
      <c r="R10" s="42" t="s">
        <v>82</v>
      </c>
      <c r="S10" s="43" t="s">
        <v>56</v>
      </c>
      <c r="T10" s="42"/>
      <c r="U10" s="43">
        <v>989</v>
      </c>
      <c r="V10" s="1013"/>
      <c r="W10" s="1009"/>
      <c r="X10" s="24" t="s">
        <v>59</v>
      </c>
      <c r="Y10" s="765">
        <f>+Y18+Y26+Y34+Y42+Y50</f>
        <v>49</v>
      </c>
      <c r="Z10" s="721">
        <f>+P10</f>
        <v>2488</v>
      </c>
      <c r="AA10" s="724">
        <f>Y10/Z10</f>
        <v>1.9694533762057879E-2</v>
      </c>
      <c r="AB10" s="727" t="s">
        <v>83</v>
      </c>
      <c r="AC10" s="25">
        <f>+AC18+AC26+AC34+AC42+AC50</f>
        <v>87</v>
      </c>
      <c r="AD10" s="25">
        <f>+U10</f>
        <v>989</v>
      </c>
      <c r="AE10" s="26">
        <f>+AC10/AD10</f>
        <v>8.7967644084934279E-2</v>
      </c>
      <c r="AF10" s="27" t="s">
        <v>84</v>
      </c>
      <c r="AG10" s="730">
        <v>190</v>
      </c>
      <c r="AH10" s="733">
        <v>2488</v>
      </c>
      <c r="AI10" s="736">
        <v>7.6366559485530547E-2</v>
      </c>
      <c r="AJ10" s="744" t="s">
        <v>85</v>
      </c>
      <c r="AK10" s="28">
        <v>192</v>
      </c>
      <c r="AL10" s="28">
        <v>989</v>
      </c>
      <c r="AM10" s="29">
        <v>0.19413549039433772</v>
      </c>
      <c r="AN10" s="30" t="s">
        <v>86</v>
      </c>
      <c r="AO10" s="730">
        <f>+AO18+AO26+AO34+AO42+AO50</f>
        <v>340</v>
      </c>
      <c r="AP10" s="733">
        <f>+P10</f>
        <v>2488</v>
      </c>
      <c r="AQ10" s="736">
        <f>AO10/AP10</f>
        <v>0.13665594855305466</v>
      </c>
      <c r="AR10" s="744" t="s">
        <v>87</v>
      </c>
      <c r="AS10" s="28">
        <f>+AS18+AS26+AS34+AS42+AS50</f>
        <v>274</v>
      </c>
      <c r="AT10" s="28">
        <f>+U10</f>
        <v>989</v>
      </c>
      <c r="AU10" s="29">
        <f>+AS10/AT10</f>
        <v>0.27704752275025279</v>
      </c>
      <c r="AV10" s="30" t="s">
        <v>88</v>
      </c>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c r="ZQ10" s="20"/>
      <c r="ZR10" s="20"/>
      <c r="ZS10" s="20"/>
      <c r="ZT10" s="20"/>
      <c r="ZU10" s="20"/>
      <c r="ZV10" s="20"/>
      <c r="ZW10" s="20"/>
      <c r="ZX10" s="20"/>
      <c r="ZY10" s="20"/>
      <c r="ZZ10" s="20"/>
      <c r="AAA10" s="20"/>
      <c r="AAB10" s="20"/>
      <c r="AAC10" s="20"/>
      <c r="AAD10" s="20"/>
      <c r="AAE10" s="20"/>
      <c r="AAF10" s="20"/>
    </row>
    <row r="11" spans="1:708" s="21" customFormat="1" ht="38.25" customHeight="1" x14ac:dyDescent="0.25">
      <c r="A11" s="693"/>
      <c r="B11" s="695"/>
      <c r="C11" s="743"/>
      <c r="D11" s="743"/>
      <c r="E11" s="743"/>
      <c r="F11" s="743"/>
      <c r="G11" s="743"/>
      <c r="H11" s="743"/>
      <c r="I11" s="743"/>
      <c r="J11" s="743"/>
      <c r="K11" s="743"/>
      <c r="L11" s="743"/>
      <c r="M11" s="743"/>
      <c r="N11" s="743"/>
      <c r="O11" s="743"/>
      <c r="P11" s="764"/>
      <c r="Q11" s="14" t="s">
        <v>89</v>
      </c>
      <c r="R11" s="14" t="s">
        <v>90</v>
      </c>
      <c r="S11" s="15" t="s">
        <v>56</v>
      </c>
      <c r="T11" s="14"/>
      <c r="U11" s="15">
        <v>2355</v>
      </c>
      <c r="V11" s="1013"/>
      <c r="W11" s="1009"/>
      <c r="X11" s="16" t="s">
        <v>59</v>
      </c>
      <c r="Y11" s="766"/>
      <c r="Z11" s="722"/>
      <c r="AA11" s="725"/>
      <c r="AB11" s="728"/>
      <c r="AC11" s="15">
        <f>+AC19+AC27+AC35+AC43+AC51+AC20+AC28+AC36+AC44+AC52</f>
        <v>65</v>
      </c>
      <c r="AD11" s="15">
        <f>+U11</f>
        <v>2355</v>
      </c>
      <c r="AE11" s="17">
        <f>+AC11/AD11</f>
        <v>2.7600849256900213E-2</v>
      </c>
      <c r="AF11" s="15" t="s">
        <v>91</v>
      </c>
      <c r="AG11" s="731"/>
      <c r="AH11" s="734"/>
      <c r="AI11" s="737"/>
      <c r="AJ11" s="745"/>
      <c r="AK11" s="18">
        <v>224</v>
      </c>
      <c r="AL11" s="18">
        <v>2355</v>
      </c>
      <c r="AM11" s="19">
        <v>9.51167728237792E-2</v>
      </c>
      <c r="AN11" s="18" t="s">
        <v>92</v>
      </c>
      <c r="AO11" s="731"/>
      <c r="AP11" s="734"/>
      <c r="AQ11" s="737"/>
      <c r="AR11" s="745"/>
      <c r="AS11" s="18">
        <f>+AS19+AS27+AS35+AS43+AS51+AS20+AS28+AS36+AS44+AS52</f>
        <v>450</v>
      </c>
      <c r="AT11" s="18">
        <f>+U11</f>
        <v>2355</v>
      </c>
      <c r="AU11" s="19">
        <f>+AS11/AT11</f>
        <v>0.19108280254777071</v>
      </c>
      <c r="AV11" s="18" t="s">
        <v>93</v>
      </c>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row>
    <row r="12" spans="1:708" s="31" customFormat="1" ht="45" customHeight="1" x14ac:dyDescent="0.25">
      <c r="A12" s="693"/>
      <c r="B12" s="695"/>
      <c r="C12" s="743"/>
      <c r="D12" s="743"/>
      <c r="E12" s="743"/>
      <c r="F12" s="743"/>
      <c r="G12" s="743"/>
      <c r="H12" s="743"/>
      <c r="I12" s="743"/>
      <c r="J12" s="743"/>
      <c r="K12" s="743"/>
      <c r="L12" s="743"/>
      <c r="M12" s="743"/>
      <c r="N12" s="743"/>
      <c r="O12" s="743"/>
      <c r="P12" s="743"/>
      <c r="Q12" s="22" t="s">
        <v>94</v>
      </c>
      <c r="R12" s="22" t="s">
        <v>95</v>
      </c>
      <c r="S12" s="23" t="s">
        <v>74</v>
      </c>
      <c r="T12" s="22"/>
      <c r="U12" s="44">
        <v>0.75</v>
      </c>
      <c r="V12" s="1013"/>
      <c r="W12" s="1009"/>
      <c r="X12" s="45" t="s">
        <v>59</v>
      </c>
      <c r="Y12" s="767"/>
      <c r="Z12" s="723"/>
      <c r="AA12" s="726"/>
      <c r="AB12" s="729"/>
      <c r="AC12" s="46">
        <f>(0/8)</f>
        <v>0</v>
      </c>
      <c r="AD12" s="47">
        <f>+U12</f>
        <v>0.75</v>
      </c>
      <c r="AE12" s="48">
        <f>+AC12/AD12</f>
        <v>0</v>
      </c>
      <c r="AF12" s="23" t="s">
        <v>96</v>
      </c>
      <c r="AG12" s="732"/>
      <c r="AH12" s="735"/>
      <c r="AI12" s="738"/>
      <c r="AJ12" s="746"/>
      <c r="AK12" s="49">
        <v>0.76190476190476186</v>
      </c>
      <c r="AL12" s="50">
        <v>0.75</v>
      </c>
      <c r="AM12" s="49">
        <v>1.0158730158730158</v>
      </c>
      <c r="AN12" s="51" t="s">
        <v>97</v>
      </c>
      <c r="AO12" s="732"/>
      <c r="AP12" s="735"/>
      <c r="AQ12" s="738"/>
      <c r="AR12" s="746"/>
      <c r="AS12" s="49">
        <f>(27/48)</f>
        <v>0.5625</v>
      </c>
      <c r="AT12" s="50">
        <f>+U12</f>
        <v>0.75</v>
      </c>
      <c r="AU12" s="49">
        <f>+AS12/AT12</f>
        <v>0.75</v>
      </c>
      <c r="AV12" s="51" t="s">
        <v>98</v>
      </c>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c r="ZQ12" s="20"/>
      <c r="ZR12" s="20"/>
      <c r="ZS12" s="20"/>
      <c r="ZT12" s="20"/>
      <c r="ZU12" s="20"/>
      <c r="ZV12" s="20"/>
      <c r="ZW12" s="20"/>
      <c r="ZX12" s="20"/>
      <c r="ZY12" s="20"/>
      <c r="ZZ12" s="20"/>
      <c r="AAA12" s="20"/>
      <c r="AAB12" s="20"/>
      <c r="AAC12" s="20"/>
      <c r="AAD12" s="20"/>
      <c r="AAE12" s="20"/>
      <c r="AAF12" s="20"/>
    </row>
    <row r="13" spans="1:708" s="21" customFormat="1" ht="57" customHeight="1" x14ac:dyDescent="0.25">
      <c r="A13" s="52"/>
      <c r="B13" s="52"/>
      <c r="C13" s="52"/>
      <c r="D13" s="52"/>
      <c r="E13" s="52"/>
      <c r="F13" s="52"/>
      <c r="G13" s="52"/>
      <c r="H13" s="52"/>
      <c r="I13" s="52"/>
      <c r="J13" s="52"/>
      <c r="K13" s="52"/>
      <c r="L13" s="52"/>
      <c r="M13" s="52"/>
      <c r="N13" s="52"/>
      <c r="O13" s="52"/>
      <c r="P13" s="53"/>
      <c r="Q13" s="52"/>
      <c r="R13" s="52"/>
      <c r="S13" s="53"/>
      <c r="T13" s="52"/>
      <c r="U13" s="52"/>
      <c r="V13" s="54"/>
      <c r="W13" s="1009"/>
      <c r="X13" s="52"/>
      <c r="Y13" s="657" t="s">
        <v>99</v>
      </c>
      <c r="Z13" s="657"/>
      <c r="AA13" s="55">
        <f>AVERAGE(AA7:AA12)</f>
        <v>0.40956890201556745</v>
      </c>
      <c r="AB13" s="56"/>
      <c r="AC13" s="685" t="s">
        <v>100</v>
      </c>
      <c r="AD13" s="685"/>
      <c r="AE13" s="57">
        <f>AVERAGE(AE7,AE8,AE10,AE11,AE12)</f>
        <v>4.2755966505473364E-2</v>
      </c>
      <c r="AF13" s="58"/>
      <c r="AG13" s="658" t="s">
        <v>99</v>
      </c>
      <c r="AH13" s="658"/>
      <c r="AI13" s="59">
        <v>0.45345957725672492</v>
      </c>
      <c r="AJ13" s="60"/>
      <c r="AK13" s="686" t="s">
        <v>100</v>
      </c>
      <c r="AL13" s="686"/>
      <c r="AM13" s="61">
        <v>0.30933869848207712</v>
      </c>
      <c r="AN13" s="62"/>
      <c r="AO13" s="657" t="s">
        <v>99</v>
      </c>
      <c r="AP13" s="657"/>
      <c r="AQ13" s="55">
        <f>AVERAGE(AQ7:AQ12)</f>
        <v>0.49508381805701079</v>
      </c>
      <c r="AR13" s="56"/>
      <c r="AS13" s="685" t="s">
        <v>100</v>
      </c>
      <c r="AT13" s="685"/>
      <c r="AU13" s="57">
        <f>AVERAGE(AU7,AU8,AU10,AU11,AU12)</f>
        <v>0.30772414439430207</v>
      </c>
      <c r="AV13" s="58"/>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c r="ZQ13" s="20"/>
      <c r="ZR13" s="20"/>
      <c r="ZS13" s="20"/>
      <c r="ZT13" s="20"/>
      <c r="ZU13" s="20"/>
      <c r="ZV13" s="20"/>
      <c r="ZW13" s="20"/>
      <c r="ZX13" s="20"/>
      <c r="ZY13" s="20"/>
      <c r="ZZ13" s="20"/>
      <c r="AAA13" s="20"/>
      <c r="AAB13" s="20"/>
      <c r="AAC13" s="20"/>
      <c r="AAD13" s="20"/>
      <c r="AAE13" s="20"/>
      <c r="AAF13" s="20"/>
    </row>
    <row r="14" spans="1:708" s="69" customFormat="1" ht="54" customHeight="1" x14ac:dyDescent="0.25">
      <c r="A14" s="693" t="s">
        <v>43</v>
      </c>
      <c r="B14" s="714" t="s">
        <v>44</v>
      </c>
      <c r="C14" s="696" t="s">
        <v>45</v>
      </c>
      <c r="D14" s="696" t="s">
        <v>46</v>
      </c>
      <c r="E14" s="696" t="s">
        <v>47</v>
      </c>
      <c r="F14" s="696" t="s">
        <v>48</v>
      </c>
      <c r="G14" s="696" t="s">
        <v>49</v>
      </c>
      <c r="H14" s="696" t="s">
        <v>50</v>
      </c>
      <c r="I14" s="711" t="s">
        <v>51</v>
      </c>
      <c r="J14" s="690" t="s">
        <v>52</v>
      </c>
      <c r="K14" s="690" t="s">
        <v>101</v>
      </c>
      <c r="L14" s="690" t="s">
        <v>54</v>
      </c>
      <c r="M14" s="690" t="s">
        <v>55</v>
      </c>
      <c r="N14" s="690" t="s">
        <v>56</v>
      </c>
      <c r="O14" s="690"/>
      <c r="P14" s="690">
        <v>80</v>
      </c>
      <c r="Q14" s="63" t="s">
        <v>57</v>
      </c>
      <c r="R14" s="63" t="s">
        <v>58</v>
      </c>
      <c r="S14" s="64" t="s">
        <v>56</v>
      </c>
      <c r="T14" s="64">
        <v>34</v>
      </c>
      <c r="U14" s="64">
        <v>45</v>
      </c>
      <c r="V14" s="1012">
        <v>12333210569</v>
      </c>
      <c r="W14" s="1009"/>
      <c r="X14" s="24" t="s">
        <v>102</v>
      </c>
      <c r="Y14" s="690">
        <v>3</v>
      </c>
      <c r="Z14" s="690">
        <f>+P14</f>
        <v>80</v>
      </c>
      <c r="AA14" s="700">
        <f>Y14/Z14</f>
        <v>3.7499999999999999E-2</v>
      </c>
      <c r="AB14" s="690" t="s">
        <v>103</v>
      </c>
      <c r="AC14" s="64">
        <v>3</v>
      </c>
      <c r="AD14" s="64">
        <f t="shared" ref="AD14:AD20" si="0">+U14</f>
        <v>45</v>
      </c>
      <c r="AE14" s="65">
        <f>AC14/AD14</f>
        <v>6.6666666666666666E-2</v>
      </c>
      <c r="AF14" s="64" t="s">
        <v>104</v>
      </c>
      <c r="AG14" s="689">
        <v>8</v>
      </c>
      <c r="AH14" s="689">
        <v>80</v>
      </c>
      <c r="AI14" s="692">
        <v>0.1</v>
      </c>
      <c r="AJ14" s="689" t="s">
        <v>105</v>
      </c>
      <c r="AK14" s="66">
        <v>3</v>
      </c>
      <c r="AL14" s="66">
        <v>45</v>
      </c>
      <c r="AM14" s="67">
        <v>6.6666666666666666E-2</v>
      </c>
      <c r="AN14" s="66" t="s">
        <v>106</v>
      </c>
      <c r="AO14" s="689">
        <v>11</v>
      </c>
      <c r="AP14" s="689">
        <f>+P14</f>
        <v>80</v>
      </c>
      <c r="AQ14" s="692">
        <f>AO14/AP14</f>
        <v>0.13750000000000001</v>
      </c>
      <c r="AR14" s="689" t="s">
        <v>107</v>
      </c>
      <c r="AS14" s="66">
        <v>3</v>
      </c>
      <c r="AT14" s="66">
        <f t="shared" ref="AT14:AT20" si="1">+U14</f>
        <v>45</v>
      </c>
      <c r="AU14" s="67">
        <f>AS14/AT14</f>
        <v>6.6666666666666666E-2</v>
      </c>
      <c r="AV14" s="66" t="s">
        <v>108</v>
      </c>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c r="DL14" s="68"/>
      <c r="DM14" s="68"/>
      <c r="DN14" s="68"/>
      <c r="DO14" s="68"/>
      <c r="DP14" s="68"/>
      <c r="DQ14" s="68"/>
      <c r="DR14" s="68"/>
      <c r="DS14" s="68"/>
      <c r="DT14" s="68"/>
      <c r="DU14" s="68"/>
      <c r="DV14" s="68"/>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c r="EU14" s="68"/>
      <c r="EV14" s="68"/>
      <c r="EW14" s="68"/>
      <c r="EX14" s="68"/>
      <c r="EY14" s="68"/>
      <c r="EZ14" s="68"/>
      <c r="FA14" s="68"/>
      <c r="FB14" s="68"/>
      <c r="FC14" s="68"/>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c r="HY14" s="68"/>
      <c r="HZ14" s="68"/>
      <c r="IA14" s="68"/>
      <c r="IB14" s="68"/>
      <c r="IC14" s="68"/>
      <c r="ID14" s="68"/>
      <c r="IE14" s="68"/>
      <c r="IF14" s="68"/>
      <c r="IG14" s="68"/>
      <c r="IH14" s="68"/>
      <c r="II14" s="68"/>
      <c r="IJ14" s="68"/>
      <c r="IK14" s="68"/>
      <c r="IL14" s="68"/>
      <c r="IM14" s="68"/>
      <c r="IN14" s="68"/>
      <c r="IO14" s="68"/>
      <c r="IP14" s="68"/>
      <c r="IQ14" s="68"/>
      <c r="IR14" s="68"/>
      <c r="IS14" s="68"/>
      <c r="IT14" s="68"/>
      <c r="IU14" s="68"/>
      <c r="IV14" s="68"/>
      <c r="IW14" s="68"/>
      <c r="IX14" s="68"/>
      <c r="IY14" s="68"/>
      <c r="IZ14" s="68"/>
      <c r="JA14" s="68"/>
      <c r="JB14" s="68"/>
      <c r="JC14" s="68"/>
      <c r="JD14" s="68"/>
      <c r="JE14" s="68"/>
      <c r="JF14" s="68"/>
      <c r="JG14" s="68"/>
      <c r="JH14" s="68"/>
      <c r="JI14" s="68"/>
      <c r="JJ14" s="68"/>
      <c r="JK14" s="68"/>
      <c r="JL14" s="68"/>
      <c r="JM14" s="68"/>
      <c r="JN14" s="68"/>
      <c r="JO14" s="68"/>
      <c r="JP14" s="68"/>
      <c r="JQ14" s="68"/>
      <c r="JR14" s="68"/>
      <c r="JS14" s="68"/>
      <c r="JT14" s="68"/>
      <c r="JU14" s="68"/>
      <c r="JV14" s="68"/>
      <c r="JW14" s="68"/>
      <c r="JX14" s="68"/>
      <c r="JY14" s="68"/>
      <c r="JZ14" s="68"/>
      <c r="KA14" s="68"/>
      <c r="KB14" s="68"/>
      <c r="KC14" s="68"/>
      <c r="KD14" s="68"/>
      <c r="KE14" s="68"/>
      <c r="KF14" s="68"/>
      <c r="KG14" s="68"/>
      <c r="KH14" s="68"/>
      <c r="KI14" s="68"/>
      <c r="KJ14" s="68"/>
      <c r="KK14" s="68"/>
      <c r="KL14" s="68"/>
      <c r="KM14" s="68"/>
      <c r="KN14" s="68"/>
      <c r="KO14" s="68"/>
      <c r="KP14" s="68"/>
      <c r="KQ14" s="68"/>
      <c r="KR14" s="68"/>
      <c r="KS14" s="68"/>
      <c r="KT14" s="68"/>
      <c r="KU14" s="68"/>
      <c r="KV14" s="68"/>
      <c r="KW14" s="68"/>
      <c r="KX14" s="68"/>
      <c r="KY14" s="68"/>
      <c r="KZ14" s="68"/>
      <c r="LA14" s="68"/>
      <c r="LB14" s="68"/>
      <c r="LC14" s="68"/>
      <c r="LD14" s="68"/>
      <c r="LE14" s="68"/>
      <c r="LF14" s="68"/>
      <c r="LG14" s="68"/>
      <c r="LH14" s="68"/>
      <c r="LI14" s="68"/>
      <c r="LJ14" s="68"/>
      <c r="LK14" s="68"/>
      <c r="LL14" s="68"/>
      <c r="LM14" s="68"/>
      <c r="LN14" s="68"/>
      <c r="LO14" s="68"/>
      <c r="LP14" s="68"/>
      <c r="LQ14" s="68"/>
      <c r="LR14" s="68"/>
      <c r="LS14" s="68"/>
      <c r="LT14" s="68"/>
      <c r="LU14" s="68"/>
      <c r="LV14" s="68"/>
      <c r="LW14" s="68"/>
      <c r="LX14" s="68"/>
      <c r="LY14" s="68"/>
      <c r="LZ14" s="68"/>
      <c r="MA14" s="68"/>
      <c r="MB14" s="68"/>
      <c r="MC14" s="68"/>
      <c r="MD14" s="68"/>
      <c r="ME14" s="68"/>
      <c r="MF14" s="68"/>
      <c r="MG14" s="68"/>
      <c r="MH14" s="68"/>
      <c r="MI14" s="68"/>
      <c r="MJ14" s="68"/>
      <c r="MK14" s="68"/>
      <c r="ML14" s="68"/>
      <c r="MM14" s="68"/>
      <c r="MN14" s="68"/>
      <c r="MO14" s="68"/>
      <c r="MP14" s="68"/>
      <c r="MQ14" s="68"/>
      <c r="MR14" s="68"/>
      <c r="MS14" s="68"/>
      <c r="MT14" s="68"/>
      <c r="MU14" s="68"/>
      <c r="MV14" s="68"/>
      <c r="MW14" s="68"/>
      <c r="MX14" s="68"/>
      <c r="MY14" s="68"/>
      <c r="MZ14" s="68"/>
      <c r="NA14" s="68"/>
      <c r="NB14" s="68"/>
      <c r="NC14" s="68"/>
      <c r="ND14" s="68"/>
      <c r="NE14" s="68"/>
      <c r="NF14" s="68"/>
      <c r="NG14" s="68"/>
      <c r="NH14" s="68"/>
      <c r="NI14" s="68"/>
      <c r="NJ14" s="68"/>
      <c r="NK14" s="68"/>
      <c r="NL14" s="68"/>
      <c r="NM14" s="68"/>
      <c r="NN14" s="68"/>
      <c r="NO14" s="68"/>
      <c r="NP14" s="68"/>
      <c r="NQ14" s="68"/>
      <c r="NR14" s="68"/>
      <c r="NS14" s="68"/>
      <c r="NT14" s="68"/>
      <c r="NU14" s="68"/>
      <c r="NV14" s="68"/>
      <c r="NW14" s="68"/>
      <c r="NX14" s="68"/>
      <c r="NY14" s="68"/>
      <c r="NZ14" s="68"/>
      <c r="OA14" s="68"/>
      <c r="OB14" s="68"/>
      <c r="OC14" s="68"/>
      <c r="OD14" s="68"/>
      <c r="OE14" s="68"/>
      <c r="OF14" s="68"/>
      <c r="OG14" s="68"/>
      <c r="OH14" s="68"/>
      <c r="OI14" s="68"/>
      <c r="OJ14" s="68"/>
      <c r="OK14" s="68"/>
      <c r="OL14" s="68"/>
      <c r="OM14" s="68"/>
      <c r="ON14" s="68"/>
      <c r="OO14" s="68"/>
      <c r="OP14" s="68"/>
      <c r="OQ14" s="68"/>
      <c r="OR14" s="68"/>
      <c r="OS14" s="68"/>
      <c r="OT14" s="68"/>
      <c r="OU14" s="68"/>
      <c r="OV14" s="68"/>
      <c r="OW14" s="68"/>
      <c r="OX14" s="68"/>
      <c r="OY14" s="68"/>
      <c r="OZ14" s="68"/>
      <c r="PA14" s="68"/>
      <c r="PB14" s="68"/>
      <c r="PC14" s="68"/>
      <c r="PD14" s="68"/>
      <c r="PE14" s="68"/>
      <c r="PF14" s="68"/>
      <c r="PG14" s="68"/>
      <c r="PH14" s="68"/>
      <c r="PI14" s="68"/>
      <c r="PJ14" s="68"/>
      <c r="PK14" s="68"/>
      <c r="PL14" s="68"/>
      <c r="PM14" s="68"/>
      <c r="PN14" s="68"/>
      <c r="PO14" s="68"/>
      <c r="PP14" s="68"/>
      <c r="PQ14" s="68"/>
      <c r="PR14" s="68"/>
      <c r="PS14" s="68"/>
      <c r="PT14" s="68"/>
      <c r="PU14" s="68"/>
      <c r="PV14" s="68"/>
      <c r="PW14" s="68"/>
      <c r="PX14" s="68"/>
      <c r="PY14" s="68"/>
      <c r="PZ14" s="68"/>
      <c r="QA14" s="68"/>
      <c r="QB14" s="68"/>
      <c r="QC14" s="68"/>
      <c r="QD14" s="68"/>
      <c r="QE14" s="68"/>
      <c r="QF14" s="68"/>
      <c r="QG14" s="68"/>
      <c r="QH14" s="68"/>
      <c r="QI14" s="68"/>
      <c r="QJ14" s="68"/>
      <c r="QK14" s="68"/>
      <c r="QL14" s="68"/>
      <c r="QM14" s="68"/>
      <c r="QN14" s="68"/>
      <c r="QO14" s="68"/>
      <c r="QP14" s="68"/>
      <c r="QQ14" s="68"/>
      <c r="QR14" s="68"/>
      <c r="QS14" s="68"/>
      <c r="QT14" s="68"/>
      <c r="QU14" s="68"/>
      <c r="QV14" s="68"/>
      <c r="QW14" s="68"/>
      <c r="QX14" s="68"/>
      <c r="QY14" s="68"/>
      <c r="QZ14" s="68"/>
      <c r="RA14" s="68"/>
      <c r="RB14" s="68"/>
      <c r="RC14" s="68"/>
      <c r="RD14" s="68"/>
      <c r="RE14" s="68"/>
      <c r="RF14" s="68"/>
      <c r="RG14" s="68"/>
      <c r="RH14" s="68"/>
      <c r="RI14" s="68"/>
      <c r="RJ14" s="68"/>
      <c r="RK14" s="68"/>
      <c r="RL14" s="68"/>
      <c r="RM14" s="68"/>
      <c r="RN14" s="68"/>
      <c r="RO14" s="68"/>
      <c r="RP14" s="68"/>
      <c r="RQ14" s="68"/>
      <c r="RR14" s="68"/>
      <c r="RS14" s="68"/>
      <c r="RT14" s="68"/>
      <c r="RU14" s="68"/>
      <c r="RV14" s="68"/>
      <c r="RW14" s="68"/>
      <c r="RX14" s="68"/>
      <c r="RY14" s="68"/>
      <c r="RZ14" s="68"/>
      <c r="SA14" s="68"/>
      <c r="SB14" s="68"/>
      <c r="SC14" s="68"/>
      <c r="SD14" s="68"/>
      <c r="SE14" s="68"/>
      <c r="SF14" s="68"/>
      <c r="SG14" s="68"/>
      <c r="SH14" s="68"/>
      <c r="SI14" s="68"/>
      <c r="SJ14" s="68"/>
      <c r="SK14" s="68"/>
      <c r="SL14" s="68"/>
      <c r="SM14" s="68"/>
      <c r="SN14" s="68"/>
      <c r="SO14" s="68"/>
      <c r="SP14" s="68"/>
      <c r="SQ14" s="68"/>
      <c r="SR14" s="68"/>
      <c r="SS14" s="68"/>
      <c r="ST14" s="68"/>
      <c r="SU14" s="68"/>
      <c r="SV14" s="68"/>
      <c r="SW14" s="68"/>
      <c r="SX14" s="68"/>
      <c r="SY14" s="68"/>
      <c r="SZ14" s="68"/>
      <c r="TA14" s="68"/>
      <c r="TB14" s="68"/>
      <c r="TC14" s="68"/>
      <c r="TD14" s="68"/>
      <c r="TE14" s="68"/>
      <c r="TF14" s="68"/>
      <c r="TG14" s="68"/>
      <c r="TH14" s="68"/>
      <c r="TI14" s="68"/>
      <c r="TJ14" s="68"/>
      <c r="TK14" s="68"/>
      <c r="TL14" s="68"/>
      <c r="TM14" s="68"/>
      <c r="TN14" s="68"/>
      <c r="TO14" s="68"/>
      <c r="TP14" s="68"/>
      <c r="TQ14" s="68"/>
      <c r="TR14" s="68"/>
      <c r="TS14" s="68"/>
      <c r="TT14" s="68"/>
      <c r="TU14" s="68"/>
      <c r="TV14" s="68"/>
      <c r="TW14" s="68"/>
      <c r="TX14" s="68"/>
      <c r="TY14" s="68"/>
      <c r="TZ14" s="68"/>
      <c r="UA14" s="68"/>
      <c r="UB14" s="68"/>
      <c r="UC14" s="68"/>
      <c r="UD14" s="68"/>
      <c r="UE14" s="68"/>
      <c r="UF14" s="68"/>
      <c r="UG14" s="68"/>
      <c r="UH14" s="68"/>
      <c r="UI14" s="68"/>
      <c r="UJ14" s="68"/>
      <c r="UK14" s="68"/>
      <c r="UL14" s="68"/>
      <c r="UM14" s="68"/>
      <c r="UN14" s="68"/>
      <c r="UO14" s="68"/>
      <c r="UP14" s="68"/>
      <c r="UQ14" s="68"/>
      <c r="UR14" s="68"/>
      <c r="US14" s="68"/>
      <c r="UT14" s="68"/>
      <c r="UU14" s="68"/>
      <c r="UV14" s="68"/>
      <c r="UW14" s="68"/>
      <c r="UX14" s="68"/>
      <c r="UY14" s="68"/>
      <c r="UZ14" s="68"/>
      <c r="VA14" s="68"/>
      <c r="VB14" s="68"/>
      <c r="VC14" s="68"/>
      <c r="VD14" s="68"/>
      <c r="VE14" s="68"/>
      <c r="VF14" s="68"/>
      <c r="VG14" s="68"/>
      <c r="VH14" s="68"/>
      <c r="VI14" s="68"/>
      <c r="VJ14" s="68"/>
      <c r="VK14" s="68"/>
      <c r="VL14" s="68"/>
      <c r="VM14" s="68"/>
      <c r="VN14" s="68"/>
      <c r="VO14" s="68"/>
      <c r="VP14" s="68"/>
      <c r="VQ14" s="68"/>
      <c r="VR14" s="68"/>
      <c r="VS14" s="68"/>
      <c r="VT14" s="68"/>
      <c r="VU14" s="68"/>
      <c r="VV14" s="68"/>
      <c r="VW14" s="68"/>
      <c r="VX14" s="68"/>
      <c r="VY14" s="68"/>
      <c r="VZ14" s="68"/>
      <c r="WA14" s="68"/>
      <c r="WB14" s="68"/>
      <c r="WC14" s="68"/>
      <c r="WD14" s="68"/>
      <c r="WE14" s="68"/>
      <c r="WF14" s="68"/>
      <c r="WG14" s="68"/>
      <c r="WH14" s="68"/>
      <c r="WI14" s="68"/>
      <c r="WJ14" s="68"/>
      <c r="WK14" s="68"/>
      <c r="WL14" s="68"/>
      <c r="WM14" s="68"/>
      <c r="WN14" s="68"/>
      <c r="WO14" s="68"/>
      <c r="WP14" s="68"/>
      <c r="WQ14" s="68"/>
      <c r="WR14" s="68"/>
      <c r="WS14" s="68"/>
      <c r="WT14" s="68"/>
      <c r="WU14" s="68"/>
      <c r="WV14" s="68"/>
      <c r="WW14" s="68"/>
      <c r="WX14" s="68"/>
      <c r="WY14" s="68"/>
      <c r="WZ14" s="68"/>
      <c r="XA14" s="68"/>
      <c r="XB14" s="68"/>
      <c r="XC14" s="68"/>
      <c r="XD14" s="68"/>
      <c r="XE14" s="68"/>
      <c r="XF14" s="68"/>
      <c r="XG14" s="68"/>
      <c r="XH14" s="68"/>
      <c r="XI14" s="68"/>
      <c r="XJ14" s="68"/>
      <c r="XK14" s="68"/>
      <c r="XL14" s="68"/>
      <c r="XM14" s="68"/>
      <c r="XN14" s="68"/>
      <c r="XO14" s="68"/>
      <c r="XP14" s="68"/>
      <c r="XQ14" s="68"/>
      <c r="XR14" s="68"/>
      <c r="XS14" s="68"/>
      <c r="XT14" s="68"/>
      <c r="XU14" s="68"/>
      <c r="XV14" s="68"/>
      <c r="XW14" s="68"/>
      <c r="XX14" s="68"/>
      <c r="XY14" s="68"/>
      <c r="XZ14" s="68"/>
      <c r="YA14" s="68"/>
      <c r="YB14" s="68"/>
      <c r="YC14" s="68"/>
      <c r="YD14" s="68"/>
      <c r="YE14" s="68"/>
      <c r="YF14" s="68"/>
      <c r="YG14" s="68"/>
      <c r="YH14" s="68"/>
      <c r="YI14" s="68"/>
      <c r="YJ14" s="68"/>
      <c r="YK14" s="68"/>
      <c r="YL14" s="68"/>
      <c r="YM14" s="68"/>
      <c r="YN14" s="68"/>
      <c r="YO14" s="68"/>
      <c r="YP14" s="68"/>
      <c r="YQ14" s="68"/>
      <c r="YR14" s="68"/>
      <c r="YS14" s="68"/>
      <c r="YT14" s="68"/>
      <c r="YU14" s="68"/>
      <c r="YV14" s="68"/>
      <c r="YW14" s="68"/>
      <c r="YX14" s="68"/>
      <c r="YY14" s="68"/>
      <c r="YZ14" s="68"/>
      <c r="ZA14" s="68"/>
      <c r="ZB14" s="68"/>
      <c r="ZC14" s="68"/>
      <c r="ZD14" s="68"/>
      <c r="ZE14" s="68"/>
      <c r="ZF14" s="68"/>
      <c r="ZG14" s="68"/>
      <c r="ZH14" s="68"/>
      <c r="ZI14" s="68"/>
      <c r="ZJ14" s="68"/>
      <c r="ZK14" s="68"/>
      <c r="ZL14" s="68"/>
      <c r="ZM14" s="68"/>
      <c r="ZN14" s="68"/>
      <c r="ZO14" s="68"/>
      <c r="ZP14" s="68"/>
      <c r="ZQ14" s="68"/>
      <c r="ZR14" s="68"/>
      <c r="ZS14" s="68"/>
      <c r="ZT14" s="68"/>
      <c r="ZU14" s="68"/>
      <c r="ZV14" s="68"/>
      <c r="ZW14" s="68"/>
      <c r="ZX14" s="68"/>
      <c r="ZY14" s="68"/>
      <c r="ZZ14" s="68"/>
      <c r="AAA14" s="68"/>
      <c r="AAB14" s="68"/>
      <c r="AAC14" s="68"/>
      <c r="AAD14" s="68"/>
      <c r="AAE14" s="68"/>
      <c r="AAF14" s="68"/>
    </row>
    <row r="15" spans="1:708" s="76" customFormat="1" ht="54" customHeight="1" x14ac:dyDescent="0.25">
      <c r="A15" s="693"/>
      <c r="B15" s="715"/>
      <c r="C15" s="716"/>
      <c r="D15" s="716"/>
      <c r="E15" s="716"/>
      <c r="F15" s="716"/>
      <c r="G15" s="716"/>
      <c r="H15" s="716"/>
      <c r="I15" s="717"/>
      <c r="J15" s="690"/>
      <c r="K15" s="690"/>
      <c r="L15" s="690"/>
      <c r="M15" s="690"/>
      <c r="N15" s="690"/>
      <c r="O15" s="690"/>
      <c r="P15" s="690"/>
      <c r="Q15" s="70" t="s">
        <v>66</v>
      </c>
      <c r="R15" s="70" t="s">
        <v>67</v>
      </c>
      <c r="S15" s="71" t="s">
        <v>56</v>
      </c>
      <c r="T15" s="71">
        <v>35</v>
      </c>
      <c r="U15" s="71">
        <v>60</v>
      </c>
      <c r="V15" s="1012"/>
      <c r="W15" s="1009"/>
      <c r="X15" s="72" t="s">
        <v>102</v>
      </c>
      <c r="Y15" s="690"/>
      <c r="Z15" s="690"/>
      <c r="AA15" s="700"/>
      <c r="AB15" s="690"/>
      <c r="AC15" s="71">
        <v>4</v>
      </c>
      <c r="AD15" s="71">
        <f t="shared" si="0"/>
        <v>60</v>
      </c>
      <c r="AE15" s="73">
        <f>+AC15/AD15</f>
        <v>6.6666666666666666E-2</v>
      </c>
      <c r="AF15" s="71" t="s">
        <v>109</v>
      </c>
      <c r="AG15" s="689"/>
      <c r="AH15" s="689"/>
      <c r="AI15" s="692"/>
      <c r="AJ15" s="689"/>
      <c r="AK15" s="74">
        <v>7</v>
      </c>
      <c r="AL15" s="74">
        <v>60</v>
      </c>
      <c r="AM15" s="75">
        <v>0.11666666666666667</v>
      </c>
      <c r="AN15" s="74" t="s">
        <v>110</v>
      </c>
      <c r="AO15" s="689"/>
      <c r="AP15" s="689"/>
      <c r="AQ15" s="692"/>
      <c r="AR15" s="689"/>
      <c r="AS15" s="74">
        <v>9</v>
      </c>
      <c r="AT15" s="74">
        <f t="shared" si="1"/>
        <v>60</v>
      </c>
      <c r="AU15" s="75">
        <f>+AS15/AT15</f>
        <v>0.15</v>
      </c>
      <c r="AV15" s="74" t="s">
        <v>111</v>
      </c>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68"/>
      <c r="IK15" s="68"/>
      <c r="IL15" s="68"/>
      <c r="IM15" s="68"/>
      <c r="IN15" s="68"/>
      <c r="IO15" s="68"/>
      <c r="IP15" s="68"/>
      <c r="IQ15" s="68"/>
      <c r="IR15" s="68"/>
      <c r="IS15" s="68"/>
      <c r="IT15" s="68"/>
      <c r="IU15" s="68"/>
      <c r="IV15" s="68"/>
      <c r="IW15" s="68"/>
      <c r="IX15" s="68"/>
      <c r="IY15" s="68"/>
      <c r="IZ15" s="68"/>
      <c r="JA15" s="68"/>
      <c r="JB15" s="68"/>
      <c r="JC15" s="68"/>
      <c r="JD15" s="68"/>
      <c r="JE15" s="68"/>
      <c r="JF15" s="68"/>
      <c r="JG15" s="68"/>
      <c r="JH15" s="68"/>
      <c r="JI15" s="68"/>
      <c r="JJ15" s="68"/>
      <c r="JK15" s="68"/>
      <c r="JL15" s="68"/>
      <c r="JM15" s="68"/>
      <c r="JN15" s="68"/>
      <c r="JO15" s="68"/>
      <c r="JP15" s="68"/>
      <c r="JQ15" s="68"/>
      <c r="JR15" s="68"/>
      <c r="JS15" s="68"/>
      <c r="JT15" s="68"/>
      <c r="JU15" s="68"/>
      <c r="JV15" s="68"/>
      <c r="JW15" s="68"/>
      <c r="JX15" s="68"/>
      <c r="JY15" s="68"/>
      <c r="JZ15" s="68"/>
      <c r="KA15" s="68"/>
      <c r="KB15" s="68"/>
      <c r="KC15" s="68"/>
      <c r="KD15" s="68"/>
      <c r="KE15" s="68"/>
      <c r="KF15" s="68"/>
      <c r="KG15" s="68"/>
      <c r="KH15" s="68"/>
      <c r="KI15" s="68"/>
      <c r="KJ15" s="68"/>
      <c r="KK15" s="68"/>
      <c r="KL15" s="68"/>
      <c r="KM15" s="68"/>
      <c r="KN15" s="68"/>
      <c r="KO15" s="68"/>
      <c r="KP15" s="68"/>
      <c r="KQ15" s="68"/>
      <c r="KR15" s="68"/>
      <c r="KS15" s="68"/>
      <c r="KT15" s="68"/>
      <c r="KU15" s="68"/>
      <c r="KV15" s="68"/>
      <c r="KW15" s="68"/>
      <c r="KX15" s="68"/>
      <c r="KY15" s="68"/>
      <c r="KZ15" s="68"/>
      <c r="LA15" s="68"/>
      <c r="LB15" s="68"/>
      <c r="LC15" s="68"/>
      <c r="LD15" s="68"/>
      <c r="LE15" s="68"/>
      <c r="LF15" s="68"/>
      <c r="LG15" s="68"/>
      <c r="LH15" s="68"/>
      <c r="LI15" s="68"/>
      <c r="LJ15" s="68"/>
      <c r="LK15" s="68"/>
      <c r="LL15" s="68"/>
      <c r="LM15" s="68"/>
      <c r="LN15" s="68"/>
      <c r="LO15" s="68"/>
      <c r="LP15" s="68"/>
      <c r="LQ15" s="68"/>
      <c r="LR15" s="68"/>
      <c r="LS15" s="68"/>
      <c r="LT15" s="68"/>
      <c r="LU15" s="68"/>
      <c r="LV15" s="68"/>
      <c r="LW15" s="68"/>
      <c r="LX15" s="68"/>
      <c r="LY15" s="68"/>
      <c r="LZ15" s="68"/>
      <c r="MA15" s="68"/>
      <c r="MB15" s="68"/>
      <c r="MC15" s="68"/>
      <c r="MD15" s="68"/>
      <c r="ME15" s="68"/>
      <c r="MF15" s="68"/>
      <c r="MG15" s="68"/>
      <c r="MH15" s="68"/>
      <c r="MI15" s="68"/>
      <c r="MJ15" s="68"/>
      <c r="MK15" s="68"/>
      <c r="ML15" s="68"/>
      <c r="MM15" s="68"/>
      <c r="MN15" s="68"/>
      <c r="MO15" s="68"/>
      <c r="MP15" s="68"/>
      <c r="MQ15" s="68"/>
      <c r="MR15" s="68"/>
      <c r="MS15" s="68"/>
      <c r="MT15" s="68"/>
      <c r="MU15" s="68"/>
      <c r="MV15" s="68"/>
      <c r="MW15" s="68"/>
      <c r="MX15" s="68"/>
      <c r="MY15" s="68"/>
      <c r="MZ15" s="68"/>
      <c r="NA15" s="68"/>
      <c r="NB15" s="68"/>
      <c r="NC15" s="68"/>
      <c r="ND15" s="68"/>
      <c r="NE15" s="68"/>
      <c r="NF15" s="68"/>
      <c r="NG15" s="68"/>
      <c r="NH15" s="68"/>
      <c r="NI15" s="68"/>
      <c r="NJ15" s="68"/>
      <c r="NK15" s="68"/>
      <c r="NL15" s="68"/>
      <c r="NM15" s="68"/>
      <c r="NN15" s="68"/>
      <c r="NO15" s="68"/>
      <c r="NP15" s="68"/>
      <c r="NQ15" s="68"/>
      <c r="NR15" s="68"/>
      <c r="NS15" s="68"/>
      <c r="NT15" s="68"/>
      <c r="NU15" s="68"/>
      <c r="NV15" s="68"/>
      <c r="NW15" s="68"/>
      <c r="NX15" s="68"/>
      <c r="NY15" s="68"/>
      <c r="NZ15" s="68"/>
      <c r="OA15" s="68"/>
      <c r="OB15" s="68"/>
      <c r="OC15" s="68"/>
      <c r="OD15" s="68"/>
      <c r="OE15" s="68"/>
      <c r="OF15" s="68"/>
      <c r="OG15" s="68"/>
      <c r="OH15" s="68"/>
      <c r="OI15" s="68"/>
      <c r="OJ15" s="68"/>
      <c r="OK15" s="68"/>
      <c r="OL15" s="68"/>
      <c r="OM15" s="68"/>
      <c r="ON15" s="68"/>
      <c r="OO15" s="68"/>
      <c r="OP15" s="68"/>
      <c r="OQ15" s="68"/>
      <c r="OR15" s="68"/>
      <c r="OS15" s="68"/>
      <c r="OT15" s="68"/>
      <c r="OU15" s="68"/>
      <c r="OV15" s="68"/>
      <c r="OW15" s="68"/>
      <c r="OX15" s="68"/>
      <c r="OY15" s="68"/>
      <c r="OZ15" s="68"/>
      <c r="PA15" s="68"/>
      <c r="PB15" s="68"/>
      <c r="PC15" s="68"/>
      <c r="PD15" s="68"/>
      <c r="PE15" s="68"/>
      <c r="PF15" s="68"/>
      <c r="PG15" s="68"/>
      <c r="PH15" s="68"/>
      <c r="PI15" s="68"/>
      <c r="PJ15" s="68"/>
      <c r="PK15" s="68"/>
      <c r="PL15" s="68"/>
      <c r="PM15" s="68"/>
      <c r="PN15" s="68"/>
      <c r="PO15" s="68"/>
      <c r="PP15" s="68"/>
      <c r="PQ15" s="68"/>
      <c r="PR15" s="68"/>
      <c r="PS15" s="68"/>
      <c r="PT15" s="68"/>
      <c r="PU15" s="68"/>
      <c r="PV15" s="68"/>
      <c r="PW15" s="68"/>
      <c r="PX15" s="68"/>
      <c r="PY15" s="68"/>
      <c r="PZ15" s="68"/>
      <c r="QA15" s="68"/>
      <c r="QB15" s="68"/>
      <c r="QC15" s="68"/>
      <c r="QD15" s="68"/>
      <c r="QE15" s="68"/>
      <c r="QF15" s="68"/>
      <c r="QG15" s="68"/>
      <c r="QH15" s="68"/>
      <c r="QI15" s="68"/>
      <c r="QJ15" s="68"/>
      <c r="QK15" s="68"/>
      <c r="QL15" s="68"/>
      <c r="QM15" s="68"/>
      <c r="QN15" s="68"/>
      <c r="QO15" s="68"/>
      <c r="QP15" s="68"/>
      <c r="QQ15" s="68"/>
      <c r="QR15" s="68"/>
      <c r="QS15" s="68"/>
      <c r="QT15" s="68"/>
      <c r="QU15" s="68"/>
      <c r="QV15" s="68"/>
      <c r="QW15" s="68"/>
      <c r="QX15" s="68"/>
      <c r="QY15" s="68"/>
      <c r="QZ15" s="68"/>
      <c r="RA15" s="68"/>
      <c r="RB15" s="68"/>
      <c r="RC15" s="68"/>
      <c r="RD15" s="68"/>
      <c r="RE15" s="68"/>
      <c r="RF15" s="68"/>
      <c r="RG15" s="68"/>
      <c r="RH15" s="68"/>
      <c r="RI15" s="68"/>
      <c r="RJ15" s="68"/>
      <c r="RK15" s="68"/>
      <c r="RL15" s="68"/>
      <c r="RM15" s="68"/>
      <c r="RN15" s="68"/>
      <c r="RO15" s="68"/>
      <c r="RP15" s="68"/>
      <c r="RQ15" s="68"/>
      <c r="RR15" s="68"/>
      <c r="RS15" s="68"/>
      <c r="RT15" s="68"/>
      <c r="RU15" s="68"/>
      <c r="RV15" s="68"/>
      <c r="RW15" s="68"/>
      <c r="RX15" s="68"/>
      <c r="RY15" s="68"/>
      <c r="RZ15" s="68"/>
      <c r="SA15" s="68"/>
      <c r="SB15" s="68"/>
      <c r="SC15" s="68"/>
      <c r="SD15" s="68"/>
      <c r="SE15" s="68"/>
      <c r="SF15" s="68"/>
      <c r="SG15" s="68"/>
      <c r="SH15" s="68"/>
      <c r="SI15" s="68"/>
      <c r="SJ15" s="68"/>
      <c r="SK15" s="68"/>
      <c r="SL15" s="68"/>
      <c r="SM15" s="68"/>
      <c r="SN15" s="68"/>
      <c r="SO15" s="68"/>
      <c r="SP15" s="68"/>
      <c r="SQ15" s="68"/>
      <c r="SR15" s="68"/>
      <c r="SS15" s="68"/>
      <c r="ST15" s="68"/>
      <c r="SU15" s="68"/>
      <c r="SV15" s="68"/>
      <c r="SW15" s="68"/>
      <c r="SX15" s="68"/>
      <c r="SY15" s="68"/>
      <c r="SZ15" s="68"/>
      <c r="TA15" s="68"/>
      <c r="TB15" s="68"/>
      <c r="TC15" s="68"/>
      <c r="TD15" s="68"/>
      <c r="TE15" s="68"/>
      <c r="TF15" s="68"/>
      <c r="TG15" s="68"/>
      <c r="TH15" s="68"/>
      <c r="TI15" s="68"/>
      <c r="TJ15" s="68"/>
      <c r="TK15" s="68"/>
      <c r="TL15" s="68"/>
      <c r="TM15" s="68"/>
      <c r="TN15" s="68"/>
      <c r="TO15" s="68"/>
      <c r="TP15" s="68"/>
      <c r="TQ15" s="68"/>
      <c r="TR15" s="68"/>
      <c r="TS15" s="68"/>
      <c r="TT15" s="68"/>
      <c r="TU15" s="68"/>
      <c r="TV15" s="68"/>
      <c r="TW15" s="68"/>
      <c r="TX15" s="68"/>
      <c r="TY15" s="68"/>
      <c r="TZ15" s="68"/>
      <c r="UA15" s="68"/>
      <c r="UB15" s="68"/>
      <c r="UC15" s="68"/>
      <c r="UD15" s="68"/>
      <c r="UE15" s="68"/>
      <c r="UF15" s="68"/>
      <c r="UG15" s="68"/>
      <c r="UH15" s="68"/>
      <c r="UI15" s="68"/>
      <c r="UJ15" s="68"/>
      <c r="UK15" s="68"/>
      <c r="UL15" s="68"/>
      <c r="UM15" s="68"/>
      <c r="UN15" s="68"/>
      <c r="UO15" s="68"/>
      <c r="UP15" s="68"/>
      <c r="UQ15" s="68"/>
      <c r="UR15" s="68"/>
      <c r="US15" s="68"/>
      <c r="UT15" s="68"/>
      <c r="UU15" s="68"/>
      <c r="UV15" s="68"/>
      <c r="UW15" s="68"/>
      <c r="UX15" s="68"/>
      <c r="UY15" s="68"/>
      <c r="UZ15" s="68"/>
      <c r="VA15" s="68"/>
      <c r="VB15" s="68"/>
      <c r="VC15" s="68"/>
      <c r="VD15" s="68"/>
      <c r="VE15" s="68"/>
      <c r="VF15" s="68"/>
      <c r="VG15" s="68"/>
      <c r="VH15" s="68"/>
      <c r="VI15" s="68"/>
      <c r="VJ15" s="68"/>
      <c r="VK15" s="68"/>
      <c r="VL15" s="68"/>
      <c r="VM15" s="68"/>
      <c r="VN15" s="68"/>
      <c r="VO15" s="68"/>
      <c r="VP15" s="68"/>
      <c r="VQ15" s="68"/>
      <c r="VR15" s="68"/>
      <c r="VS15" s="68"/>
      <c r="VT15" s="68"/>
      <c r="VU15" s="68"/>
      <c r="VV15" s="68"/>
      <c r="VW15" s="68"/>
      <c r="VX15" s="68"/>
      <c r="VY15" s="68"/>
      <c r="VZ15" s="68"/>
      <c r="WA15" s="68"/>
      <c r="WB15" s="68"/>
      <c r="WC15" s="68"/>
      <c r="WD15" s="68"/>
      <c r="WE15" s="68"/>
      <c r="WF15" s="68"/>
      <c r="WG15" s="68"/>
      <c r="WH15" s="68"/>
      <c r="WI15" s="68"/>
      <c r="WJ15" s="68"/>
      <c r="WK15" s="68"/>
      <c r="WL15" s="68"/>
      <c r="WM15" s="68"/>
      <c r="WN15" s="68"/>
      <c r="WO15" s="68"/>
      <c r="WP15" s="68"/>
      <c r="WQ15" s="68"/>
      <c r="WR15" s="68"/>
      <c r="WS15" s="68"/>
      <c r="WT15" s="68"/>
      <c r="WU15" s="68"/>
      <c r="WV15" s="68"/>
      <c r="WW15" s="68"/>
      <c r="WX15" s="68"/>
      <c r="WY15" s="68"/>
      <c r="WZ15" s="68"/>
      <c r="XA15" s="68"/>
      <c r="XB15" s="68"/>
      <c r="XC15" s="68"/>
      <c r="XD15" s="68"/>
      <c r="XE15" s="68"/>
      <c r="XF15" s="68"/>
      <c r="XG15" s="68"/>
      <c r="XH15" s="68"/>
      <c r="XI15" s="68"/>
      <c r="XJ15" s="68"/>
      <c r="XK15" s="68"/>
      <c r="XL15" s="68"/>
      <c r="XM15" s="68"/>
      <c r="XN15" s="68"/>
      <c r="XO15" s="68"/>
      <c r="XP15" s="68"/>
      <c r="XQ15" s="68"/>
      <c r="XR15" s="68"/>
      <c r="XS15" s="68"/>
      <c r="XT15" s="68"/>
      <c r="XU15" s="68"/>
      <c r="XV15" s="68"/>
      <c r="XW15" s="68"/>
      <c r="XX15" s="68"/>
      <c r="XY15" s="68"/>
      <c r="XZ15" s="68"/>
      <c r="YA15" s="68"/>
      <c r="YB15" s="68"/>
      <c r="YC15" s="68"/>
      <c r="YD15" s="68"/>
      <c r="YE15" s="68"/>
      <c r="YF15" s="68"/>
      <c r="YG15" s="68"/>
      <c r="YH15" s="68"/>
      <c r="YI15" s="68"/>
      <c r="YJ15" s="68"/>
      <c r="YK15" s="68"/>
      <c r="YL15" s="68"/>
      <c r="YM15" s="68"/>
      <c r="YN15" s="68"/>
      <c r="YO15" s="68"/>
      <c r="YP15" s="68"/>
      <c r="YQ15" s="68"/>
      <c r="YR15" s="68"/>
      <c r="YS15" s="68"/>
      <c r="YT15" s="68"/>
      <c r="YU15" s="68"/>
      <c r="YV15" s="68"/>
      <c r="YW15" s="68"/>
      <c r="YX15" s="68"/>
      <c r="YY15" s="68"/>
      <c r="YZ15" s="68"/>
      <c r="ZA15" s="68"/>
      <c r="ZB15" s="68"/>
      <c r="ZC15" s="68"/>
      <c r="ZD15" s="68"/>
      <c r="ZE15" s="68"/>
      <c r="ZF15" s="68"/>
      <c r="ZG15" s="68"/>
      <c r="ZH15" s="68"/>
      <c r="ZI15" s="68"/>
      <c r="ZJ15" s="68"/>
      <c r="ZK15" s="68"/>
      <c r="ZL15" s="68"/>
      <c r="ZM15" s="68"/>
      <c r="ZN15" s="68"/>
      <c r="ZO15" s="68"/>
      <c r="ZP15" s="68"/>
      <c r="ZQ15" s="68"/>
      <c r="ZR15" s="68"/>
      <c r="ZS15" s="68"/>
      <c r="ZT15" s="68"/>
      <c r="ZU15" s="68"/>
      <c r="ZV15" s="68"/>
      <c r="ZW15" s="68"/>
      <c r="ZX15" s="68"/>
      <c r="ZY15" s="68"/>
      <c r="ZZ15" s="68"/>
      <c r="AAA15" s="68"/>
      <c r="AAB15" s="68"/>
      <c r="AAC15" s="68"/>
      <c r="AAD15" s="68"/>
      <c r="AAE15" s="68"/>
      <c r="AAF15" s="68"/>
    </row>
    <row r="16" spans="1:708" s="69" customFormat="1" ht="54" customHeight="1" x14ac:dyDescent="0.25">
      <c r="A16" s="706" t="s">
        <v>43</v>
      </c>
      <c r="B16" s="708" t="s">
        <v>44</v>
      </c>
      <c r="C16" s="702" t="s">
        <v>45</v>
      </c>
      <c r="D16" s="702" t="s">
        <v>46</v>
      </c>
      <c r="E16" s="702" t="s">
        <v>71</v>
      </c>
      <c r="F16" s="702" t="s">
        <v>48</v>
      </c>
      <c r="G16" s="702" t="s">
        <v>49</v>
      </c>
      <c r="H16" s="702" t="s">
        <v>50</v>
      </c>
      <c r="I16" s="704" t="s">
        <v>51</v>
      </c>
      <c r="J16" s="698" t="s">
        <v>52</v>
      </c>
      <c r="K16" s="698" t="s">
        <v>101</v>
      </c>
      <c r="L16" s="698" t="s">
        <v>72</v>
      </c>
      <c r="M16" s="698" t="s">
        <v>112</v>
      </c>
      <c r="N16" s="698" t="s">
        <v>74</v>
      </c>
      <c r="O16" s="698"/>
      <c r="P16" s="699">
        <v>0.89</v>
      </c>
      <c r="Q16" s="63" t="s">
        <v>113</v>
      </c>
      <c r="R16" s="63" t="s">
        <v>114</v>
      </c>
      <c r="S16" s="64" t="s">
        <v>74</v>
      </c>
      <c r="T16" s="64"/>
      <c r="U16" s="79">
        <v>0.89</v>
      </c>
      <c r="V16" s="1012"/>
      <c r="W16" s="1009"/>
      <c r="X16" s="24" t="s">
        <v>102</v>
      </c>
      <c r="Y16" s="700">
        <f>(1/1)</f>
        <v>1</v>
      </c>
      <c r="Z16" s="701">
        <f>+P16</f>
        <v>0.89</v>
      </c>
      <c r="AA16" s="700">
        <f>Y16/Z16</f>
        <v>1.1235955056179776</v>
      </c>
      <c r="AB16" s="690" t="s">
        <v>115</v>
      </c>
      <c r="AC16" s="65">
        <f>(2/2)</f>
        <v>1</v>
      </c>
      <c r="AD16" s="79">
        <f t="shared" si="0"/>
        <v>0.89</v>
      </c>
      <c r="AE16" s="65">
        <f>+AC16/AD16</f>
        <v>1.1235955056179776</v>
      </c>
      <c r="AF16" s="64" t="s">
        <v>116</v>
      </c>
      <c r="AG16" s="692">
        <v>1</v>
      </c>
      <c r="AH16" s="691">
        <v>0.89</v>
      </c>
      <c r="AI16" s="692">
        <v>1.1235955056179776</v>
      </c>
      <c r="AJ16" s="689" t="s">
        <v>117</v>
      </c>
      <c r="AK16" s="67">
        <v>1</v>
      </c>
      <c r="AL16" s="80">
        <v>0.89</v>
      </c>
      <c r="AM16" s="67">
        <v>1.1235955056179776</v>
      </c>
      <c r="AN16" s="66" t="s">
        <v>118</v>
      </c>
      <c r="AO16" s="692">
        <f>(9/9)</f>
        <v>1</v>
      </c>
      <c r="AP16" s="691">
        <f>+P16</f>
        <v>0.89</v>
      </c>
      <c r="AQ16" s="692">
        <f>AO16/AP16</f>
        <v>1.1235955056179776</v>
      </c>
      <c r="AR16" s="689" t="s">
        <v>119</v>
      </c>
      <c r="AS16" s="67">
        <f>(3/3)</f>
        <v>1</v>
      </c>
      <c r="AT16" s="80">
        <f t="shared" si="1"/>
        <v>0.89</v>
      </c>
      <c r="AU16" s="67">
        <f>+AS16/AT16</f>
        <v>1.1235955056179776</v>
      </c>
      <c r="AV16" s="66" t="s">
        <v>120</v>
      </c>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c r="HA16" s="68"/>
      <c r="HB16" s="68"/>
      <c r="HC16" s="68"/>
      <c r="HD16" s="68"/>
      <c r="HE16" s="68"/>
      <c r="HF16" s="68"/>
      <c r="HG16" s="68"/>
      <c r="HH16" s="68"/>
      <c r="HI16" s="68"/>
      <c r="HJ16" s="68"/>
      <c r="HK16" s="68"/>
      <c r="HL16" s="68"/>
      <c r="HM16" s="68"/>
      <c r="HN16" s="68"/>
      <c r="HO16" s="68"/>
      <c r="HP16" s="68"/>
      <c r="HQ16" s="68"/>
      <c r="HR16" s="68"/>
      <c r="HS16" s="68"/>
      <c r="HT16" s="68"/>
      <c r="HU16" s="68"/>
      <c r="HV16" s="68"/>
      <c r="HW16" s="68"/>
      <c r="HX16" s="68"/>
      <c r="HY16" s="68"/>
      <c r="HZ16" s="68"/>
      <c r="IA16" s="68"/>
      <c r="IB16" s="68"/>
      <c r="IC16" s="68"/>
      <c r="ID16" s="68"/>
      <c r="IE16" s="68"/>
      <c r="IF16" s="68"/>
      <c r="IG16" s="68"/>
      <c r="IH16" s="68"/>
      <c r="II16" s="68"/>
      <c r="IJ16" s="68"/>
      <c r="IK16" s="68"/>
      <c r="IL16" s="68"/>
      <c r="IM16" s="68"/>
      <c r="IN16" s="68"/>
      <c r="IO16" s="68"/>
      <c r="IP16" s="68"/>
      <c r="IQ16" s="68"/>
      <c r="IR16" s="68"/>
      <c r="IS16" s="68"/>
      <c r="IT16" s="68"/>
      <c r="IU16" s="68"/>
      <c r="IV16" s="68"/>
      <c r="IW16" s="68"/>
      <c r="IX16" s="68"/>
      <c r="IY16" s="68"/>
      <c r="IZ16" s="68"/>
      <c r="JA16" s="68"/>
      <c r="JB16" s="68"/>
      <c r="JC16" s="68"/>
      <c r="JD16" s="68"/>
      <c r="JE16" s="68"/>
      <c r="JF16" s="68"/>
      <c r="JG16" s="68"/>
      <c r="JH16" s="68"/>
      <c r="JI16" s="68"/>
      <c r="JJ16" s="68"/>
      <c r="JK16" s="68"/>
      <c r="JL16" s="68"/>
      <c r="JM16" s="68"/>
      <c r="JN16" s="68"/>
      <c r="JO16" s="68"/>
      <c r="JP16" s="68"/>
      <c r="JQ16" s="68"/>
      <c r="JR16" s="68"/>
      <c r="JS16" s="68"/>
      <c r="JT16" s="68"/>
      <c r="JU16" s="68"/>
      <c r="JV16" s="68"/>
      <c r="JW16" s="68"/>
      <c r="JX16" s="68"/>
      <c r="JY16" s="68"/>
      <c r="JZ16" s="68"/>
      <c r="KA16" s="68"/>
      <c r="KB16" s="68"/>
      <c r="KC16" s="68"/>
      <c r="KD16" s="68"/>
      <c r="KE16" s="68"/>
      <c r="KF16" s="68"/>
      <c r="KG16" s="68"/>
      <c r="KH16" s="68"/>
      <c r="KI16" s="68"/>
      <c r="KJ16" s="68"/>
      <c r="KK16" s="68"/>
      <c r="KL16" s="68"/>
      <c r="KM16" s="68"/>
      <c r="KN16" s="68"/>
      <c r="KO16" s="68"/>
      <c r="KP16" s="68"/>
      <c r="KQ16" s="68"/>
      <c r="KR16" s="68"/>
      <c r="KS16" s="68"/>
      <c r="KT16" s="68"/>
      <c r="KU16" s="68"/>
      <c r="KV16" s="68"/>
      <c r="KW16" s="68"/>
      <c r="KX16" s="68"/>
      <c r="KY16" s="68"/>
      <c r="KZ16" s="68"/>
      <c r="LA16" s="68"/>
      <c r="LB16" s="68"/>
      <c r="LC16" s="68"/>
      <c r="LD16" s="68"/>
      <c r="LE16" s="68"/>
      <c r="LF16" s="68"/>
      <c r="LG16" s="68"/>
      <c r="LH16" s="68"/>
      <c r="LI16" s="68"/>
      <c r="LJ16" s="68"/>
      <c r="LK16" s="68"/>
      <c r="LL16" s="68"/>
      <c r="LM16" s="68"/>
      <c r="LN16" s="68"/>
      <c r="LO16" s="68"/>
      <c r="LP16" s="68"/>
      <c r="LQ16" s="68"/>
      <c r="LR16" s="68"/>
      <c r="LS16" s="68"/>
      <c r="LT16" s="68"/>
      <c r="LU16" s="68"/>
      <c r="LV16" s="68"/>
      <c r="LW16" s="68"/>
      <c r="LX16" s="68"/>
      <c r="LY16" s="68"/>
      <c r="LZ16" s="68"/>
      <c r="MA16" s="68"/>
      <c r="MB16" s="68"/>
      <c r="MC16" s="68"/>
      <c r="MD16" s="68"/>
      <c r="ME16" s="68"/>
      <c r="MF16" s="68"/>
      <c r="MG16" s="68"/>
      <c r="MH16" s="68"/>
      <c r="MI16" s="68"/>
      <c r="MJ16" s="68"/>
      <c r="MK16" s="68"/>
      <c r="ML16" s="68"/>
      <c r="MM16" s="68"/>
      <c r="MN16" s="68"/>
      <c r="MO16" s="68"/>
      <c r="MP16" s="68"/>
      <c r="MQ16" s="68"/>
      <c r="MR16" s="68"/>
      <c r="MS16" s="68"/>
      <c r="MT16" s="68"/>
      <c r="MU16" s="68"/>
      <c r="MV16" s="68"/>
      <c r="MW16" s="68"/>
      <c r="MX16" s="68"/>
      <c r="MY16" s="68"/>
      <c r="MZ16" s="68"/>
      <c r="NA16" s="68"/>
      <c r="NB16" s="68"/>
      <c r="NC16" s="68"/>
      <c r="ND16" s="68"/>
      <c r="NE16" s="68"/>
      <c r="NF16" s="68"/>
      <c r="NG16" s="68"/>
      <c r="NH16" s="68"/>
      <c r="NI16" s="68"/>
      <c r="NJ16" s="68"/>
      <c r="NK16" s="68"/>
      <c r="NL16" s="68"/>
      <c r="NM16" s="68"/>
      <c r="NN16" s="68"/>
      <c r="NO16" s="68"/>
      <c r="NP16" s="68"/>
      <c r="NQ16" s="68"/>
      <c r="NR16" s="68"/>
      <c r="NS16" s="68"/>
      <c r="NT16" s="68"/>
      <c r="NU16" s="68"/>
      <c r="NV16" s="68"/>
      <c r="NW16" s="68"/>
      <c r="NX16" s="68"/>
      <c r="NY16" s="68"/>
      <c r="NZ16" s="68"/>
      <c r="OA16" s="68"/>
      <c r="OB16" s="68"/>
      <c r="OC16" s="68"/>
      <c r="OD16" s="68"/>
      <c r="OE16" s="68"/>
      <c r="OF16" s="68"/>
      <c r="OG16" s="68"/>
      <c r="OH16" s="68"/>
      <c r="OI16" s="68"/>
      <c r="OJ16" s="68"/>
      <c r="OK16" s="68"/>
      <c r="OL16" s="68"/>
      <c r="OM16" s="68"/>
      <c r="ON16" s="68"/>
      <c r="OO16" s="68"/>
      <c r="OP16" s="68"/>
      <c r="OQ16" s="68"/>
      <c r="OR16" s="68"/>
      <c r="OS16" s="68"/>
      <c r="OT16" s="68"/>
      <c r="OU16" s="68"/>
      <c r="OV16" s="68"/>
      <c r="OW16" s="68"/>
      <c r="OX16" s="68"/>
      <c r="OY16" s="68"/>
      <c r="OZ16" s="68"/>
      <c r="PA16" s="68"/>
      <c r="PB16" s="68"/>
      <c r="PC16" s="68"/>
      <c r="PD16" s="68"/>
      <c r="PE16" s="68"/>
      <c r="PF16" s="68"/>
      <c r="PG16" s="68"/>
      <c r="PH16" s="68"/>
      <c r="PI16" s="68"/>
      <c r="PJ16" s="68"/>
      <c r="PK16" s="68"/>
      <c r="PL16" s="68"/>
      <c r="PM16" s="68"/>
      <c r="PN16" s="68"/>
      <c r="PO16" s="68"/>
      <c r="PP16" s="68"/>
      <c r="PQ16" s="68"/>
      <c r="PR16" s="68"/>
      <c r="PS16" s="68"/>
      <c r="PT16" s="68"/>
      <c r="PU16" s="68"/>
      <c r="PV16" s="68"/>
      <c r="PW16" s="68"/>
      <c r="PX16" s="68"/>
      <c r="PY16" s="68"/>
      <c r="PZ16" s="68"/>
      <c r="QA16" s="68"/>
      <c r="QB16" s="68"/>
      <c r="QC16" s="68"/>
      <c r="QD16" s="68"/>
      <c r="QE16" s="68"/>
      <c r="QF16" s="68"/>
      <c r="QG16" s="68"/>
      <c r="QH16" s="68"/>
      <c r="QI16" s="68"/>
      <c r="QJ16" s="68"/>
      <c r="QK16" s="68"/>
      <c r="QL16" s="68"/>
      <c r="QM16" s="68"/>
      <c r="QN16" s="68"/>
      <c r="QO16" s="68"/>
      <c r="QP16" s="68"/>
      <c r="QQ16" s="68"/>
      <c r="QR16" s="68"/>
      <c r="QS16" s="68"/>
      <c r="QT16" s="68"/>
      <c r="QU16" s="68"/>
      <c r="QV16" s="68"/>
      <c r="QW16" s="68"/>
      <c r="QX16" s="68"/>
      <c r="QY16" s="68"/>
      <c r="QZ16" s="68"/>
      <c r="RA16" s="68"/>
      <c r="RB16" s="68"/>
      <c r="RC16" s="68"/>
      <c r="RD16" s="68"/>
      <c r="RE16" s="68"/>
      <c r="RF16" s="68"/>
      <c r="RG16" s="68"/>
      <c r="RH16" s="68"/>
      <c r="RI16" s="68"/>
      <c r="RJ16" s="68"/>
      <c r="RK16" s="68"/>
      <c r="RL16" s="68"/>
      <c r="RM16" s="68"/>
      <c r="RN16" s="68"/>
      <c r="RO16" s="68"/>
      <c r="RP16" s="68"/>
      <c r="RQ16" s="68"/>
      <c r="RR16" s="68"/>
      <c r="RS16" s="68"/>
      <c r="RT16" s="68"/>
      <c r="RU16" s="68"/>
      <c r="RV16" s="68"/>
      <c r="RW16" s="68"/>
      <c r="RX16" s="68"/>
      <c r="RY16" s="68"/>
      <c r="RZ16" s="68"/>
      <c r="SA16" s="68"/>
      <c r="SB16" s="68"/>
      <c r="SC16" s="68"/>
      <c r="SD16" s="68"/>
      <c r="SE16" s="68"/>
      <c r="SF16" s="68"/>
      <c r="SG16" s="68"/>
      <c r="SH16" s="68"/>
      <c r="SI16" s="68"/>
      <c r="SJ16" s="68"/>
      <c r="SK16" s="68"/>
      <c r="SL16" s="68"/>
      <c r="SM16" s="68"/>
      <c r="SN16" s="68"/>
      <c r="SO16" s="68"/>
      <c r="SP16" s="68"/>
      <c r="SQ16" s="68"/>
      <c r="SR16" s="68"/>
      <c r="SS16" s="68"/>
      <c r="ST16" s="68"/>
      <c r="SU16" s="68"/>
      <c r="SV16" s="68"/>
      <c r="SW16" s="68"/>
      <c r="SX16" s="68"/>
      <c r="SY16" s="68"/>
      <c r="SZ16" s="68"/>
      <c r="TA16" s="68"/>
      <c r="TB16" s="68"/>
      <c r="TC16" s="68"/>
      <c r="TD16" s="68"/>
      <c r="TE16" s="68"/>
      <c r="TF16" s="68"/>
      <c r="TG16" s="68"/>
      <c r="TH16" s="68"/>
      <c r="TI16" s="68"/>
      <c r="TJ16" s="68"/>
      <c r="TK16" s="68"/>
      <c r="TL16" s="68"/>
      <c r="TM16" s="68"/>
      <c r="TN16" s="68"/>
      <c r="TO16" s="68"/>
      <c r="TP16" s="68"/>
      <c r="TQ16" s="68"/>
      <c r="TR16" s="68"/>
      <c r="TS16" s="68"/>
      <c r="TT16" s="68"/>
      <c r="TU16" s="68"/>
      <c r="TV16" s="68"/>
      <c r="TW16" s="68"/>
      <c r="TX16" s="68"/>
      <c r="TY16" s="68"/>
      <c r="TZ16" s="68"/>
      <c r="UA16" s="68"/>
      <c r="UB16" s="68"/>
      <c r="UC16" s="68"/>
      <c r="UD16" s="68"/>
      <c r="UE16" s="68"/>
      <c r="UF16" s="68"/>
      <c r="UG16" s="68"/>
      <c r="UH16" s="68"/>
      <c r="UI16" s="68"/>
      <c r="UJ16" s="68"/>
      <c r="UK16" s="68"/>
      <c r="UL16" s="68"/>
      <c r="UM16" s="68"/>
      <c r="UN16" s="68"/>
      <c r="UO16" s="68"/>
      <c r="UP16" s="68"/>
      <c r="UQ16" s="68"/>
      <c r="UR16" s="68"/>
      <c r="US16" s="68"/>
      <c r="UT16" s="68"/>
      <c r="UU16" s="68"/>
      <c r="UV16" s="68"/>
      <c r="UW16" s="68"/>
      <c r="UX16" s="68"/>
      <c r="UY16" s="68"/>
      <c r="UZ16" s="68"/>
      <c r="VA16" s="68"/>
      <c r="VB16" s="68"/>
      <c r="VC16" s="68"/>
      <c r="VD16" s="68"/>
      <c r="VE16" s="68"/>
      <c r="VF16" s="68"/>
      <c r="VG16" s="68"/>
      <c r="VH16" s="68"/>
      <c r="VI16" s="68"/>
      <c r="VJ16" s="68"/>
      <c r="VK16" s="68"/>
      <c r="VL16" s="68"/>
      <c r="VM16" s="68"/>
      <c r="VN16" s="68"/>
      <c r="VO16" s="68"/>
      <c r="VP16" s="68"/>
      <c r="VQ16" s="68"/>
      <c r="VR16" s="68"/>
      <c r="VS16" s="68"/>
      <c r="VT16" s="68"/>
      <c r="VU16" s="68"/>
      <c r="VV16" s="68"/>
      <c r="VW16" s="68"/>
      <c r="VX16" s="68"/>
      <c r="VY16" s="68"/>
      <c r="VZ16" s="68"/>
      <c r="WA16" s="68"/>
      <c r="WB16" s="68"/>
      <c r="WC16" s="68"/>
      <c r="WD16" s="68"/>
      <c r="WE16" s="68"/>
      <c r="WF16" s="68"/>
      <c r="WG16" s="68"/>
      <c r="WH16" s="68"/>
      <c r="WI16" s="68"/>
      <c r="WJ16" s="68"/>
      <c r="WK16" s="68"/>
      <c r="WL16" s="68"/>
      <c r="WM16" s="68"/>
      <c r="WN16" s="68"/>
      <c r="WO16" s="68"/>
      <c r="WP16" s="68"/>
      <c r="WQ16" s="68"/>
      <c r="WR16" s="68"/>
      <c r="WS16" s="68"/>
      <c r="WT16" s="68"/>
      <c r="WU16" s="68"/>
      <c r="WV16" s="68"/>
      <c r="WW16" s="68"/>
      <c r="WX16" s="68"/>
      <c r="WY16" s="68"/>
      <c r="WZ16" s="68"/>
      <c r="XA16" s="68"/>
      <c r="XB16" s="68"/>
      <c r="XC16" s="68"/>
      <c r="XD16" s="68"/>
      <c r="XE16" s="68"/>
      <c r="XF16" s="68"/>
      <c r="XG16" s="68"/>
      <c r="XH16" s="68"/>
      <c r="XI16" s="68"/>
      <c r="XJ16" s="68"/>
      <c r="XK16" s="68"/>
      <c r="XL16" s="68"/>
      <c r="XM16" s="68"/>
      <c r="XN16" s="68"/>
      <c r="XO16" s="68"/>
      <c r="XP16" s="68"/>
      <c r="XQ16" s="68"/>
      <c r="XR16" s="68"/>
      <c r="XS16" s="68"/>
      <c r="XT16" s="68"/>
      <c r="XU16" s="68"/>
      <c r="XV16" s="68"/>
      <c r="XW16" s="68"/>
      <c r="XX16" s="68"/>
      <c r="XY16" s="68"/>
      <c r="XZ16" s="68"/>
      <c r="YA16" s="68"/>
      <c r="YB16" s="68"/>
      <c r="YC16" s="68"/>
      <c r="YD16" s="68"/>
      <c r="YE16" s="68"/>
      <c r="YF16" s="68"/>
      <c r="YG16" s="68"/>
      <c r="YH16" s="68"/>
      <c r="YI16" s="68"/>
      <c r="YJ16" s="68"/>
      <c r="YK16" s="68"/>
      <c r="YL16" s="68"/>
      <c r="YM16" s="68"/>
      <c r="YN16" s="68"/>
      <c r="YO16" s="68"/>
      <c r="YP16" s="68"/>
      <c r="YQ16" s="68"/>
      <c r="YR16" s="68"/>
      <c r="YS16" s="68"/>
      <c r="YT16" s="68"/>
      <c r="YU16" s="68"/>
      <c r="YV16" s="68"/>
      <c r="YW16" s="68"/>
      <c r="YX16" s="68"/>
      <c r="YY16" s="68"/>
      <c r="YZ16" s="68"/>
      <c r="ZA16" s="68"/>
      <c r="ZB16" s="68"/>
      <c r="ZC16" s="68"/>
      <c r="ZD16" s="68"/>
      <c r="ZE16" s="68"/>
      <c r="ZF16" s="68"/>
      <c r="ZG16" s="68"/>
      <c r="ZH16" s="68"/>
      <c r="ZI16" s="68"/>
      <c r="ZJ16" s="68"/>
      <c r="ZK16" s="68"/>
      <c r="ZL16" s="68"/>
      <c r="ZM16" s="68"/>
      <c r="ZN16" s="68"/>
      <c r="ZO16" s="68"/>
      <c r="ZP16" s="68"/>
      <c r="ZQ16" s="68"/>
      <c r="ZR16" s="68"/>
      <c r="ZS16" s="68"/>
      <c r="ZT16" s="68"/>
      <c r="ZU16" s="68"/>
      <c r="ZV16" s="68"/>
      <c r="ZW16" s="68"/>
      <c r="ZX16" s="68"/>
      <c r="ZY16" s="68"/>
      <c r="ZZ16" s="68"/>
      <c r="AAA16" s="68"/>
      <c r="AAB16" s="68"/>
      <c r="AAC16" s="68"/>
      <c r="AAD16" s="68"/>
      <c r="AAE16" s="68"/>
      <c r="AAF16" s="68"/>
    </row>
    <row r="17" spans="1:708" s="76" customFormat="1" ht="54" customHeight="1" x14ac:dyDescent="0.25">
      <c r="A17" s="707"/>
      <c r="B17" s="708"/>
      <c r="C17" s="703"/>
      <c r="D17" s="703"/>
      <c r="E17" s="703"/>
      <c r="F17" s="703"/>
      <c r="G17" s="703"/>
      <c r="H17" s="703"/>
      <c r="I17" s="705"/>
      <c r="J17" s="698"/>
      <c r="K17" s="698"/>
      <c r="L17" s="698"/>
      <c r="M17" s="698"/>
      <c r="N17" s="698"/>
      <c r="O17" s="698"/>
      <c r="P17" s="699"/>
      <c r="Q17" s="70" t="s">
        <v>121</v>
      </c>
      <c r="R17" s="70" t="s">
        <v>122</v>
      </c>
      <c r="S17" s="71" t="s">
        <v>74</v>
      </c>
      <c r="T17" s="71"/>
      <c r="U17" s="81">
        <v>0.89</v>
      </c>
      <c r="V17" s="1012"/>
      <c r="W17" s="1009"/>
      <c r="X17" s="72" t="s">
        <v>102</v>
      </c>
      <c r="Y17" s="700"/>
      <c r="Z17" s="690"/>
      <c r="AA17" s="700"/>
      <c r="AB17" s="690"/>
      <c r="AC17" s="73">
        <f>0/3</f>
        <v>0</v>
      </c>
      <c r="AD17" s="81">
        <f t="shared" si="0"/>
        <v>0.89</v>
      </c>
      <c r="AE17" s="73">
        <f>+AC17/AD17</f>
        <v>0</v>
      </c>
      <c r="AF17" s="71" t="s">
        <v>123</v>
      </c>
      <c r="AG17" s="692"/>
      <c r="AH17" s="689"/>
      <c r="AI17" s="692"/>
      <c r="AJ17" s="689"/>
      <c r="AK17" s="75">
        <v>0</v>
      </c>
      <c r="AL17" s="82">
        <v>0.89</v>
      </c>
      <c r="AM17" s="75">
        <v>0</v>
      </c>
      <c r="AN17" s="74" t="s">
        <v>124</v>
      </c>
      <c r="AO17" s="692"/>
      <c r="AP17" s="689"/>
      <c r="AQ17" s="692"/>
      <c r="AR17" s="689"/>
      <c r="AS17" s="75">
        <f>0/9</f>
        <v>0</v>
      </c>
      <c r="AT17" s="82">
        <f t="shared" si="1"/>
        <v>0.89</v>
      </c>
      <c r="AU17" s="75">
        <f>+AS17/AT17</f>
        <v>0</v>
      </c>
      <c r="AV17" s="74" t="s">
        <v>125</v>
      </c>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c r="DL17" s="68"/>
      <c r="DM17" s="68"/>
      <c r="DN17" s="68"/>
      <c r="DO17" s="68"/>
      <c r="DP17" s="68"/>
      <c r="DQ17" s="68"/>
      <c r="DR17" s="68"/>
      <c r="DS17" s="68"/>
      <c r="DT17" s="68"/>
      <c r="DU17" s="68"/>
      <c r="DV17" s="68"/>
      <c r="DW17" s="68"/>
      <c r="DX17" s="68"/>
      <c r="DY17" s="68"/>
      <c r="DZ17" s="68"/>
      <c r="EA17" s="68"/>
      <c r="EB17" s="68"/>
      <c r="EC17" s="68"/>
      <c r="ED17" s="68"/>
      <c r="EE17" s="68"/>
      <c r="EF17" s="68"/>
      <c r="EG17" s="68"/>
      <c r="EH17" s="68"/>
      <c r="EI17" s="68"/>
      <c r="EJ17" s="68"/>
      <c r="EK17" s="68"/>
      <c r="EL17" s="68"/>
      <c r="EM17" s="68"/>
      <c r="EN17" s="68"/>
      <c r="EO17" s="68"/>
      <c r="EP17" s="68"/>
      <c r="EQ17" s="68"/>
      <c r="ER17" s="68"/>
      <c r="ES17" s="68"/>
      <c r="ET17" s="68"/>
      <c r="EU17" s="68"/>
      <c r="EV17" s="68"/>
      <c r="EW17" s="68"/>
      <c r="EX17" s="68"/>
      <c r="EY17" s="68"/>
      <c r="EZ17" s="68"/>
      <c r="FA17" s="68"/>
      <c r="FB17" s="68"/>
      <c r="FC17" s="68"/>
      <c r="FD17" s="68"/>
      <c r="FE17" s="68"/>
      <c r="FF17" s="68"/>
      <c r="FG17" s="68"/>
      <c r="FH17" s="68"/>
      <c r="FI17" s="68"/>
      <c r="FJ17" s="68"/>
      <c r="FK17" s="68"/>
      <c r="FL17" s="68"/>
      <c r="FM17" s="68"/>
      <c r="FN17" s="68"/>
      <c r="FO17" s="68"/>
      <c r="FP17" s="68"/>
      <c r="FQ17" s="68"/>
      <c r="FR17" s="68"/>
      <c r="FS17" s="68"/>
      <c r="FT17" s="68"/>
      <c r="FU17" s="68"/>
      <c r="FV17" s="68"/>
      <c r="FW17" s="68"/>
      <c r="FX17" s="68"/>
      <c r="FY17" s="68"/>
      <c r="FZ17" s="68"/>
      <c r="GA17" s="68"/>
      <c r="GB17" s="68"/>
      <c r="GC17" s="68"/>
      <c r="GD17" s="68"/>
      <c r="GE17" s="68"/>
      <c r="GF17" s="68"/>
      <c r="GG17" s="68"/>
      <c r="GH17" s="68"/>
      <c r="GI17" s="68"/>
      <c r="GJ17" s="68"/>
      <c r="GK17" s="68"/>
      <c r="GL17" s="68"/>
      <c r="GM17" s="68"/>
      <c r="GN17" s="68"/>
      <c r="GO17" s="68"/>
      <c r="GP17" s="68"/>
      <c r="GQ17" s="68"/>
      <c r="GR17" s="68"/>
      <c r="GS17" s="68"/>
      <c r="GT17" s="68"/>
      <c r="GU17" s="68"/>
      <c r="GV17" s="68"/>
      <c r="GW17" s="68"/>
      <c r="GX17" s="68"/>
      <c r="GY17" s="68"/>
      <c r="GZ17" s="68"/>
      <c r="HA17" s="68"/>
      <c r="HB17" s="68"/>
      <c r="HC17" s="68"/>
      <c r="HD17" s="68"/>
      <c r="HE17" s="68"/>
      <c r="HF17" s="68"/>
      <c r="HG17" s="68"/>
      <c r="HH17" s="68"/>
      <c r="HI17" s="68"/>
      <c r="HJ17" s="68"/>
      <c r="HK17" s="68"/>
      <c r="HL17" s="68"/>
      <c r="HM17" s="68"/>
      <c r="HN17" s="68"/>
      <c r="HO17" s="68"/>
      <c r="HP17" s="68"/>
      <c r="HQ17" s="68"/>
      <c r="HR17" s="68"/>
      <c r="HS17" s="68"/>
      <c r="HT17" s="68"/>
      <c r="HU17" s="68"/>
      <c r="HV17" s="68"/>
      <c r="HW17" s="68"/>
      <c r="HX17" s="68"/>
      <c r="HY17" s="68"/>
      <c r="HZ17" s="68"/>
      <c r="IA17" s="68"/>
      <c r="IB17" s="68"/>
      <c r="IC17" s="68"/>
      <c r="ID17" s="68"/>
      <c r="IE17" s="68"/>
      <c r="IF17" s="68"/>
      <c r="IG17" s="68"/>
      <c r="IH17" s="68"/>
      <c r="II17" s="68"/>
      <c r="IJ17" s="68"/>
      <c r="IK17" s="68"/>
      <c r="IL17" s="68"/>
      <c r="IM17" s="68"/>
      <c r="IN17" s="68"/>
      <c r="IO17" s="68"/>
      <c r="IP17" s="68"/>
      <c r="IQ17" s="68"/>
      <c r="IR17" s="68"/>
      <c r="IS17" s="68"/>
      <c r="IT17" s="68"/>
      <c r="IU17" s="68"/>
      <c r="IV17" s="68"/>
      <c r="IW17" s="68"/>
      <c r="IX17" s="68"/>
      <c r="IY17" s="68"/>
      <c r="IZ17" s="68"/>
      <c r="JA17" s="68"/>
      <c r="JB17" s="68"/>
      <c r="JC17" s="68"/>
      <c r="JD17" s="68"/>
      <c r="JE17" s="68"/>
      <c r="JF17" s="68"/>
      <c r="JG17" s="68"/>
      <c r="JH17" s="68"/>
      <c r="JI17" s="68"/>
      <c r="JJ17" s="68"/>
      <c r="JK17" s="68"/>
      <c r="JL17" s="68"/>
      <c r="JM17" s="68"/>
      <c r="JN17" s="68"/>
      <c r="JO17" s="68"/>
      <c r="JP17" s="68"/>
      <c r="JQ17" s="68"/>
      <c r="JR17" s="68"/>
      <c r="JS17" s="68"/>
      <c r="JT17" s="68"/>
      <c r="JU17" s="68"/>
      <c r="JV17" s="68"/>
      <c r="JW17" s="68"/>
      <c r="JX17" s="68"/>
      <c r="JY17" s="68"/>
      <c r="JZ17" s="68"/>
      <c r="KA17" s="68"/>
      <c r="KB17" s="68"/>
      <c r="KC17" s="68"/>
      <c r="KD17" s="68"/>
      <c r="KE17" s="68"/>
      <c r="KF17" s="68"/>
      <c r="KG17" s="68"/>
      <c r="KH17" s="68"/>
      <c r="KI17" s="68"/>
      <c r="KJ17" s="68"/>
      <c r="KK17" s="68"/>
      <c r="KL17" s="68"/>
      <c r="KM17" s="68"/>
      <c r="KN17" s="68"/>
      <c r="KO17" s="68"/>
      <c r="KP17" s="68"/>
      <c r="KQ17" s="68"/>
      <c r="KR17" s="68"/>
      <c r="KS17" s="68"/>
      <c r="KT17" s="68"/>
      <c r="KU17" s="68"/>
      <c r="KV17" s="68"/>
      <c r="KW17" s="68"/>
      <c r="KX17" s="68"/>
      <c r="KY17" s="68"/>
      <c r="KZ17" s="68"/>
      <c r="LA17" s="68"/>
      <c r="LB17" s="68"/>
      <c r="LC17" s="68"/>
      <c r="LD17" s="68"/>
      <c r="LE17" s="68"/>
      <c r="LF17" s="68"/>
      <c r="LG17" s="68"/>
      <c r="LH17" s="68"/>
      <c r="LI17" s="68"/>
      <c r="LJ17" s="68"/>
      <c r="LK17" s="68"/>
      <c r="LL17" s="68"/>
      <c r="LM17" s="68"/>
      <c r="LN17" s="68"/>
      <c r="LO17" s="68"/>
      <c r="LP17" s="68"/>
      <c r="LQ17" s="68"/>
      <c r="LR17" s="68"/>
      <c r="LS17" s="68"/>
      <c r="LT17" s="68"/>
      <c r="LU17" s="68"/>
      <c r="LV17" s="68"/>
      <c r="LW17" s="68"/>
      <c r="LX17" s="68"/>
      <c r="LY17" s="68"/>
      <c r="LZ17" s="68"/>
      <c r="MA17" s="68"/>
      <c r="MB17" s="68"/>
      <c r="MC17" s="68"/>
      <c r="MD17" s="68"/>
      <c r="ME17" s="68"/>
      <c r="MF17" s="68"/>
      <c r="MG17" s="68"/>
      <c r="MH17" s="68"/>
      <c r="MI17" s="68"/>
      <c r="MJ17" s="68"/>
      <c r="MK17" s="68"/>
      <c r="ML17" s="68"/>
      <c r="MM17" s="68"/>
      <c r="MN17" s="68"/>
      <c r="MO17" s="68"/>
      <c r="MP17" s="68"/>
      <c r="MQ17" s="68"/>
      <c r="MR17" s="68"/>
      <c r="MS17" s="68"/>
      <c r="MT17" s="68"/>
      <c r="MU17" s="68"/>
      <c r="MV17" s="68"/>
      <c r="MW17" s="68"/>
      <c r="MX17" s="68"/>
      <c r="MY17" s="68"/>
      <c r="MZ17" s="68"/>
      <c r="NA17" s="68"/>
      <c r="NB17" s="68"/>
      <c r="NC17" s="68"/>
      <c r="ND17" s="68"/>
      <c r="NE17" s="68"/>
      <c r="NF17" s="68"/>
      <c r="NG17" s="68"/>
      <c r="NH17" s="68"/>
      <c r="NI17" s="68"/>
      <c r="NJ17" s="68"/>
      <c r="NK17" s="68"/>
      <c r="NL17" s="68"/>
      <c r="NM17" s="68"/>
      <c r="NN17" s="68"/>
      <c r="NO17" s="68"/>
      <c r="NP17" s="68"/>
      <c r="NQ17" s="68"/>
      <c r="NR17" s="68"/>
      <c r="NS17" s="68"/>
      <c r="NT17" s="68"/>
      <c r="NU17" s="68"/>
      <c r="NV17" s="68"/>
      <c r="NW17" s="68"/>
      <c r="NX17" s="68"/>
      <c r="NY17" s="68"/>
      <c r="NZ17" s="68"/>
      <c r="OA17" s="68"/>
      <c r="OB17" s="68"/>
      <c r="OC17" s="68"/>
      <c r="OD17" s="68"/>
      <c r="OE17" s="68"/>
      <c r="OF17" s="68"/>
      <c r="OG17" s="68"/>
      <c r="OH17" s="68"/>
      <c r="OI17" s="68"/>
      <c r="OJ17" s="68"/>
      <c r="OK17" s="68"/>
      <c r="OL17" s="68"/>
      <c r="OM17" s="68"/>
      <c r="ON17" s="68"/>
      <c r="OO17" s="68"/>
      <c r="OP17" s="68"/>
      <c r="OQ17" s="68"/>
      <c r="OR17" s="68"/>
      <c r="OS17" s="68"/>
      <c r="OT17" s="68"/>
      <c r="OU17" s="68"/>
      <c r="OV17" s="68"/>
      <c r="OW17" s="68"/>
      <c r="OX17" s="68"/>
      <c r="OY17" s="68"/>
      <c r="OZ17" s="68"/>
      <c r="PA17" s="68"/>
      <c r="PB17" s="68"/>
      <c r="PC17" s="68"/>
      <c r="PD17" s="68"/>
      <c r="PE17" s="68"/>
      <c r="PF17" s="68"/>
      <c r="PG17" s="68"/>
      <c r="PH17" s="68"/>
      <c r="PI17" s="68"/>
      <c r="PJ17" s="68"/>
      <c r="PK17" s="68"/>
      <c r="PL17" s="68"/>
      <c r="PM17" s="68"/>
      <c r="PN17" s="68"/>
      <c r="PO17" s="68"/>
      <c r="PP17" s="68"/>
      <c r="PQ17" s="68"/>
      <c r="PR17" s="68"/>
      <c r="PS17" s="68"/>
      <c r="PT17" s="68"/>
      <c r="PU17" s="68"/>
      <c r="PV17" s="68"/>
      <c r="PW17" s="68"/>
      <c r="PX17" s="68"/>
      <c r="PY17" s="68"/>
      <c r="PZ17" s="68"/>
      <c r="QA17" s="68"/>
      <c r="QB17" s="68"/>
      <c r="QC17" s="68"/>
      <c r="QD17" s="68"/>
      <c r="QE17" s="68"/>
      <c r="QF17" s="68"/>
      <c r="QG17" s="68"/>
      <c r="QH17" s="68"/>
      <c r="QI17" s="68"/>
      <c r="QJ17" s="68"/>
      <c r="QK17" s="68"/>
      <c r="QL17" s="68"/>
      <c r="QM17" s="68"/>
      <c r="QN17" s="68"/>
      <c r="QO17" s="68"/>
      <c r="QP17" s="68"/>
      <c r="QQ17" s="68"/>
      <c r="QR17" s="68"/>
      <c r="QS17" s="68"/>
      <c r="QT17" s="68"/>
      <c r="QU17" s="68"/>
      <c r="QV17" s="68"/>
      <c r="QW17" s="68"/>
      <c r="QX17" s="68"/>
      <c r="QY17" s="68"/>
      <c r="QZ17" s="68"/>
      <c r="RA17" s="68"/>
      <c r="RB17" s="68"/>
      <c r="RC17" s="68"/>
      <c r="RD17" s="68"/>
      <c r="RE17" s="68"/>
      <c r="RF17" s="68"/>
      <c r="RG17" s="68"/>
      <c r="RH17" s="68"/>
      <c r="RI17" s="68"/>
      <c r="RJ17" s="68"/>
      <c r="RK17" s="68"/>
      <c r="RL17" s="68"/>
      <c r="RM17" s="68"/>
      <c r="RN17" s="68"/>
      <c r="RO17" s="68"/>
      <c r="RP17" s="68"/>
      <c r="RQ17" s="68"/>
      <c r="RR17" s="68"/>
      <c r="RS17" s="68"/>
      <c r="RT17" s="68"/>
      <c r="RU17" s="68"/>
      <c r="RV17" s="68"/>
      <c r="RW17" s="68"/>
      <c r="RX17" s="68"/>
      <c r="RY17" s="68"/>
      <c r="RZ17" s="68"/>
      <c r="SA17" s="68"/>
      <c r="SB17" s="68"/>
      <c r="SC17" s="68"/>
      <c r="SD17" s="68"/>
      <c r="SE17" s="68"/>
      <c r="SF17" s="68"/>
      <c r="SG17" s="68"/>
      <c r="SH17" s="68"/>
      <c r="SI17" s="68"/>
      <c r="SJ17" s="68"/>
      <c r="SK17" s="68"/>
      <c r="SL17" s="68"/>
      <c r="SM17" s="68"/>
      <c r="SN17" s="68"/>
      <c r="SO17" s="68"/>
      <c r="SP17" s="68"/>
      <c r="SQ17" s="68"/>
      <c r="SR17" s="68"/>
      <c r="SS17" s="68"/>
      <c r="ST17" s="68"/>
      <c r="SU17" s="68"/>
      <c r="SV17" s="68"/>
      <c r="SW17" s="68"/>
      <c r="SX17" s="68"/>
      <c r="SY17" s="68"/>
      <c r="SZ17" s="68"/>
      <c r="TA17" s="68"/>
      <c r="TB17" s="68"/>
      <c r="TC17" s="68"/>
      <c r="TD17" s="68"/>
      <c r="TE17" s="68"/>
      <c r="TF17" s="68"/>
      <c r="TG17" s="68"/>
      <c r="TH17" s="68"/>
      <c r="TI17" s="68"/>
      <c r="TJ17" s="68"/>
      <c r="TK17" s="68"/>
      <c r="TL17" s="68"/>
      <c r="TM17" s="68"/>
      <c r="TN17" s="68"/>
      <c r="TO17" s="68"/>
      <c r="TP17" s="68"/>
      <c r="TQ17" s="68"/>
      <c r="TR17" s="68"/>
      <c r="TS17" s="68"/>
      <c r="TT17" s="68"/>
      <c r="TU17" s="68"/>
      <c r="TV17" s="68"/>
      <c r="TW17" s="68"/>
      <c r="TX17" s="68"/>
      <c r="TY17" s="68"/>
      <c r="TZ17" s="68"/>
      <c r="UA17" s="68"/>
      <c r="UB17" s="68"/>
      <c r="UC17" s="68"/>
      <c r="UD17" s="68"/>
      <c r="UE17" s="68"/>
      <c r="UF17" s="68"/>
      <c r="UG17" s="68"/>
      <c r="UH17" s="68"/>
      <c r="UI17" s="68"/>
      <c r="UJ17" s="68"/>
      <c r="UK17" s="68"/>
      <c r="UL17" s="68"/>
      <c r="UM17" s="68"/>
      <c r="UN17" s="68"/>
      <c r="UO17" s="68"/>
      <c r="UP17" s="68"/>
      <c r="UQ17" s="68"/>
      <c r="UR17" s="68"/>
      <c r="US17" s="68"/>
      <c r="UT17" s="68"/>
      <c r="UU17" s="68"/>
      <c r="UV17" s="68"/>
      <c r="UW17" s="68"/>
      <c r="UX17" s="68"/>
      <c r="UY17" s="68"/>
      <c r="UZ17" s="68"/>
      <c r="VA17" s="68"/>
      <c r="VB17" s="68"/>
      <c r="VC17" s="68"/>
      <c r="VD17" s="68"/>
      <c r="VE17" s="68"/>
      <c r="VF17" s="68"/>
      <c r="VG17" s="68"/>
      <c r="VH17" s="68"/>
      <c r="VI17" s="68"/>
      <c r="VJ17" s="68"/>
      <c r="VK17" s="68"/>
      <c r="VL17" s="68"/>
      <c r="VM17" s="68"/>
      <c r="VN17" s="68"/>
      <c r="VO17" s="68"/>
      <c r="VP17" s="68"/>
      <c r="VQ17" s="68"/>
      <c r="VR17" s="68"/>
      <c r="VS17" s="68"/>
      <c r="VT17" s="68"/>
      <c r="VU17" s="68"/>
      <c r="VV17" s="68"/>
      <c r="VW17" s="68"/>
      <c r="VX17" s="68"/>
      <c r="VY17" s="68"/>
      <c r="VZ17" s="68"/>
      <c r="WA17" s="68"/>
      <c r="WB17" s="68"/>
      <c r="WC17" s="68"/>
      <c r="WD17" s="68"/>
      <c r="WE17" s="68"/>
      <c r="WF17" s="68"/>
      <c r="WG17" s="68"/>
      <c r="WH17" s="68"/>
      <c r="WI17" s="68"/>
      <c r="WJ17" s="68"/>
      <c r="WK17" s="68"/>
      <c r="WL17" s="68"/>
      <c r="WM17" s="68"/>
      <c r="WN17" s="68"/>
      <c r="WO17" s="68"/>
      <c r="WP17" s="68"/>
      <c r="WQ17" s="68"/>
      <c r="WR17" s="68"/>
      <c r="WS17" s="68"/>
      <c r="WT17" s="68"/>
      <c r="WU17" s="68"/>
      <c r="WV17" s="68"/>
      <c r="WW17" s="68"/>
      <c r="WX17" s="68"/>
      <c r="WY17" s="68"/>
      <c r="WZ17" s="68"/>
      <c r="XA17" s="68"/>
      <c r="XB17" s="68"/>
      <c r="XC17" s="68"/>
      <c r="XD17" s="68"/>
      <c r="XE17" s="68"/>
      <c r="XF17" s="68"/>
      <c r="XG17" s="68"/>
      <c r="XH17" s="68"/>
      <c r="XI17" s="68"/>
      <c r="XJ17" s="68"/>
      <c r="XK17" s="68"/>
      <c r="XL17" s="68"/>
      <c r="XM17" s="68"/>
      <c r="XN17" s="68"/>
      <c r="XO17" s="68"/>
      <c r="XP17" s="68"/>
      <c r="XQ17" s="68"/>
      <c r="XR17" s="68"/>
      <c r="XS17" s="68"/>
      <c r="XT17" s="68"/>
      <c r="XU17" s="68"/>
      <c r="XV17" s="68"/>
      <c r="XW17" s="68"/>
      <c r="XX17" s="68"/>
      <c r="XY17" s="68"/>
      <c r="XZ17" s="68"/>
      <c r="YA17" s="68"/>
      <c r="YB17" s="68"/>
      <c r="YC17" s="68"/>
      <c r="YD17" s="68"/>
      <c r="YE17" s="68"/>
      <c r="YF17" s="68"/>
      <c r="YG17" s="68"/>
      <c r="YH17" s="68"/>
      <c r="YI17" s="68"/>
      <c r="YJ17" s="68"/>
      <c r="YK17" s="68"/>
      <c r="YL17" s="68"/>
      <c r="YM17" s="68"/>
      <c r="YN17" s="68"/>
      <c r="YO17" s="68"/>
      <c r="YP17" s="68"/>
      <c r="YQ17" s="68"/>
      <c r="YR17" s="68"/>
      <c r="YS17" s="68"/>
      <c r="YT17" s="68"/>
      <c r="YU17" s="68"/>
      <c r="YV17" s="68"/>
      <c r="YW17" s="68"/>
      <c r="YX17" s="68"/>
      <c r="YY17" s="68"/>
      <c r="YZ17" s="68"/>
      <c r="ZA17" s="68"/>
      <c r="ZB17" s="68"/>
      <c r="ZC17" s="68"/>
      <c r="ZD17" s="68"/>
      <c r="ZE17" s="68"/>
      <c r="ZF17" s="68"/>
      <c r="ZG17" s="68"/>
      <c r="ZH17" s="68"/>
      <c r="ZI17" s="68"/>
      <c r="ZJ17" s="68"/>
      <c r="ZK17" s="68"/>
      <c r="ZL17" s="68"/>
      <c r="ZM17" s="68"/>
      <c r="ZN17" s="68"/>
      <c r="ZO17" s="68"/>
      <c r="ZP17" s="68"/>
      <c r="ZQ17" s="68"/>
      <c r="ZR17" s="68"/>
      <c r="ZS17" s="68"/>
      <c r="ZT17" s="68"/>
      <c r="ZU17" s="68"/>
      <c r="ZV17" s="68"/>
      <c r="ZW17" s="68"/>
      <c r="ZX17" s="68"/>
      <c r="ZY17" s="68"/>
      <c r="ZZ17" s="68"/>
      <c r="AAA17" s="68"/>
      <c r="AAB17" s="68"/>
      <c r="AAC17" s="68"/>
      <c r="AAD17" s="68"/>
      <c r="AAE17" s="68"/>
      <c r="AAF17" s="68"/>
    </row>
    <row r="18" spans="1:708" s="31" customFormat="1" ht="54" customHeight="1" x14ac:dyDescent="0.25">
      <c r="A18" s="693" t="s">
        <v>43</v>
      </c>
      <c r="B18" s="694" t="s">
        <v>44</v>
      </c>
      <c r="C18" s="696" t="s">
        <v>45</v>
      </c>
      <c r="D18" s="696" t="s">
        <v>46</v>
      </c>
      <c r="E18" s="696" t="s">
        <v>47</v>
      </c>
      <c r="F18" s="696" t="s">
        <v>48</v>
      </c>
      <c r="G18" s="696" t="s">
        <v>49</v>
      </c>
      <c r="H18" s="696" t="s">
        <v>50</v>
      </c>
      <c r="I18" s="711" t="s">
        <v>78</v>
      </c>
      <c r="J18" s="690" t="s">
        <v>52</v>
      </c>
      <c r="K18" s="690" t="s">
        <v>101</v>
      </c>
      <c r="L18" s="690" t="s">
        <v>79</v>
      </c>
      <c r="M18" s="690" t="s">
        <v>80</v>
      </c>
      <c r="N18" s="690" t="s">
        <v>56</v>
      </c>
      <c r="O18" s="690"/>
      <c r="P18" s="690">
        <v>566</v>
      </c>
      <c r="Q18" s="63" t="s">
        <v>81</v>
      </c>
      <c r="R18" s="63" t="s">
        <v>82</v>
      </c>
      <c r="S18" s="83" t="s">
        <v>56</v>
      </c>
      <c r="T18" s="84"/>
      <c r="U18" s="83">
        <v>425</v>
      </c>
      <c r="V18" s="1012"/>
      <c r="W18" s="1009"/>
      <c r="X18" s="24" t="s">
        <v>126</v>
      </c>
      <c r="Y18" s="698">
        <v>25</v>
      </c>
      <c r="Z18" s="698">
        <f>+P18</f>
        <v>566</v>
      </c>
      <c r="AA18" s="699">
        <f>Y18/Z18</f>
        <v>4.4169611307420496E-2</v>
      </c>
      <c r="AB18" s="698" t="s">
        <v>127</v>
      </c>
      <c r="AC18" s="83">
        <v>36</v>
      </c>
      <c r="AD18" s="83">
        <f t="shared" si="0"/>
        <v>425</v>
      </c>
      <c r="AE18" s="85">
        <f>+AC18/AD18</f>
        <v>8.4705882352941173E-2</v>
      </c>
      <c r="AF18" s="64" t="s">
        <v>128</v>
      </c>
      <c r="AG18" s="718">
        <v>40</v>
      </c>
      <c r="AH18" s="718">
        <v>566</v>
      </c>
      <c r="AI18" s="719">
        <v>7.0671378091872794E-2</v>
      </c>
      <c r="AJ18" s="718" t="s">
        <v>129</v>
      </c>
      <c r="AK18" s="86">
        <v>93</v>
      </c>
      <c r="AL18" s="86">
        <v>425</v>
      </c>
      <c r="AM18" s="87">
        <v>0.21882352941176469</v>
      </c>
      <c r="AN18" s="66" t="s">
        <v>130</v>
      </c>
      <c r="AO18" s="718">
        <v>66</v>
      </c>
      <c r="AP18" s="718">
        <f>+P18</f>
        <v>566</v>
      </c>
      <c r="AQ18" s="719">
        <f>AO18/AP18</f>
        <v>0.1166077738515901</v>
      </c>
      <c r="AR18" s="718" t="s">
        <v>131</v>
      </c>
      <c r="AS18" s="86">
        <v>129</v>
      </c>
      <c r="AT18" s="86">
        <f t="shared" si="1"/>
        <v>425</v>
      </c>
      <c r="AU18" s="87">
        <f>+AS18/AT18</f>
        <v>0.30352941176470588</v>
      </c>
      <c r="AV18" s="66" t="s">
        <v>132</v>
      </c>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20"/>
      <c r="ST18" s="20"/>
      <c r="SU18" s="20"/>
      <c r="SV18" s="20"/>
      <c r="SW18" s="20"/>
      <c r="SX18" s="20"/>
      <c r="SY18" s="20"/>
      <c r="SZ18" s="20"/>
      <c r="TA18" s="20"/>
      <c r="TB18" s="20"/>
      <c r="TC18" s="20"/>
      <c r="TD18" s="20"/>
      <c r="TE18" s="20"/>
      <c r="TF18" s="20"/>
      <c r="TG18" s="20"/>
      <c r="TH18" s="20"/>
      <c r="TI18" s="20"/>
      <c r="TJ18" s="20"/>
      <c r="TK18" s="20"/>
      <c r="TL18" s="20"/>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c r="ZQ18" s="20"/>
      <c r="ZR18" s="20"/>
      <c r="ZS18" s="20"/>
      <c r="ZT18" s="20"/>
      <c r="ZU18" s="20"/>
      <c r="ZV18" s="20"/>
      <c r="ZW18" s="20"/>
      <c r="ZX18" s="20"/>
      <c r="ZY18" s="20"/>
      <c r="ZZ18" s="20"/>
      <c r="AAA18" s="20"/>
      <c r="AAB18" s="20"/>
      <c r="AAC18" s="20"/>
      <c r="AAD18" s="20"/>
      <c r="AAE18" s="20"/>
      <c r="AAF18" s="20"/>
    </row>
    <row r="19" spans="1:708" s="21" customFormat="1" ht="53.25" customHeight="1" x14ac:dyDescent="0.25">
      <c r="A19" s="693"/>
      <c r="B19" s="695"/>
      <c r="C19" s="697"/>
      <c r="D19" s="697"/>
      <c r="E19" s="697"/>
      <c r="F19" s="697"/>
      <c r="G19" s="697"/>
      <c r="H19" s="697"/>
      <c r="I19" s="712"/>
      <c r="J19" s="690"/>
      <c r="K19" s="690"/>
      <c r="L19" s="690"/>
      <c r="M19" s="690"/>
      <c r="N19" s="690"/>
      <c r="O19" s="690"/>
      <c r="P19" s="690"/>
      <c r="Q19" s="70" t="s">
        <v>133</v>
      </c>
      <c r="R19" s="70" t="s">
        <v>134</v>
      </c>
      <c r="S19" s="71" t="s">
        <v>56</v>
      </c>
      <c r="T19" s="70"/>
      <c r="U19" s="71">
        <v>425</v>
      </c>
      <c r="V19" s="1012"/>
      <c r="W19" s="1009"/>
      <c r="X19" s="72" t="s">
        <v>126</v>
      </c>
      <c r="Y19" s="698"/>
      <c r="Z19" s="698"/>
      <c r="AA19" s="699"/>
      <c r="AB19" s="698"/>
      <c r="AC19" s="71">
        <v>2</v>
      </c>
      <c r="AD19" s="71">
        <f t="shared" si="0"/>
        <v>425</v>
      </c>
      <c r="AE19" s="73">
        <f>AC19/AD19</f>
        <v>4.7058823529411761E-3</v>
      </c>
      <c r="AF19" s="71" t="s">
        <v>135</v>
      </c>
      <c r="AG19" s="718"/>
      <c r="AH19" s="718"/>
      <c r="AI19" s="719"/>
      <c r="AJ19" s="718"/>
      <c r="AK19" s="74">
        <v>17</v>
      </c>
      <c r="AL19" s="74">
        <v>425</v>
      </c>
      <c r="AM19" s="75">
        <v>0.04</v>
      </c>
      <c r="AN19" s="74" t="s">
        <v>136</v>
      </c>
      <c r="AO19" s="718"/>
      <c r="AP19" s="718"/>
      <c r="AQ19" s="719"/>
      <c r="AR19" s="718"/>
      <c r="AS19" s="74">
        <v>74</v>
      </c>
      <c r="AT19" s="74">
        <f t="shared" si="1"/>
        <v>425</v>
      </c>
      <c r="AU19" s="75">
        <f>AS19/AT19</f>
        <v>0.17411764705882352</v>
      </c>
      <c r="AV19" s="74" t="s">
        <v>137</v>
      </c>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c r="IW19" s="20"/>
      <c r="IX19" s="20"/>
      <c r="IY19" s="20"/>
      <c r="IZ19" s="20"/>
      <c r="JA19" s="20"/>
      <c r="JB19" s="20"/>
      <c r="JC19" s="20"/>
      <c r="JD19" s="20"/>
      <c r="JE19" s="20"/>
      <c r="JF19" s="20"/>
      <c r="JG19" s="20"/>
      <c r="JH19" s="20"/>
      <c r="JI19" s="20"/>
      <c r="JJ19" s="20"/>
      <c r="JK19" s="20"/>
      <c r="JL19" s="20"/>
      <c r="JM19" s="20"/>
      <c r="JN19" s="20"/>
      <c r="JO19" s="20"/>
      <c r="JP19" s="20"/>
      <c r="JQ19" s="20"/>
      <c r="JR19" s="20"/>
      <c r="JS19" s="20"/>
      <c r="JT19" s="20"/>
      <c r="JU19" s="20"/>
      <c r="JV19" s="20"/>
      <c r="JW19" s="20"/>
      <c r="JX19" s="20"/>
      <c r="JY19" s="20"/>
      <c r="JZ19" s="20"/>
      <c r="KA19" s="20"/>
      <c r="KB19" s="20"/>
      <c r="KC19" s="20"/>
      <c r="KD19" s="20"/>
      <c r="KE19" s="20"/>
      <c r="KF19" s="20"/>
      <c r="KG19" s="20"/>
      <c r="KH19" s="20"/>
      <c r="KI19" s="20"/>
      <c r="KJ19" s="20"/>
      <c r="KK19" s="20"/>
      <c r="KL19" s="20"/>
      <c r="KM19" s="20"/>
      <c r="KN19" s="20"/>
      <c r="KO19" s="20"/>
      <c r="KP19" s="20"/>
      <c r="KQ19" s="20"/>
      <c r="KR19" s="20"/>
      <c r="KS19" s="20"/>
      <c r="KT19" s="20"/>
      <c r="KU19" s="20"/>
      <c r="KV19" s="20"/>
      <c r="KW19" s="20"/>
      <c r="KX19" s="20"/>
      <c r="KY19" s="20"/>
      <c r="KZ19" s="20"/>
      <c r="LA19" s="20"/>
      <c r="LB19" s="20"/>
      <c r="LC19" s="20"/>
      <c r="LD19" s="20"/>
      <c r="LE19" s="20"/>
      <c r="LF19" s="20"/>
      <c r="LG19" s="20"/>
      <c r="LH19" s="20"/>
      <c r="LI19" s="20"/>
      <c r="LJ19" s="20"/>
      <c r="LK19" s="20"/>
      <c r="LL19" s="20"/>
      <c r="LM19" s="20"/>
      <c r="LN19" s="20"/>
      <c r="LO19" s="20"/>
      <c r="LP19" s="20"/>
      <c r="LQ19" s="20"/>
      <c r="LR19" s="20"/>
      <c r="LS19" s="20"/>
      <c r="LT19" s="20"/>
      <c r="LU19" s="20"/>
      <c r="LV19" s="20"/>
      <c r="LW19" s="20"/>
      <c r="LX19" s="20"/>
      <c r="LY19" s="20"/>
      <c r="LZ19" s="20"/>
      <c r="MA19" s="20"/>
      <c r="MB19" s="20"/>
      <c r="MC19" s="20"/>
      <c r="MD19" s="20"/>
      <c r="ME19" s="20"/>
      <c r="MF19" s="20"/>
      <c r="MG19" s="20"/>
      <c r="MH19" s="20"/>
      <c r="MI19" s="20"/>
      <c r="MJ19" s="20"/>
      <c r="MK19" s="20"/>
      <c r="ML19" s="20"/>
      <c r="MM19" s="20"/>
      <c r="MN19" s="20"/>
      <c r="MO19" s="20"/>
      <c r="MP19" s="20"/>
      <c r="MQ19" s="20"/>
      <c r="MR19" s="20"/>
      <c r="MS19" s="20"/>
      <c r="MT19" s="20"/>
      <c r="MU19" s="20"/>
      <c r="MV19" s="20"/>
      <c r="MW19" s="20"/>
      <c r="MX19" s="20"/>
      <c r="MY19" s="20"/>
      <c r="MZ19" s="20"/>
      <c r="NA19" s="20"/>
      <c r="NB19" s="20"/>
      <c r="NC19" s="20"/>
      <c r="ND19" s="20"/>
      <c r="NE19" s="20"/>
      <c r="NF19" s="20"/>
      <c r="NG19" s="20"/>
      <c r="NH19" s="20"/>
      <c r="NI19" s="20"/>
      <c r="NJ19" s="20"/>
      <c r="NK19" s="20"/>
      <c r="NL19" s="20"/>
      <c r="NM19" s="20"/>
      <c r="NN19" s="20"/>
      <c r="NO19" s="20"/>
      <c r="NP19" s="20"/>
      <c r="NQ19" s="20"/>
      <c r="NR19" s="20"/>
      <c r="NS19" s="20"/>
      <c r="NT19" s="20"/>
      <c r="NU19" s="20"/>
      <c r="NV19" s="20"/>
      <c r="NW19" s="20"/>
      <c r="NX19" s="20"/>
      <c r="NY19" s="20"/>
      <c r="NZ19" s="20"/>
      <c r="OA19" s="20"/>
      <c r="OB19" s="20"/>
      <c r="OC19" s="20"/>
      <c r="OD19" s="20"/>
      <c r="OE19" s="20"/>
      <c r="OF19" s="20"/>
      <c r="OG19" s="20"/>
      <c r="OH19" s="20"/>
      <c r="OI19" s="20"/>
      <c r="OJ19" s="20"/>
      <c r="OK19" s="20"/>
      <c r="OL19" s="20"/>
      <c r="OM19" s="20"/>
      <c r="ON19" s="20"/>
      <c r="OO19" s="20"/>
      <c r="OP19" s="20"/>
      <c r="OQ19" s="20"/>
      <c r="OR19" s="20"/>
      <c r="OS19" s="20"/>
      <c r="OT19" s="20"/>
      <c r="OU19" s="20"/>
      <c r="OV19" s="20"/>
      <c r="OW19" s="20"/>
      <c r="OX19" s="20"/>
      <c r="OY19" s="20"/>
      <c r="OZ19" s="20"/>
      <c r="PA19" s="20"/>
      <c r="PB19" s="20"/>
      <c r="PC19" s="20"/>
      <c r="PD19" s="20"/>
      <c r="PE19" s="20"/>
      <c r="PF19" s="20"/>
      <c r="PG19" s="20"/>
      <c r="PH19" s="20"/>
      <c r="PI19" s="20"/>
      <c r="PJ19" s="20"/>
      <c r="PK19" s="20"/>
      <c r="PL19" s="20"/>
      <c r="PM19" s="20"/>
      <c r="PN19" s="20"/>
      <c r="PO19" s="20"/>
      <c r="PP19" s="20"/>
      <c r="PQ19" s="20"/>
      <c r="PR19" s="20"/>
      <c r="PS19" s="20"/>
      <c r="PT19" s="20"/>
      <c r="PU19" s="20"/>
      <c r="PV19" s="20"/>
      <c r="PW19" s="20"/>
      <c r="PX19" s="20"/>
      <c r="PY19" s="20"/>
      <c r="PZ19" s="20"/>
      <c r="QA19" s="20"/>
      <c r="QB19" s="20"/>
      <c r="QC19" s="20"/>
      <c r="QD19" s="20"/>
      <c r="QE19" s="20"/>
      <c r="QF19" s="20"/>
      <c r="QG19" s="20"/>
      <c r="QH19" s="20"/>
      <c r="QI19" s="20"/>
      <c r="QJ19" s="20"/>
      <c r="QK19" s="20"/>
      <c r="QL19" s="20"/>
      <c r="QM19" s="20"/>
      <c r="QN19" s="20"/>
      <c r="QO19" s="20"/>
      <c r="QP19" s="20"/>
      <c r="QQ19" s="20"/>
      <c r="QR19" s="20"/>
      <c r="QS19" s="20"/>
      <c r="QT19" s="20"/>
      <c r="QU19" s="20"/>
      <c r="QV19" s="20"/>
      <c r="QW19" s="20"/>
      <c r="QX19" s="20"/>
      <c r="QY19" s="20"/>
      <c r="QZ19" s="20"/>
      <c r="RA19" s="20"/>
      <c r="RB19" s="20"/>
      <c r="RC19" s="20"/>
      <c r="RD19" s="20"/>
      <c r="RE19" s="20"/>
      <c r="RF19" s="20"/>
      <c r="RG19" s="20"/>
      <c r="RH19" s="20"/>
      <c r="RI19" s="20"/>
      <c r="RJ19" s="20"/>
      <c r="RK19" s="20"/>
      <c r="RL19" s="20"/>
      <c r="RM19" s="20"/>
      <c r="RN19" s="20"/>
      <c r="RO19" s="20"/>
      <c r="RP19" s="20"/>
      <c r="RQ19" s="20"/>
      <c r="RR19" s="20"/>
      <c r="RS19" s="20"/>
      <c r="RT19" s="20"/>
      <c r="RU19" s="20"/>
      <c r="RV19" s="20"/>
      <c r="RW19" s="20"/>
      <c r="RX19" s="20"/>
      <c r="RY19" s="20"/>
      <c r="RZ19" s="20"/>
      <c r="SA19" s="20"/>
      <c r="SB19" s="20"/>
      <c r="SC19" s="20"/>
      <c r="SD19" s="20"/>
      <c r="SE19" s="20"/>
      <c r="SF19" s="20"/>
      <c r="SG19" s="20"/>
      <c r="SH19" s="20"/>
      <c r="SI19" s="20"/>
      <c r="SJ19" s="20"/>
      <c r="SK19" s="20"/>
      <c r="SL19" s="20"/>
      <c r="SM19" s="20"/>
      <c r="SN19" s="20"/>
      <c r="SO19" s="20"/>
      <c r="SP19" s="20"/>
      <c r="SQ19" s="20"/>
      <c r="SR19" s="20"/>
      <c r="SS19" s="20"/>
      <c r="ST19" s="20"/>
      <c r="SU19" s="20"/>
      <c r="SV19" s="20"/>
      <c r="SW19" s="20"/>
      <c r="SX19" s="20"/>
      <c r="SY19" s="20"/>
      <c r="SZ19" s="20"/>
      <c r="TA19" s="20"/>
      <c r="TB19" s="20"/>
      <c r="TC19" s="20"/>
      <c r="TD19" s="20"/>
      <c r="TE19" s="20"/>
      <c r="TF19" s="20"/>
      <c r="TG19" s="20"/>
      <c r="TH19" s="20"/>
      <c r="TI19" s="20"/>
      <c r="TJ19" s="20"/>
      <c r="TK19" s="20"/>
      <c r="TL19" s="20"/>
      <c r="TM19" s="20"/>
      <c r="TN19" s="20"/>
      <c r="TO19" s="20"/>
      <c r="TP19" s="20"/>
      <c r="TQ19" s="20"/>
      <c r="TR19" s="20"/>
      <c r="TS19" s="20"/>
      <c r="TT19" s="20"/>
      <c r="TU19" s="20"/>
      <c r="TV19" s="20"/>
      <c r="TW19" s="20"/>
      <c r="TX19" s="20"/>
      <c r="TY19" s="20"/>
      <c r="TZ19" s="20"/>
      <c r="UA19" s="20"/>
      <c r="UB19" s="20"/>
      <c r="UC19" s="20"/>
      <c r="UD19" s="20"/>
      <c r="UE19" s="20"/>
      <c r="UF19" s="20"/>
      <c r="UG19" s="20"/>
      <c r="UH19" s="20"/>
      <c r="UI19" s="20"/>
      <c r="UJ19" s="20"/>
      <c r="UK19" s="20"/>
      <c r="UL19" s="20"/>
      <c r="UM19" s="20"/>
      <c r="UN19" s="20"/>
      <c r="UO19" s="20"/>
      <c r="UP19" s="20"/>
      <c r="UQ19" s="20"/>
      <c r="UR19" s="20"/>
      <c r="US19" s="20"/>
      <c r="UT19" s="20"/>
      <c r="UU19" s="20"/>
      <c r="UV19" s="20"/>
      <c r="UW19" s="20"/>
      <c r="UX19" s="20"/>
      <c r="UY19" s="20"/>
      <c r="UZ19" s="20"/>
      <c r="VA19" s="20"/>
      <c r="VB19" s="20"/>
      <c r="VC19" s="20"/>
      <c r="VD19" s="20"/>
      <c r="VE19" s="20"/>
      <c r="VF19" s="20"/>
      <c r="VG19" s="20"/>
      <c r="VH19" s="20"/>
      <c r="VI19" s="20"/>
      <c r="VJ19" s="20"/>
      <c r="VK19" s="20"/>
      <c r="VL19" s="20"/>
      <c r="VM19" s="20"/>
      <c r="VN19" s="20"/>
      <c r="VO19" s="20"/>
      <c r="VP19" s="20"/>
      <c r="VQ19" s="20"/>
      <c r="VR19" s="20"/>
      <c r="VS19" s="20"/>
      <c r="VT19" s="20"/>
      <c r="VU19" s="20"/>
      <c r="VV19" s="20"/>
      <c r="VW19" s="20"/>
      <c r="VX19" s="20"/>
      <c r="VY19" s="20"/>
      <c r="VZ19" s="20"/>
      <c r="WA19" s="20"/>
      <c r="WB19" s="20"/>
      <c r="WC19" s="20"/>
      <c r="WD19" s="20"/>
      <c r="WE19" s="20"/>
      <c r="WF19" s="20"/>
      <c r="WG19" s="20"/>
      <c r="WH19" s="20"/>
      <c r="WI19" s="20"/>
      <c r="WJ19" s="20"/>
      <c r="WK19" s="20"/>
      <c r="WL19" s="20"/>
      <c r="WM19" s="20"/>
      <c r="WN19" s="20"/>
      <c r="WO19" s="20"/>
      <c r="WP19" s="20"/>
      <c r="WQ19" s="20"/>
      <c r="WR19" s="20"/>
      <c r="WS19" s="20"/>
      <c r="WT19" s="20"/>
      <c r="WU19" s="20"/>
      <c r="WV19" s="20"/>
      <c r="WW19" s="20"/>
      <c r="WX19" s="20"/>
      <c r="WY19" s="20"/>
      <c r="WZ19" s="20"/>
      <c r="XA19" s="20"/>
      <c r="XB19" s="20"/>
      <c r="XC19" s="20"/>
      <c r="XD19" s="20"/>
      <c r="XE19" s="20"/>
      <c r="XF19" s="20"/>
      <c r="XG19" s="20"/>
      <c r="XH19" s="20"/>
      <c r="XI19" s="20"/>
      <c r="XJ19" s="20"/>
      <c r="XK19" s="20"/>
      <c r="XL19" s="20"/>
      <c r="XM19" s="20"/>
      <c r="XN19" s="20"/>
      <c r="XO19" s="20"/>
      <c r="XP19" s="20"/>
      <c r="XQ19" s="20"/>
      <c r="XR19" s="20"/>
      <c r="XS19" s="20"/>
      <c r="XT19" s="20"/>
      <c r="XU19" s="20"/>
      <c r="XV19" s="20"/>
      <c r="XW19" s="20"/>
      <c r="XX19" s="20"/>
      <c r="XY19" s="20"/>
      <c r="XZ19" s="20"/>
      <c r="YA19" s="20"/>
      <c r="YB19" s="20"/>
      <c r="YC19" s="20"/>
      <c r="YD19" s="20"/>
      <c r="YE19" s="20"/>
      <c r="YF19" s="20"/>
      <c r="YG19" s="20"/>
      <c r="YH19" s="20"/>
      <c r="YI19" s="20"/>
      <c r="YJ19" s="20"/>
      <c r="YK19" s="20"/>
      <c r="YL19" s="20"/>
      <c r="YM19" s="20"/>
      <c r="YN19" s="20"/>
      <c r="YO19" s="20"/>
      <c r="YP19" s="20"/>
      <c r="YQ19" s="20"/>
      <c r="YR19" s="20"/>
      <c r="YS19" s="20"/>
      <c r="YT19" s="20"/>
      <c r="YU19" s="20"/>
      <c r="YV19" s="20"/>
      <c r="YW19" s="20"/>
      <c r="YX19" s="20"/>
      <c r="YY19" s="20"/>
      <c r="YZ19" s="20"/>
      <c r="ZA19" s="20"/>
      <c r="ZB19" s="20"/>
      <c r="ZC19" s="20"/>
      <c r="ZD19" s="20"/>
      <c r="ZE19" s="20"/>
      <c r="ZF19" s="20"/>
      <c r="ZG19" s="20"/>
      <c r="ZH19" s="20"/>
      <c r="ZI19" s="20"/>
      <c r="ZJ19" s="20"/>
      <c r="ZK19" s="20"/>
      <c r="ZL19" s="20"/>
      <c r="ZM19" s="20"/>
      <c r="ZN19" s="20"/>
      <c r="ZO19" s="20"/>
      <c r="ZP19" s="20"/>
      <c r="ZQ19" s="20"/>
      <c r="ZR19" s="20"/>
      <c r="ZS19" s="20"/>
      <c r="ZT19" s="20"/>
      <c r="ZU19" s="20"/>
      <c r="ZV19" s="20"/>
      <c r="ZW19" s="20"/>
      <c r="ZX19" s="20"/>
      <c r="ZY19" s="20"/>
      <c r="ZZ19" s="20"/>
      <c r="AAA19" s="20"/>
      <c r="AAB19" s="20"/>
      <c r="AAC19" s="20"/>
      <c r="AAD19" s="20"/>
      <c r="AAE19" s="20"/>
      <c r="AAF19" s="20"/>
    </row>
    <row r="20" spans="1:708" s="31" customFormat="1" ht="53.25" customHeight="1" x14ac:dyDescent="0.25">
      <c r="A20" s="693"/>
      <c r="B20" s="695"/>
      <c r="C20" s="697"/>
      <c r="D20" s="697"/>
      <c r="E20" s="697"/>
      <c r="F20" s="697"/>
      <c r="G20" s="697"/>
      <c r="H20" s="697"/>
      <c r="I20" s="712"/>
      <c r="J20" s="690"/>
      <c r="K20" s="690"/>
      <c r="L20" s="690"/>
      <c r="M20" s="690"/>
      <c r="N20" s="690"/>
      <c r="O20" s="690"/>
      <c r="P20" s="690"/>
      <c r="Q20" s="63" t="s">
        <v>138</v>
      </c>
      <c r="R20" s="63" t="s">
        <v>139</v>
      </c>
      <c r="S20" s="83" t="s">
        <v>56</v>
      </c>
      <c r="T20" s="84"/>
      <c r="U20" s="83">
        <v>47</v>
      </c>
      <c r="V20" s="1012"/>
      <c r="W20" s="1009"/>
      <c r="X20" s="24" t="s">
        <v>126</v>
      </c>
      <c r="Y20" s="698"/>
      <c r="Z20" s="698"/>
      <c r="AA20" s="699"/>
      <c r="AB20" s="698"/>
      <c r="AC20" s="83">
        <v>1</v>
      </c>
      <c r="AD20" s="83">
        <f t="shared" si="0"/>
        <v>47</v>
      </c>
      <c r="AE20" s="85">
        <f>AC20/AD20</f>
        <v>2.1276595744680851E-2</v>
      </c>
      <c r="AF20" s="64" t="s">
        <v>140</v>
      </c>
      <c r="AG20" s="718"/>
      <c r="AH20" s="718"/>
      <c r="AI20" s="719"/>
      <c r="AJ20" s="718"/>
      <c r="AK20" s="86">
        <v>4</v>
      </c>
      <c r="AL20" s="86">
        <v>47</v>
      </c>
      <c r="AM20" s="87">
        <v>8.5106382978723402E-2</v>
      </c>
      <c r="AN20" s="66" t="s">
        <v>141</v>
      </c>
      <c r="AO20" s="718"/>
      <c r="AP20" s="718"/>
      <c r="AQ20" s="719"/>
      <c r="AR20" s="718"/>
      <c r="AS20" s="86">
        <v>6</v>
      </c>
      <c r="AT20" s="86">
        <f t="shared" si="1"/>
        <v>47</v>
      </c>
      <c r="AU20" s="87">
        <f>AS20/AT20</f>
        <v>0.1276595744680851</v>
      </c>
      <c r="AV20" s="66" t="s">
        <v>142</v>
      </c>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c r="JW20" s="20"/>
      <c r="JX20" s="20"/>
      <c r="JY20" s="20"/>
      <c r="JZ20" s="20"/>
      <c r="KA20" s="20"/>
      <c r="KB20" s="20"/>
      <c r="KC20" s="20"/>
      <c r="KD20" s="20"/>
      <c r="KE20" s="20"/>
      <c r="KF20" s="20"/>
      <c r="KG20" s="20"/>
      <c r="KH20" s="20"/>
      <c r="KI20" s="20"/>
      <c r="KJ20" s="20"/>
      <c r="KK20" s="20"/>
      <c r="KL20" s="20"/>
      <c r="KM20" s="20"/>
      <c r="KN20" s="20"/>
      <c r="KO20" s="20"/>
      <c r="KP20" s="20"/>
      <c r="KQ20" s="20"/>
      <c r="KR20" s="20"/>
      <c r="KS20" s="20"/>
      <c r="KT20" s="20"/>
      <c r="KU20" s="20"/>
      <c r="KV20" s="20"/>
      <c r="KW20" s="20"/>
      <c r="KX20" s="20"/>
      <c r="KY20" s="20"/>
      <c r="KZ20" s="20"/>
      <c r="LA20" s="20"/>
      <c r="LB20" s="20"/>
      <c r="LC20" s="20"/>
      <c r="LD20" s="20"/>
      <c r="LE20" s="20"/>
      <c r="LF20" s="20"/>
      <c r="LG20" s="20"/>
      <c r="LH20" s="20"/>
      <c r="LI20" s="20"/>
      <c r="LJ20" s="20"/>
      <c r="LK20" s="20"/>
      <c r="LL20" s="20"/>
      <c r="LM20" s="20"/>
      <c r="LN20" s="20"/>
      <c r="LO20" s="20"/>
      <c r="LP20" s="20"/>
      <c r="LQ20" s="20"/>
      <c r="LR20" s="20"/>
      <c r="LS20" s="20"/>
      <c r="LT20" s="20"/>
      <c r="LU20" s="20"/>
      <c r="LV20" s="20"/>
      <c r="LW20" s="20"/>
      <c r="LX20" s="20"/>
      <c r="LY20" s="20"/>
      <c r="LZ20" s="20"/>
      <c r="MA20" s="20"/>
      <c r="MB20" s="20"/>
      <c r="MC20" s="20"/>
      <c r="MD20" s="20"/>
      <c r="ME20" s="20"/>
      <c r="MF20" s="20"/>
      <c r="MG20" s="20"/>
      <c r="MH20" s="20"/>
      <c r="MI20" s="20"/>
      <c r="MJ20" s="20"/>
      <c r="MK20" s="20"/>
      <c r="ML20" s="20"/>
      <c r="MM20" s="20"/>
      <c r="MN20" s="20"/>
      <c r="MO20" s="20"/>
      <c r="MP20" s="20"/>
      <c r="MQ20" s="20"/>
      <c r="MR20" s="20"/>
      <c r="MS20" s="20"/>
      <c r="MT20" s="20"/>
      <c r="MU20" s="20"/>
      <c r="MV20" s="20"/>
      <c r="MW20" s="20"/>
      <c r="MX20" s="20"/>
      <c r="MY20" s="20"/>
      <c r="MZ20" s="20"/>
      <c r="NA20" s="20"/>
      <c r="NB20" s="20"/>
      <c r="NC20" s="20"/>
      <c r="ND20" s="20"/>
      <c r="NE20" s="20"/>
      <c r="NF20" s="20"/>
      <c r="NG20" s="20"/>
      <c r="NH20" s="20"/>
      <c r="NI20" s="20"/>
      <c r="NJ20" s="20"/>
      <c r="NK20" s="20"/>
      <c r="NL20" s="20"/>
      <c r="NM20" s="20"/>
      <c r="NN20" s="20"/>
      <c r="NO20" s="20"/>
      <c r="NP20" s="20"/>
      <c r="NQ20" s="20"/>
      <c r="NR20" s="20"/>
      <c r="NS20" s="20"/>
      <c r="NT20" s="20"/>
      <c r="NU20" s="20"/>
      <c r="NV20" s="20"/>
      <c r="NW20" s="20"/>
      <c r="NX20" s="20"/>
      <c r="NY20" s="20"/>
      <c r="NZ20" s="20"/>
      <c r="OA20" s="20"/>
      <c r="OB20" s="20"/>
      <c r="OC20" s="20"/>
      <c r="OD20" s="20"/>
      <c r="OE20" s="20"/>
      <c r="OF20" s="20"/>
      <c r="OG20" s="20"/>
      <c r="OH20" s="20"/>
      <c r="OI20" s="20"/>
      <c r="OJ20" s="20"/>
      <c r="OK20" s="20"/>
      <c r="OL20" s="20"/>
      <c r="OM20" s="20"/>
      <c r="ON20" s="20"/>
      <c r="OO20" s="20"/>
      <c r="OP20" s="20"/>
      <c r="OQ20" s="20"/>
      <c r="OR20" s="20"/>
      <c r="OS20" s="20"/>
      <c r="OT20" s="20"/>
      <c r="OU20" s="20"/>
      <c r="OV20" s="20"/>
      <c r="OW20" s="20"/>
      <c r="OX20" s="20"/>
      <c r="OY20" s="20"/>
      <c r="OZ20" s="20"/>
      <c r="PA20" s="20"/>
      <c r="PB20" s="20"/>
      <c r="PC20" s="20"/>
      <c r="PD20" s="20"/>
      <c r="PE20" s="20"/>
      <c r="PF20" s="20"/>
      <c r="PG20" s="20"/>
      <c r="PH20" s="20"/>
      <c r="PI20" s="20"/>
      <c r="PJ20" s="20"/>
      <c r="PK20" s="20"/>
      <c r="PL20" s="20"/>
      <c r="PM20" s="20"/>
      <c r="PN20" s="20"/>
      <c r="PO20" s="20"/>
      <c r="PP20" s="20"/>
      <c r="PQ20" s="20"/>
      <c r="PR20" s="20"/>
      <c r="PS20" s="20"/>
      <c r="PT20" s="20"/>
      <c r="PU20" s="20"/>
      <c r="PV20" s="20"/>
      <c r="PW20" s="20"/>
      <c r="PX20" s="20"/>
      <c r="PY20" s="20"/>
      <c r="PZ20" s="20"/>
      <c r="QA20" s="20"/>
      <c r="QB20" s="20"/>
      <c r="QC20" s="20"/>
      <c r="QD20" s="20"/>
      <c r="QE20" s="20"/>
      <c r="QF20" s="20"/>
      <c r="QG20" s="20"/>
      <c r="QH20" s="20"/>
      <c r="QI20" s="20"/>
      <c r="QJ20" s="20"/>
      <c r="QK20" s="20"/>
      <c r="QL20" s="20"/>
      <c r="QM20" s="20"/>
      <c r="QN20" s="20"/>
      <c r="QO20" s="20"/>
      <c r="QP20" s="20"/>
      <c r="QQ20" s="20"/>
      <c r="QR20" s="20"/>
      <c r="QS20" s="20"/>
      <c r="QT20" s="20"/>
      <c r="QU20" s="20"/>
      <c r="QV20" s="20"/>
      <c r="QW20" s="20"/>
      <c r="QX20" s="20"/>
      <c r="QY20" s="20"/>
      <c r="QZ20" s="20"/>
      <c r="RA20" s="20"/>
      <c r="RB20" s="20"/>
      <c r="RC20" s="20"/>
      <c r="RD20" s="20"/>
      <c r="RE20" s="20"/>
      <c r="RF20" s="20"/>
      <c r="RG20" s="20"/>
      <c r="RH20" s="20"/>
      <c r="RI20" s="20"/>
      <c r="RJ20" s="20"/>
      <c r="RK20" s="20"/>
      <c r="RL20" s="20"/>
      <c r="RM20" s="20"/>
      <c r="RN20" s="20"/>
      <c r="RO20" s="20"/>
      <c r="RP20" s="20"/>
      <c r="RQ20" s="20"/>
      <c r="RR20" s="20"/>
      <c r="RS20" s="20"/>
      <c r="RT20" s="20"/>
      <c r="RU20" s="20"/>
      <c r="RV20" s="20"/>
      <c r="RW20" s="20"/>
      <c r="RX20" s="20"/>
      <c r="RY20" s="20"/>
      <c r="RZ20" s="20"/>
      <c r="SA20" s="20"/>
      <c r="SB20" s="20"/>
      <c r="SC20" s="20"/>
      <c r="SD20" s="20"/>
      <c r="SE20" s="20"/>
      <c r="SF20" s="20"/>
      <c r="SG20" s="20"/>
      <c r="SH20" s="20"/>
      <c r="SI20" s="20"/>
      <c r="SJ20" s="20"/>
      <c r="SK20" s="20"/>
      <c r="SL20" s="20"/>
      <c r="SM20" s="20"/>
      <c r="SN20" s="20"/>
      <c r="SO20" s="20"/>
      <c r="SP20" s="20"/>
      <c r="SQ20" s="20"/>
      <c r="SR20" s="20"/>
      <c r="SS20" s="20"/>
      <c r="ST20" s="20"/>
      <c r="SU20" s="20"/>
      <c r="SV20" s="20"/>
      <c r="SW20" s="20"/>
      <c r="SX20" s="20"/>
      <c r="SY20" s="20"/>
      <c r="SZ20" s="20"/>
      <c r="TA20" s="20"/>
      <c r="TB20" s="20"/>
      <c r="TC20" s="20"/>
      <c r="TD20" s="20"/>
      <c r="TE20" s="20"/>
      <c r="TF20" s="20"/>
      <c r="TG20" s="20"/>
      <c r="TH20" s="20"/>
      <c r="TI20" s="20"/>
      <c r="TJ20" s="20"/>
      <c r="TK20" s="20"/>
      <c r="TL20" s="20"/>
      <c r="TM20" s="20"/>
      <c r="TN20" s="20"/>
      <c r="TO20" s="20"/>
      <c r="TP20" s="20"/>
      <c r="TQ20" s="20"/>
      <c r="TR20" s="20"/>
      <c r="TS20" s="20"/>
      <c r="TT20" s="20"/>
      <c r="TU20" s="20"/>
      <c r="TV20" s="20"/>
      <c r="TW20" s="20"/>
      <c r="TX20" s="20"/>
      <c r="TY20" s="20"/>
      <c r="TZ20" s="20"/>
      <c r="UA20" s="20"/>
      <c r="UB20" s="20"/>
      <c r="UC20" s="20"/>
      <c r="UD20" s="20"/>
      <c r="UE20" s="20"/>
      <c r="UF20" s="20"/>
      <c r="UG20" s="20"/>
      <c r="UH20" s="20"/>
      <c r="UI20" s="20"/>
      <c r="UJ20" s="20"/>
      <c r="UK20" s="20"/>
      <c r="UL20" s="20"/>
      <c r="UM20" s="20"/>
      <c r="UN20" s="20"/>
      <c r="UO20" s="20"/>
      <c r="UP20" s="20"/>
      <c r="UQ20" s="20"/>
      <c r="UR20" s="20"/>
      <c r="US20" s="20"/>
      <c r="UT20" s="20"/>
      <c r="UU20" s="20"/>
      <c r="UV20" s="20"/>
      <c r="UW20" s="20"/>
      <c r="UX20" s="20"/>
      <c r="UY20" s="20"/>
      <c r="UZ20" s="20"/>
      <c r="VA20" s="20"/>
      <c r="VB20" s="20"/>
      <c r="VC20" s="20"/>
      <c r="VD20" s="20"/>
      <c r="VE20" s="20"/>
      <c r="VF20" s="20"/>
      <c r="VG20" s="20"/>
      <c r="VH20" s="20"/>
      <c r="VI20" s="20"/>
      <c r="VJ20" s="20"/>
      <c r="VK20" s="20"/>
      <c r="VL20" s="20"/>
      <c r="VM20" s="20"/>
      <c r="VN20" s="20"/>
      <c r="VO20" s="20"/>
      <c r="VP20" s="20"/>
      <c r="VQ20" s="20"/>
      <c r="VR20" s="20"/>
      <c r="VS20" s="20"/>
      <c r="VT20" s="20"/>
      <c r="VU20" s="20"/>
      <c r="VV20" s="20"/>
      <c r="VW20" s="20"/>
      <c r="VX20" s="20"/>
      <c r="VY20" s="20"/>
      <c r="VZ20" s="20"/>
      <c r="WA20" s="20"/>
      <c r="WB20" s="20"/>
      <c r="WC20" s="20"/>
      <c r="WD20" s="20"/>
      <c r="WE20" s="20"/>
      <c r="WF20" s="20"/>
      <c r="WG20" s="20"/>
      <c r="WH20" s="20"/>
      <c r="WI20" s="20"/>
      <c r="WJ20" s="20"/>
      <c r="WK20" s="20"/>
      <c r="WL20" s="20"/>
      <c r="WM20" s="20"/>
      <c r="WN20" s="20"/>
      <c r="WO20" s="20"/>
      <c r="WP20" s="20"/>
      <c r="WQ20" s="20"/>
      <c r="WR20" s="20"/>
      <c r="WS20" s="20"/>
      <c r="WT20" s="20"/>
      <c r="WU20" s="20"/>
      <c r="WV20" s="20"/>
      <c r="WW20" s="20"/>
      <c r="WX20" s="20"/>
      <c r="WY20" s="20"/>
      <c r="WZ20" s="20"/>
      <c r="XA20" s="20"/>
      <c r="XB20" s="20"/>
      <c r="XC20" s="20"/>
      <c r="XD20" s="20"/>
      <c r="XE20" s="20"/>
      <c r="XF20" s="20"/>
      <c r="XG20" s="20"/>
      <c r="XH20" s="20"/>
      <c r="XI20" s="20"/>
      <c r="XJ20" s="20"/>
      <c r="XK20" s="20"/>
      <c r="XL20" s="20"/>
      <c r="XM20" s="20"/>
      <c r="XN20" s="20"/>
      <c r="XO20" s="20"/>
      <c r="XP20" s="20"/>
      <c r="XQ20" s="20"/>
      <c r="XR20" s="20"/>
      <c r="XS20" s="20"/>
      <c r="XT20" s="20"/>
      <c r="XU20" s="20"/>
      <c r="XV20" s="20"/>
      <c r="XW20" s="20"/>
      <c r="XX20" s="20"/>
      <c r="XY20" s="20"/>
      <c r="XZ20" s="20"/>
      <c r="YA20" s="20"/>
      <c r="YB20" s="20"/>
      <c r="YC20" s="20"/>
      <c r="YD20" s="20"/>
      <c r="YE20" s="20"/>
      <c r="YF20" s="20"/>
      <c r="YG20" s="20"/>
      <c r="YH20" s="20"/>
      <c r="YI20" s="20"/>
      <c r="YJ20" s="20"/>
      <c r="YK20" s="20"/>
      <c r="YL20" s="20"/>
      <c r="YM20" s="20"/>
      <c r="YN20" s="20"/>
      <c r="YO20" s="20"/>
      <c r="YP20" s="20"/>
      <c r="YQ20" s="20"/>
      <c r="YR20" s="20"/>
      <c r="YS20" s="20"/>
      <c r="YT20" s="20"/>
      <c r="YU20" s="20"/>
      <c r="YV20" s="20"/>
      <c r="YW20" s="20"/>
      <c r="YX20" s="20"/>
      <c r="YY20" s="20"/>
      <c r="YZ20" s="20"/>
      <c r="ZA20" s="20"/>
      <c r="ZB20" s="20"/>
      <c r="ZC20" s="20"/>
      <c r="ZD20" s="20"/>
      <c r="ZE20" s="20"/>
      <c r="ZF20" s="20"/>
      <c r="ZG20" s="20"/>
      <c r="ZH20" s="20"/>
      <c r="ZI20" s="20"/>
      <c r="ZJ20" s="20"/>
      <c r="ZK20" s="20"/>
      <c r="ZL20" s="20"/>
      <c r="ZM20" s="20"/>
      <c r="ZN20" s="20"/>
      <c r="ZO20" s="20"/>
      <c r="ZP20" s="20"/>
      <c r="ZQ20" s="20"/>
      <c r="ZR20" s="20"/>
      <c r="ZS20" s="20"/>
      <c r="ZT20" s="20"/>
      <c r="ZU20" s="20"/>
      <c r="ZV20" s="20"/>
      <c r="ZW20" s="20"/>
      <c r="ZX20" s="20"/>
      <c r="ZY20" s="20"/>
      <c r="ZZ20" s="20"/>
      <c r="AAA20" s="20"/>
      <c r="AAB20" s="20"/>
      <c r="AAC20" s="20"/>
      <c r="AAD20" s="20"/>
      <c r="AAE20" s="20"/>
      <c r="AAF20" s="20"/>
    </row>
    <row r="21" spans="1:708" s="21" customFormat="1" ht="70.5" customHeight="1" x14ac:dyDescent="0.25">
      <c r="A21" s="52"/>
      <c r="B21" s="52"/>
      <c r="C21" s="52"/>
      <c r="D21" s="52"/>
      <c r="E21" s="52"/>
      <c r="F21" s="52"/>
      <c r="G21" s="52"/>
      <c r="H21" s="52"/>
      <c r="I21" s="52"/>
      <c r="J21" s="52"/>
      <c r="K21" s="52"/>
      <c r="L21" s="52"/>
      <c r="M21" s="52"/>
      <c r="N21" s="52"/>
      <c r="O21" s="52"/>
      <c r="P21" s="53"/>
      <c r="Q21" s="52"/>
      <c r="R21" s="52"/>
      <c r="S21" s="53"/>
      <c r="T21" s="52"/>
      <c r="U21" s="52"/>
      <c r="V21" s="54"/>
      <c r="W21" s="1009"/>
      <c r="X21" s="52"/>
      <c r="Y21" s="657" t="s">
        <v>99</v>
      </c>
      <c r="Z21" s="657"/>
      <c r="AA21" s="55">
        <f>AVERAGE(AA14:AA20)</f>
        <v>0.40175503897513276</v>
      </c>
      <c r="AB21" s="56"/>
      <c r="AC21" s="657" t="s">
        <v>100</v>
      </c>
      <c r="AD21" s="657"/>
      <c r="AE21" s="55">
        <f>AVERAGE(AE14:AE20)</f>
        <v>0.19537388562883914</v>
      </c>
      <c r="AF21" s="58"/>
      <c r="AG21" s="658" t="s">
        <v>99</v>
      </c>
      <c r="AH21" s="658"/>
      <c r="AI21" s="59">
        <v>0.43142229456995018</v>
      </c>
      <c r="AJ21" s="60"/>
      <c r="AK21" s="658" t="s">
        <v>100</v>
      </c>
      <c r="AL21" s="658"/>
      <c r="AM21" s="59">
        <v>0.23583696447739985</v>
      </c>
      <c r="AN21" s="62"/>
      <c r="AO21" s="657" t="s">
        <v>99</v>
      </c>
      <c r="AP21" s="657"/>
      <c r="AQ21" s="55">
        <f>AVERAGE(AQ14:AQ20)</f>
        <v>0.45923442648985585</v>
      </c>
      <c r="AR21" s="56"/>
      <c r="AS21" s="657" t="s">
        <v>100</v>
      </c>
      <c r="AT21" s="657"/>
      <c r="AU21" s="55">
        <f>AVERAGE(AU14:AU20)</f>
        <v>0.27793840079660842</v>
      </c>
      <c r="AV21" s="58"/>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c r="IW21" s="20"/>
      <c r="IX21" s="20"/>
      <c r="IY21" s="20"/>
      <c r="IZ21" s="20"/>
      <c r="JA21" s="20"/>
      <c r="JB21" s="20"/>
      <c r="JC21" s="20"/>
      <c r="JD21" s="20"/>
      <c r="JE21" s="20"/>
      <c r="JF21" s="20"/>
      <c r="JG21" s="20"/>
      <c r="JH21" s="20"/>
      <c r="JI21" s="20"/>
      <c r="JJ21" s="20"/>
      <c r="JK21" s="20"/>
      <c r="JL21" s="20"/>
      <c r="JM21" s="20"/>
      <c r="JN21" s="20"/>
      <c r="JO21" s="20"/>
      <c r="JP21" s="20"/>
      <c r="JQ21" s="20"/>
      <c r="JR21" s="20"/>
      <c r="JS21" s="20"/>
      <c r="JT21" s="20"/>
      <c r="JU21" s="20"/>
      <c r="JV21" s="20"/>
      <c r="JW21" s="20"/>
      <c r="JX21" s="20"/>
      <c r="JY21" s="20"/>
      <c r="JZ21" s="20"/>
      <c r="KA21" s="20"/>
      <c r="KB21" s="20"/>
      <c r="KC21" s="20"/>
      <c r="KD21" s="20"/>
      <c r="KE21" s="20"/>
      <c r="KF21" s="20"/>
      <c r="KG21" s="20"/>
      <c r="KH21" s="20"/>
      <c r="KI21" s="20"/>
      <c r="KJ21" s="20"/>
      <c r="KK21" s="20"/>
      <c r="KL21" s="20"/>
      <c r="KM21" s="20"/>
      <c r="KN21" s="20"/>
      <c r="KO21" s="20"/>
      <c r="KP21" s="20"/>
      <c r="KQ21" s="20"/>
      <c r="KR21" s="20"/>
      <c r="KS21" s="20"/>
      <c r="KT21" s="20"/>
      <c r="KU21" s="20"/>
      <c r="KV21" s="20"/>
      <c r="KW21" s="20"/>
      <c r="KX21" s="20"/>
      <c r="KY21" s="20"/>
      <c r="KZ21" s="20"/>
      <c r="LA21" s="20"/>
      <c r="LB21" s="20"/>
      <c r="LC21" s="20"/>
      <c r="LD21" s="20"/>
      <c r="LE21" s="20"/>
      <c r="LF21" s="20"/>
      <c r="LG21" s="20"/>
      <c r="LH21" s="20"/>
      <c r="LI21" s="20"/>
      <c r="LJ21" s="20"/>
      <c r="LK21" s="20"/>
      <c r="LL21" s="20"/>
      <c r="LM21" s="20"/>
      <c r="LN21" s="20"/>
      <c r="LO21" s="20"/>
      <c r="LP21" s="20"/>
      <c r="LQ21" s="20"/>
      <c r="LR21" s="20"/>
      <c r="LS21" s="20"/>
      <c r="LT21" s="20"/>
      <c r="LU21" s="20"/>
      <c r="LV21" s="20"/>
      <c r="LW21" s="20"/>
      <c r="LX21" s="20"/>
      <c r="LY21" s="20"/>
      <c r="LZ21" s="20"/>
      <c r="MA21" s="20"/>
      <c r="MB21" s="20"/>
      <c r="MC21" s="20"/>
      <c r="MD21" s="20"/>
      <c r="ME21" s="20"/>
      <c r="MF21" s="20"/>
      <c r="MG21" s="20"/>
      <c r="MH21" s="20"/>
      <c r="MI21" s="20"/>
      <c r="MJ21" s="20"/>
      <c r="MK21" s="20"/>
      <c r="ML21" s="20"/>
      <c r="MM21" s="20"/>
      <c r="MN21" s="20"/>
      <c r="MO21" s="20"/>
      <c r="MP21" s="20"/>
      <c r="MQ21" s="20"/>
      <c r="MR21" s="20"/>
      <c r="MS21" s="20"/>
      <c r="MT21" s="20"/>
      <c r="MU21" s="20"/>
      <c r="MV21" s="20"/>
      <c r="MW21" s="20"/>
      <c r="MX21" s="20"/>
      <c r="MY21" s="20"/>
      <c r="MZ21" s="20"/>
      <c r="NA21" s="20"/>
      <c r="NB21" s="20"/>
      <c r="NC21" s="20"/>
      <c r="ND21" s="20"/>
      <c r="NE21" s="20"/>
      <c r="NF21" s="20"/>
      <c r="NG21" s="20"/>
      <c r="NH21" s="20"/>
      <c r="NI21" s="20"/>
      <c r="NJ21" s="20"/>
      <c r="NK21" s="20"/>
      <c r="NL21" s="20"/>
      <c r="NM21" s="20"/>
      <c r="NN21" s="20"/>
      <c r="NO21" s="20"/>
      <c r="NP21" s="20"/>
      <c r="NQ21" s="20"/>
      <c r="NR21" s="20"/>
      <c r="NS21" s="20"/>
      <c r="NT21" s="20"/>
      <c r="NU21" s="20"/>
      <c r="NV21" s="20"/>
      <c r="NW21" s="20"/>
      <c r="NX21" s="20"/>
      <c r="NY21" s="20"/>
      <c r="NZ21" s="20"/>
      <c r="OA21" s="20"/>
      <c r="OB21" s="20"/>
      <c r="OC21" s="20"/>
      <c r="OD21" s="20"/>
      <c r="OE21" s="20"/>
      <c r="OF21" s="20"/>
      <c r="OG21" s="20"/>
      <c r="OH21" s="20"/>
      <c r="OI21" s="20"/>
      <c r="OJ21" s="20"/>
      <c r="OK21" s="20"/>
      <c r="OL21" s="20"/>
      <c r="OM21" s="20"/>
      <c r="ON21" s="20"/>
      <c r="OO21" s="20"/>
      <c r="OP21" s="20"/>
      <c r="OQ21" s="20"/>
      <c r="OR21" s="20"/>
      <c r="OS21" s="20"/>
      <c r="OT21" s="20"/>
      <c r="OU21" s="20"/>
      <c r="OV21" s="20"/>
      <c r="OW21" s="20"/>
      <c r="OX21" s="20"/>
      <c r="OY21" s="20"/>
      <c r="OZ21" s="20"/>
      <c r="PA21" s="20"/>
      <c r="PB21" s="20"/>
      <c r="PC21" s="20"/>
      <c r="PD21" s="20"/>
      <c r="PE21" s="20"/>
      <c r="PF21" s="20"/>
      <c r="PG21" s="20"/>
      <c r="PH21" s="20"/>
      <c r="PI21" s="20"/>
      <c r="PJ21" s="20"/>
      <c r="PK21" s="20"/>
      <c r="PL21" s="20"/>
      <c r="PM21" s="20"/>
      <c r="PN21" s="20"/>
      <c r="PO21" s="20"/>
      <c r="PP21" s="20"/>
      <c r="PQ21" s="20"/>
      <c r="PR21" s="20"/>
      <c r="PS21" s="20"/>
      <c r="PT21" s="20"/>
      <c r="PU21" s="20"/>
      <c r="PV21" s="20"/>
      <c r="PW21" s="20"/>
      <c r="PX21" s="20"/>
      <c r="PY21" s="20"/>
      <c r="PZ21" s="20"/>
      <c r="QA21" s="20"/>
      <c r="QB21" s="20"/>
      <c r="QC21" s="20"/>
      <c r="QD21" s="20"/>
      <c r="QE21" s="20"/>
      <c r="QF21" s="20"/>
      <c r="QG21" s="20"/>
      <c r="QH21" s="20"/>
      <c r="QI21" s="20"/>
      <c r="QJ21" s="20"/>
      <c r="QK21" s="20"/>
      <c r="QL21" s="20"/>
      <c r="QM21" s="20"/>
      <c r="QN21" s="20"/>
      <c r="QO21" s="20"/>
      <c r="QP21" s="20"/>
      <c r="QQ21" s="20"/>
      <c r="QR21" s="20"/>
      <c r="QS21" s="20"/>
      <c r="QT21" s="20"/>
      <c r="QU21" s="20"/>
      <c r="QV21" s="20"/>
      <c r="QW21" s="20"/>
      <c r="QX21" s="20"/>
      <c r="QY21" s="20"/>
      <c r="QZ21" s="20"/>
      <c r="RA21" s="20"/>
      <c r="RB21" s="20"/>
      <c r="RC21" s="20"/>
      <c r="RD21" s="20"/>
      <c r="RE21" s="20"/>
      <c r="RF21" s="20"/>
      <c r="RG21" s="20"/>
      <c r="RH21" s="20"/>
      <c r="RI21" s="20"/>
      <c r="RJ21" s="20"/>
      <c r="RK21" s="20"/>
      <c r="RL21" s="20"/>
      <c r="RM21" s="20"/>
      <c r="RN21" s="20"/>
      <c r="RO21" s="20"/>
      <c r="RP21" s="20"/>
      <c r="RQ21" s="20"/>
      <c r="RR21" s="20"/>
      <c r="RS21" s="20"/>
      <c r="RT21" s="20"/>
      <c r="RU21" s="20"/>
      <c r="RV21" s="20"/>
      <c r="RW21" s="20"/>
      <c r="RX21" s="20"/>
      <c r="RY21" s="20"/>
      <c r="RZ21" s="20"/>
      <c r="SA21" s="20"/>
      <c r="SB21" s="20"/>
      <c r="SC21" s="20"/>
      <c r="SD21" s="20"/>
      <c r="SE21" s="20"/>
      <c r="SF21" s="20"/>
      <c r="SG21" s="20"/>
      <c r="SH21" s="20"/>
      <c r="SI21" s="20"/>
      <c r="SJ21" s="20"/>
      <c r="SK21" s="20"/>
      <c r="SL21" s="20"/>
      <c r="SM21" s="20"/>
      <c r="SN21" s="20"/>
      <c r="SO21" s="20"/>
      <c r="SP21" s="20"/>
      <c r="SQ21" s="20"/>
      <c r="SR21" s="20"/>
      <c r="SS21" s="20"/>
      <c r="ST21" s="20"/>
      <c r="SU21" s="20"/>
      <c r="SV21" s="20"/>
      <c r="SW21" s="20"/>
      <c r="SX21" s="20"/>
      <c r="SY21" s="20"/>
      <c r="SZ21" s="20"/>
      <c r="TA21" s="20"/>
      <c r="TB21" s="20"/>
      <c r="TC21" s="20"/>
      <c r="TD21" s="20"/>
      <c r="TE21" s="20"/>
      <c r="TF21" s="20"/>
      <c r="TG21" s="20"/>
      <c r="TH21" s="20"/>
      <c r="TI21" s="20"/>
      <c r="TJ21" s="20"/>
      <c r="TK21" s="20"/>
      <c r="TL21" s="20"/>
      <c r="TM21" s="20"/>
      <c r="TN21" s="20"/>
      <c r="TO21" s="20"/>
      <c r="TP21" s="20"/>
      <c r="TQ21" s="20"/>
      <c r="TR21" s="20"/>
      <c r="TS21" s="20"/>
      <c r="TT21" s="20"/>
      <c r="TU21" s="20"/>
      <c r="TV21" s="20"/>
      <c r="TW21" s="20"/>
      <c r="TX21" s="20"/>
      <c r="TY21" s="20"/>
      <c r="TZ21" s="20"/>
      <c r="UA21" s="20"/>
      <c r="UB21" s="20"/>
      <c r="UC21" s="20"/>
      <c r="UD21" s="20"/>
      <c r="UE21" s="20"/>
      <c r="UF21" s="20"/>
      <c r="UG21" s="20"/>
      <c r="UH21" s="20"/>
      <c r="UI21" s="20"/>
      <c r="UJ21" s="20"/>
      <c r="UK21" s="20"/>
      <c r="UL21" s="20"/>
      <c r="UM21" s="20"/>
      <c r="UN21" s="20"/>
      <c r="UO21" s="20"/>
      <c r="UP21" s="20"/>
      <c r="UQ21" s="20"/>
      <c r="UR21" s="20"/>
      <c r="US21" s="20"/>
      <c r="UT21" s="20"/>
      <c r="UU21" s="20"/>
      <c r="UV21" s="20"/>
      <c r="UW21" s="20"/>
      <c r="UX21" s="20"/>
      <c r="UY21" s="20"/>
      <c r="UZ21" s="20"/>
      <c r="VA21" s="20"/>
      <c r="VB21" s="20"/>
      <c r="VC21" s="20"/>
      <c r="VD21" s="20"/>
      <c r="VE21" s="20"/>
      <c r="VF21" s="20"/>
      <c r="VG21" s="20"/>
      <c r="VH21" s="20"/>
      <c r="VI21" s="20"/>
      <c r="VJ21" s="20"/>
      <c r="VK21" s="20"/>
      <c r="VL21" s="20"/>
      <c r="VM21" s="20"/>
      <c r="VN21" s="20"/>
      <c r="VO21" s="20"/>
      <c r="VP21" s="20"/>
      <c r="VQ21" s="20"/>
      <c r="VR21" s="20"/>
      <c r="VS21" s="20"/>
      <c r="VT21" s="20"/>
      <c r="VU21" s="20"/>
      <c r="VV21" s="20"/>
      <c r="VW21" s="20"/>
      <c r="VX21" s="20"/>
      <c r="VY21" s="20"/>
      <c r="VZ21" s="20"/>
      <c r="WA21" s="20"/>
      <c r="WB21" s="20"/>
      <c r="WC21" s="20"/>
      <c r="WD21" s="20"/>
      <c r="WE21" s="20"/>
      <c r="WF21" s="20"/>
      <c r="WG21" s="20"/>
      <c r="WH21" s="20"/>
      <c r="WI21" s="20"/>
      <c r="WJ21" s="20"/>
      <c r="WK21" s="20"/>
      <c r="WL21" s="20"/>
      <c r="WM21" s="20"/>
      <c r="WN21" s="20"/>
      <c r="WO21" s="20"/>
      <c r="WP21" s="20"/>
      <c r="WQ21" s="20"/>
      <c r="WR21" s="20"/>
      <c r="WS21" s="20"/>
      <c r="WT21" s="20"/>
      <c r="WU21" s="20"/>
      <c r="WV21" s="20"/>
      <c r="WW21" s="20"/>
      <c r="WX21" s="20"/>
      <c r="WY21" s="20"/>
      <c r="WZ21" s="20"/>
      <c r="XA21" s="20"/>
      <c r="XB21" s="20"/>
      <c r="XC21" s="20"/>
      <c r="XD21" s="20"/>
      <c r="XE21" s="20"/>
      <c r="XF21" s="20"/>
      <c r="XG21" s="20"/>
      <c r="XH21" s="20"/>
      <c r="XI21" s="20"/>
      <c r="XJ21" s="20"/>
      <c r="XK21" s="20"/>
      <c r="XL21" s="20"/>
      <c r="XM21" s="20"/>
      <c r="XN21" s="20"/>
      <c r="XO21" s="20"/>
      <c r="XP21" s="20"/>
      <c r="XQ21" s="20"/>
      <c r="XR21" s="20"/>
      <c r="XS21" s="20"/>
      <c r="XT21" s="20"/>
      <c r="XU21" s="20"/>
      <c r="XV21" s="20"/>
      <c r="XW21" s="20"/>
      <c r="XX21" s="20"/>
      <c r="XY21" s="20"/>
      <c r="XZ21" s="20"/>
      <c r="YA21" s="20"/>
      <c r="YB21" s="20"/>
      <c r="YC21" s="20"/>
      <c r="YD21" s="20"/>
      <c r="YE21" s="20"/>
      <c r="YF21" s="20"/>
      <c r="YG21" s="20"/>
      <c r="YH21" s="20"/>
      <c r="YI21" s="20"/>
      <c r="YJ21" s="20"/>
      <c r="YK21" s="20"/>
      <c r="YL21" s="20"/>
      <c r="YM21" s="20"/>
      <c r="YN21" s="20"/>
      <c r="YO21" s="20"/>
      <c r="YP21" s="20"/>
      <c r="YQ21" s="20"/>
      <c r="YR21" s="20"/>
      <c r="YS21" s="20"/>
      <c r="YT21" s="20"/>
      <c r="YU21" s="20"/>
      <c r="YV21" s="20"/>
      <c r="YW21" s="20"/>
      <c r="YX21" s="20"/>
      <c r="YY21" s="20"/>
      <c r="YZ21" s="20"/>
      <c r="ZA21" s="20"/>
      <c r="ZB21" s="20"/>
      <c r="ZC21" s="20"/>
      <c r="ZD21" s="20"/>
      <c r="ZE21" s="20"/>
      <c r="ZF21" s="20"/>
      <c r="ZG21" s="20"/>
      <c r="ZH21" s="20"/>
      <c r="ZI21" s="20"/>
      <c r="ZJ21" s="20"/>
      <c r="ZK21" s="20"/>
      <c r="ZL21" s="20"/>
      <c r="ZM21" s="20"/>
      <c r="ZN21" s="20"/>
      <c r="ZO21" s="20"/>
      <c r="ZP21" s="20"/>
      <c r="ZQ21" s="20"/>
      <c r="ZR21" s="20"/>
      <c r="ZS21" s="20"/>
      <c r="ZT21" s="20"/>
      <c r="ZU21" s="20"/>
      <c r="ZV21" s="20"/>
      <c r="ZW21" s="20"/>
      <c r="ZX21" s="20"/>
      <c r="ZY21" s="20"/>
      <c r="ZZ21" s="20"/>
      <c r="AAA21" s="20"/>
      <c r="AAB21" s="20"/>
      <c r="AAC21" s="20"/>
      <c r="AAD21" s="20"/>
      <c r="AAE21" s="20"/>
      <c r="AAF21" s="20"/>
    </row>
    <row r="22" spans="1:708" ht="70.5" customHeight="1" x14ac:dyDescent="0.25">
      <c r="A22" s="693" t="s">
        <v>43</v>
      </c>
      <c r="B22" s="714" t="s">
        <v>44</v>
      </c>
      <c r="C22" s="696" t="s">
        <v>45</v>
      </c>
      <c r="D22" s="696" t="s">
        <v>46</v>
      </c>
      <c r="E22" s="696" t="s">
        <v>47</v>
      </c>
      <c r="F22" s="696" t="s">
        <v>48</v>
      </c>
      <c r="G22" s="696" t="s">
        <v>49</v>
      </c>
      <c r="H22" s="696" t="s">
        <v>50</v>
      </c>
      <c r="I22" s="711" t="s">
        <v>51</v>
      </c>
      <c r="J22" s="690" t="s">
        <v>52</v>
      </c>
      <c r="K22" s="690" t="s">
        <v>143</v>
      </c>
      <c r="L22" s="690" t="s">
        <v>54</v>
      </c>
      <c r="M22" s="690" t="s">
        <v>55</v>
      </c>
      <c r="N22" s="690" t="s">
        <v>56</v>
      </c>
      <c r="O22" s="690"/>
      <c r="P22" s="690">
        <v>57</v>
      </c>
      <c r="Q22" s="63" t="s">
        <v>57</v>
      </c>
      <c r="R22" s="63" t="s">
        <v>58</v>
      </c>
      <c r="S22" s="64" t="s">
        <v>56</v>
      </c>
      <c r="T22" s="64"/>
      <c r="U22" s="64">
        <v>46</v>
      </c>
      <c r="V22" s="985">
        <v>9342414882</v>
      </c>
      <c r="W22" s="1009"/>
      <c r="X22" s="64" t="s">
        <v>144</v>
      </c>
      <c r="Y22" s="690">
        <v>2</v>
      </c>
      <c r="Z22" s="690">
        <f>+P22</f>
        <v>57</v>
      </c>
      <c r="AA22" s="700">
        <f>+Y22/Z22</f>
        <v>3.5087719298245612E-2</v>
      </c>
      <c r="AB22" s="690" t="s">
        <v>145</v>
      </c>
      <c r="AC22" s="64">
        <v>1</v>
      </c>
      <c r="AD22" s="64">
        <f t="shared" ref="AD22:AD28" si="2">+U22</f>
        <v>46</v>
      </c>
      <c r="AE22" s="65">
        <f>+AC22/AD22</f>
        <v>2.1739130434782608E-2</v>
      </c>
      <c r="AF22" s="64" t="s">
        <v>146</v>
      </c>
      <c r="AG22" s="689">
        <v>4</v>
      </c>
      <c r="AH22" s="689">
        <v>57</v>
      </c>
      <c r="AI22" s="692">
        <v>7.0175438596491224E-2</v>
      </c>
      <c r="AJ22" s="689" t="s">
        <v>147</v>
      </c>
      <c r="AK22" s="66">
        <v>7</v>
      </c>
      <c r="AL22" s="66">
        <v>46</v>
      </c>
      <c r="AM22" s="67">
        <v>0.15217391304347827</v>
      </c>
      <c r="AN22" s="66" t="s">
        <v>148</v>
      </c>
      <c r="AO22" s="689">
        <v>7</v>
      </c>
      <c r="AP22" s="689">
        <f>+P22</f>
        <v>57</v>
      </c>
      <c r="AQ22" s="692">
        <f>+AO22/AP22</f>
        <v>0.12280701754385964</v>
      </c>
      <c r="AR22" s="689" t="s">
        <v>149</v>
      </c>
      <c r="AS22" s="66">
        <v>8</v>
      </c>
      <c r="AT22" s="66">
        <f t="shared" ref="AT22:AT28" si="3">+U22</f>
        <v>46</v>
      </c>
      <c r="AU22" s="67">
        <f>+AS22/AT22</f>
        <v>0.17391304347826086</v>
      </c>
      <c r="AV22" s="66" t="s">
        <v>150</v>
      </c>
    </row>
    <row r="23" spans="1:708" ht="70.5" customHeight="1" x14ac:dyDescent="0.25">
      <c r="A23" s="693"/>
      <c r="B23" s="715"/>
      <c r="C23" s="716"/>
      <c r="D23" s="716"/>
      <c r="E23" s="716"/>
      <c r="F23" s="716"/>
      <c r="G23" s="716"/>
      <c r="H23" s="716"/>
      <c r="I23" s="717"/>
      <c r="J23" s="690"/>
      <c r="K23" s="690"/>
      <c r="L23" s="690"/>
      <c r="M23" s="690"/>
      <c r="N23" s="690"/>
      <c r="O23" s="690"/>
      <c r="P23" s="690"/>
      <c r="Q23" s="70" t="s">
        <v>66</v>
      </c>
      <c r="R23" s="70" t="s">
        <v>67</v>
      </c>
      <c r="S23" s="71" t="s">
        <v>56</v>
      </c>
      <c r="T23" s="71"/>
      <c r="U23" s="71">
        <v>59</v>
      </c>
      <c r="V23" s="1014"/>
      <c r="W23" s="1009"/>
      <c r="X23" s="71" t="s">
        <v>144</v>
      </c>
      <c r="Y23" s="690"/>
      <c r="Z23" s="690"/>
      <c r="AA23" s="700"/>
      <c r="AB23" s="690"/>
      <c r="AC23" s="71">
        <v>0</v>
      </c>
      <c r="AD23" s="71">
        <f t="shared" si="2"/>
        <v>59</v>
      </c>
      <c r="AE23" s="73">
        <f>+AC23/AD23</f>
        <v>0</v>
      </c>
      <c r="AF23" s="71" t="s">
        <v>151</v>
      </c>
      <c r="AG23" s="689"/>
      <c r="AH23" s="689"/>
      <c r="AI23" s="692"/>
      <c r="AJ23" s="689"/>
      <c r="AK23" s="74">
        <v>3</v>
      </c>
      <c r="AL23" s="74">
        <v>59</v>
      </c>
      <c r="AM23" s="75">
        <v>5.0847457627118647E-2</v>
      </c>
      <c r="AN23" s="74" t="s">
        <v>152</v>
      </c>
      <c r="AO23" s="689"/>
      <c r="AP23" s="689"/>
      <c r="AQ23" s="692"/>
      <c r="AR23" s="689"/>
      <c r="AS23" s="74">
        <v>6</v>
      </c>
      <c r="AT23" s="74">
        <f t="shared" si="3"/>
        <v>59</v>
      </c>
      <c r="AU23" s="75">
        <f>+AS23/AT23</f>
        <v>0.10169491525423729</v>
      </c>
      <c r="AV23" s="74" t="s">
        <v>153</v>
      </c>
    </row>
    <row r="24" spans="1:708" ht="69.75" customHeight="1" x14ac:dyDescent="0.25">
      <c r="A24" s="706" t="s">
        <v>43</v>
      </c>
      <c r="B24" s="708" t="s">
        <v>44</v>
      </c>
      <c r="C24" s="702" t="s">
        <v>45</v>
      </c>
      <c r="D24" s="702" t="s">
        <v>46</v>
      </c>
      <c r="E24" s="702" t="s">
        <v>71</v>
      </c>
      <c r="F24" s="702" t="s">
        <v>48</v>
      </c>
      <c r="G24" s="702" t="s">
        <v>49</v>
      </c>
      <c r="H24" s="702" t="s">
        <v>50</v>
      </c>
      <c r="I24" s="704" t="s">
        <v>51</v>
      </c>
      <c r="J24" s="698" t="s">
        <v>52</v>
      </c>
      <c r="K24" s="698" t="s">
        <v>143</v>
      </c>
      <c r="L24" s="698" t="s">
        <v>72</v>
      </c>
      <c r="M24" s="698" t="s">
        <v>112</v>
      </c>
      <c r="N24" s="698" t="s">
        <v>74</v>
      </c>
      <c r="O24" s="698"/>
      <c r="P24" s="699">
        <v>0.89</v>
      </c>
      <c r="Q24" s="63" t="s">
        <v>113</v>
      </c>
      <c r="R24" s="63" t="s">
        <v>114</v>
      </c>
      <c r="S24" s="64" t="s">
        <v>74</v>
      </c>
      <c r="T24" s="64"/>
      <c r="U24" s="79">
        <v>0.89</v>
      </c>
      <c r="V24" s="1014"/>
      <c r="W24" s="1009"/>
      <c r="X24" s="64" t="s">
        <v>144</v>
      </c>
      <c r="Y24" s="700">
        <f>3/3</f>
        <v>1</v>
      </c>
      <c r="Z24" s="701">
        <f>+P24</f>
        <v>0.89</v>
      </c>
      <c r="AA24" s="701">
        <f>Y24/Z24</f>
        <v>1.1235955056179776</v>
      </c>
      <c r="AB24" s="690" t="s">
        <v>154</v>
      </c>
      <c r="AC24" s="65">
        <f>1/1</f>
        <v>1</v>
      </c>
      <c r="AD24" s="79">
        <f t="shared" si="2"/>
        <v>0.89</v>
      </c>
      <c r="AE24" s="65">
        <f>+AC24/AD24</f>
        <v>1.1235955056179776</v>
      </c>
      <c r="AF24" s="64" t="s">
        <v>155</v>
      </c>
      <c r="AG24" s="692">
        <v>1</v>
      </c>
      <c r="AH24" s="691">
        <v>0.89</v>
      </c>
      <c r="AI24" s="691">
        <v>1.1235955056179776</v>
      </c>
      <c r="AJ24" s="689" t="s">
        <v>156</v>
      </c>
      <c r="AK24" s="67">
        <v>1</v>
      </c>
      <c r="AL24" s="80">
        <v>0.89</v>
      </c>
      <c r="AM24" s="67">
        <v>1.1235955056179776</v>
      </c>
      <c r="AN24" s="66" t="s">
        <v>157</v>
      </c>
      <c r="AO24" s="692">
        <f>7/7</f>
        <v>1</v>
      </c>
      <c r="AP24" s="691">
        <f>+P24</f>
        <v>0.89</v>
      </c>
      <c r="AQ24" s="691">
        <f>AO24/AP24</f>
        <v>1.1235955056179776</v>
      </c>
      <c r="AR24" s="689" t="s">
        <v>158</v>
      </c>
      <c r="AS24" s="67">
        <f>8/8</f>
        <v>1</v>
      </c>
      <c r="AT24" s="80">
        <f t="shared" si="3"/>
        <v>0.89</v>
      </c>
      <c r="AU24" s="67">
        <f>+AS24/AT24</f>
        <v>1.1235955056179776</v>
      </c>
      <c r="AV24" s="66" t="s">
        <v>159</v>
      </c>
    </row>
    <row r="25" spans="1:708" ht="70.5" customHeight="1" x14ac:dyDescent="0.25">
      <c r="A25" s="707"/>
      <c r="B25" s="708"/>
      <c r="C25" s="703"/>
      <c r="D25" s="703"/>
      <c r="E25" s="703"/>
      <c r="F25" s="703"/>
      <c r="G25" s="703"/>
      <c r="H25" s="703"/>
      <c r="I25" s="705"/>
      <c r="J25" s="698"/>
      <c r="K25" s="698"/>
      <c r="L25" s="698"/>
      <c r="M25" s="698"/>
      <c r="N25" s="698"/>
      <c r="O25" s="698"/>
      <c r="P25" s="699"/>
      <c r="Q25" s="70" t="s">
        <v>121</v>
      </c>
      <c r="R25" s="70" t="s">
        <v>122</v>
      </c>
      <c r="S25" s="71" t="s">
        <v>74</v>
      </c>
      <c r="T25" s="71"/>
      <c r="U25" s="81">
        <v>0.89</v>
      </c>
      <c r="V25" s="1014"/>
      <c r="W25" s="1009"/>
      <c r="X25" s="71" t="s">
        <v>144</v>
      </c>
      <c r="Y25" s="700"/>
      <c r="Z25" s="690"/>
      <c r="AA25" s="690"/>
      <c r="AB25" s="690"/>
      <c r="AC25" s="73">
        <f>0/1</f>
        <v>0</v>
      </c>
      <c r="AD25" s="81">
        <f t="shared" si="2"/>
        <v>0.89</v>
      </c>
      <c r="AE25" s="73">
        <f>+AC25/AD25</f>
        <v>0</v>
      </c>
      <c r="AF25" s="71" t="s">
        <v>160</v>
      </c>
      <c r="AG25" s="692"/>
      <c r="AH25" s="689"/>
      <c r="AI25" s="689"/>
      <c r="AJ25" s="689"/>
      <c r="AK25" s="75">
        <v>0.25</v>
      </c>
      <c r="AL25" s="82">
        <v>0.89</v>
      </c>
      <c r="AM25" s="75">
        <v>0.2808988764044944</v>
      </c>
      <c r="AN25" s="74" t="s">
        <v>161</v>
      </c>
      <c r="AO25" s="692"/>
      <c r="AP25" s="689"/>
      <c r="AQ25" s="689"/>
      <c r="AR25" s="689"/>
      <c r="AS25" s="75">
        <f>1/7</f>
        <v>0.14285714285714285</v>
      </c>
      <c r="AT25" s="82">
        <f t="shared" si="3"/>
        <v>0.89</v>
      </c>
      <c r="AU25" s="75">
        <f>+AS25/AT25</f>
        <v>0.16051364365971107</v>
      </c>
      <c r="AV25" s="74" t="s">
        <v>162</v>
      </c>
    </row>
    <row r="26" spans="1:708" ht="70.5" customHeight="1" x14ac:dyDescent="0.25">
      <c r="A26" s="693" t="s">
        <v>43</v>
      </c>
      <c r="B26" s="694" t="s">
        <v>44</v>
      </c>
      <c r="C26" s="696" t="s">
        <v>45</v>
      </c>
      <c r="D26" s="696" t="s">
        <v>46</v>
      </c>
      <c r="E26" s="696" t="s">
        <v>47</v>
      </c>
      <c r="F26" s="696" t="s">
        <v>48</v>
      </c>
      <c r="G26" s="696" t="s">
        <v>49</v>
      </c>
      <c r="H26" s="696" t="s">
        <v>50</v>
      </c>
      <c r="I26" s="711" t="s">
        <v>78</v>
      </c>
      <c r="J26" s="690" t="s">
        <v>52</v>
      </c>
      <c r="K26" s="690" t="s">
        <v>143</v>
      </c>
      <c r="L26" s="690" t="s">
        <v>79</v>
      </c>
      <c r="M26" s="690" t="s">
        <v>80</v>
      </c>
      <c r="N26" s="690" t="s">
        <v>56</v>
      </c>
      <c r="O26" s="690"/>
      <c r="P26" s="690">
        <v>285</v>
      </c>
      <c r="Q26" s="84" t="s">
        <v>81</v>
      </c>
      <c r="R26" s="84" t="s">
        <v>82</v>
      </c>
      <c r="S26" s="84" t="s">
        <v>56</v>
      </c>
      <c r="T26" s="84"/>
      <c r="U26" s="83">
        <v>240</v>
      </c>
      <c r="V26" s="1014"/>
      <c r="W26" s="1009"/>
      <c r="X26" s="64" t="s">
        <v>144</v>
      </c>
      <c r="Y26" s="710">
        <v>9</v>
      </c>
      <c r="Z26" s="710">
        <f>+P26</f>
        <v>285</v>
      </c>
      <c r="AA26" s="713">
        <f>Y26/Z26</f>
        <v>3.1578947368421054E-2</v>
      </c>
      <c r="AB26" s="690" t="s">
        <v>163</v>
      </c>
      <c r="AC26" s="83">
        <v>29</v>
      </c>
      <c r="AD26" s="83">
        <f t="shared" si="2"/>
        <v>240</v>
      </c>
      <c r="AE26" s="85">
        <f>AC26/AD26</f>
        <v>0.12083333333333333</v>
      </c>
      <c r="AF26" s="64" t="s">
        <v>164</v>
      </c>
      <c r="AG26" s="687">
        <v>27</v>
      </c>
      <c r="AH26" s="687">
        <v>285</v>
      </c>
      <c r="AI26" s="688">
        <v>9.4736842105263161E-2</v>
      </c>
      <c r="AJ26" s="689" t="s">
        <v>165</v>
      </c>
      <c r="AK26" s="86">
        <v>41</v>
      </c>
      <c r="AL26" s="86">
        <v>240</v>
      </c>
      <c r="AM26" s="87">
        <v>0.17083333333333334</v>
      </c>
      <c r="AN26" s="66" t="s">
        <v>166</v>
      </c>
      <c r="AO26" s="687">
        <v>35</v>
      </c>
      <c r="AP26" s="687">
        <f>+P26</f>
        <v>285</v>
      </c>
      <c r="AQ26" s="688">
        <f>AO26/AP26</f>
        <v>0.12280701754385964</v>
      </c>
      <c r="AR26" s="689" t="s">
        <v>167</v>
      </c>
      <c r="AS26" s="86">
        <v>65</v>
      </c>
      <c r="AT26" s="86">
        <f t="shared" si="3"/>
        <v>240</v>
      </c>
      <c r="AU26" s="87">
        <f>AS26/AT26</f>
        <v>0.27083333333333331</v>
      </c>
      <c r="AV26" s="66" t="s">
        <v>168</v>
      </c>
    </row>
    <row r="27" spans="1:708" ht="70.5" customHeight="1" x14ac:dyDescent="0.25">
      <c r="A27" s="693"/>
      <c r="B27" s="695"/>
      <c r="C27" s="697"/>
      <c r="D27" s="697"/>
      <c r="E27" s="697"/>
      <c r="F27" s="697"/>
      <c r="G27" s="697"/>
      <c r="H27" s="697"/>
      <c r="I27" s="712"/>
      <c r="J27" s="690"/>
      <c r="K27" s="690"/>
      <c r="L27" s="690"/>
      <c r="M27" s="690"/>
      <c r="N27" s="690"/>
      <c r="O27" s="690"/>
      <c r="P27" s="690"/>
      <c r="Q27" s="70" t="s">
        <v>133</v>
      </c>
      <c r="R27" s="70" t="s">
        <v>134</v>
      </c>
      <c r="S27" s="71" t="s">
        <v>56</v>
      </c>
      <c r="T27" s="70"/>
      <c r="U27" s="71">
        <v>244</v>
      </c>
      <c r="V27" s="1014"/>
      <c r="W27" s="1009"/>
      <c r="X27" s="71" t="s">
        <v>144</v>
      </c>
      <c r="Y27" s="710"/>
      <c r="Z27" s="710"/>
      <c r="AA27" s="713"/>
      <c r="AB27" s="690"/>
      <c r="AC27" s="71">
        <v>1</v>
      </c>
      <c r="AD27" s="71">
        <f t="shared" si="2"/>
        <v>244</v>
      </c>
      <c r="AE27" s="73">
        <f>AC27/AD27</f>
        <v>4.0983606557377051E-3</v>
      </c>
      <c r="AF27" s="71" t="s">
        <v>169</v>
      </c>
      <c r="AG27" s="687"/>
      <c r="AH27" s="687"/>
      <c r="AI27" s="688"/>
      <c r="AJ27" s="689"/>
      <c r="AK27" s="74">
        <v>17</v>
      </c>
      <c r="AL27" s="74">
        <v>244</v>
      </c>
      <c r="AM27" s="75">
        <v>6.9672131147540978E-2</v>
      </c>
      <c r="AN27" s="74" t="s">
        <v>170</v>
      </c>
      <c r="AO27" s="687"/>
      <c r="AP27" s="687"/>
      <c r="AQ27" s="688"/>
      <c r="AR27" s="689"/>
      <c r="AS27" s="74">
        <v>44</v>
      </c>
      <c r="AT27" s="74">
        <f t="shared" si="3"/>
        <v>244</v>
      </c>
      <c r="AU27" s="75">
        <f>AS27/AT27</f>
        <v>0.18032786885245902</v>
      </c>
      <c r="AV27" s="74" t="s">
        <v>171</v>
      </c>
    </row>
    <row r="28" spans="1:708" ht="70.5" customHeight="1" x14ac:dyDescent="0.25">
      <c r="A28" s="693"/>
      <c r="B28" s="695"/>
      <c r="C28" s="697"/>
      <c r="D28" s="697"/>
      <c r="E28" s="697"/>
      <c r="F28" s="697"/>
      <c r="G28" s="697"/>
      <c r="H28" s="697"/>
      <c r="I28" s="712"/>
      <c r="J28" s="690"/>
      <c r="K28" s="690"/>
      <c r="L28" s="690"/>
      <c r="M28" s="690"/>
      <c r="N28" s="690"/>
      <c r="O28" s="690"/>
      <c r="P28" s="690"/>
      <c r="Q28" s="84" t="s">
        <v>138</v>
      </c>
      <c r="R28" s="63" t="s">
        <v>139</v>
      </c>
      <c r="S28" s="83" t="s">
        <v>56</v>
      </c>
      <c r="T28" s="84"/>
      <c r="U28" s="83">
        <v>26</v>
      </c>
      <c r="V28" s="986"/>
      <c r="W28" s="1009"/>
      <c r="X28" s="64" t="s">
        <v>144</v>
      </c>
      <c r="Y28" s="710"/>
      <c r="Z28" s="710"/>
      <c r="AA28" s="713"/>
      <c r="AB28" s="690"/>
      <c r="AC28" s="83">
        <v>1</v>
      </c>
      <c r="AD28" s="83">
        <f t="shared" si="2"/>
        <v>26</v>
      </c>
      <c r="AE28" s="85">
        <f>AC28/AD28</f>
        <v>3.8461538461538464E-2</v>
      </c>
      <c r="AF28" s="64" t="s">
        <v>172</v>
      </c>
      <c r="AG28" s="687"/>
      <c r="AH28" s="687"/>
      <c r="AI28" s="688"/>
      <c r="AJ28" s="689"/>
      <c r="AK28" s="86">
        <v>6</v>
      </c>
      <c r="AL28" s="86">
        <v>26</v>
      </c>
      <c r="AM28" s="87">
        <v>0.23076923076923078</v>
      </c>
      <c r="AN28" s="66" t="s">
        <v>173</v>
      </c>
      <c r="AO28" s="687"/>
      <c r="AP28" s="687"/>
      <c r="AQ28" s="688"/>
      <c r="AR28" s="689"/>
      <c r="AS28" s="86">
        <v>7</v>
      </c>
      <c r="AT28" s="86">
        <f t="shared" si="3"/>
        <v>26</v>
      </c>
      <c r="AU28" s="87">
        <f>AS28/AT28</f>
        <v>0.26923076923076922</v>
      </c>
      <c r="AV28" s="66" t="s">
        <v>174</v>
      </c>
    </row>
    <row r="29" spans="1:708" s="21" customFormat="1" ht="70.5" customHeight="1" x14ac:dyDescent="0.25">
      <c r="A29" s="52"/>
      <c r="B29" s="52"/>
      <c r="C29" s="52"/>
      <c r="D29" s="52"/>
      <c r="E29" s="52"/>
      <c r="F29" s="52"/>
      <c r="G29" s="52"/>
      <c r="H29" s="52"/>
      <c r="I29" s="52"/>
      <c r="J29" s="52"/>
      <c r="K29" s="52"/>
      <c r="L29" s="52"/>
      <c r="M29" s="52"/>
      <c r="N29" s="52"/>
      <c r="O29" s="52"/>
      <c r="P29" s="53"/>
      <c r="Q29" s="52"/>
      <c r="R29" s="52"/>
      <c r="S29" s="53"/>
      <c r="T29" s="52"/>
      <c r="U29" s="52"/>
      <c r="V29" s="54"/>
      <c r="W29" s="1009"/>
      <c r="X29" s="52"/>
      <c r="Y29" s="657" t="s">
        <v>99</v>
      </c>
      <c r="Z29" s="657"/>
      <c r="AA29" s="55">
        <f>AVERAGE(AA22:AA28)</f>
        <v>0.39675405742821485</v>
      </c>
      <c r="AB29" s="56"/>
      <c r="AC29" s="657" t="s">
        <v>100</v>
      </c>
      <c r="AD29" s="657"/>
      <c r="AE29" s="55">
        <f>AVERAGE(AE22:AE28)</f>
        <v>0.18696112407190998</v>
      </c>
      <c r="AF29" s="58"/>
      <c r="AG29" s="658" t="s">
        <v>99</v>
      </c>
      <c r="AH29" s="658"/>
      <c r="AI29" s="59">
        <v>0.42950259543991071</v>
      </c>
      <c r="AJ29" s="60"/>
      <c r="AK29" s="658" t="s">
        <v>100</v>
      </c>
      <c r="AL29" s="658"/>
      <c r="AM29" s="59">
        <v>0.29697006399188203</v>
      </c>
      <c r="AN29" s="62"/>
      <c r="AO29" s="657" t="s">
        <v>99</v>
      </c>
      <c r="AP29" s="657"/>
      <c r="AQ29" s="55">
        <f>AVERAGE(AQ22:AQ28)</f>
        <v>0.45640318023523224</v>
      </c>
      <c r="AR29" s="56"/>
      <c r="AS29" s="657" t="s">
        <v>100</v>
      </c>
      <c r="AT29" s="657"/>
      <c r="AU29" s="55">
        <f>AVERAGE(AU22:AU28)</f>
        <v>0.32572986848953545</v>
      </c>
      <c r="AV29" s="58"/>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c r="IW29" s="20"/>
      <c r="IX29" s="20"/>
      <c r="IY29" s="20"/>
      <c r="IZ29" s="20"/>
      <c r="JA29" s="20"/>
      <c r="JB29" s="20"/>
      <c r="JC29" s="20"/>
      <c r="JD29" s="20"/>
      <c r="JE29" s="20"/>
      <c r="JF29" s="20"/>
      <c r="JG29" s="20"/>
      <c r="JH29" s="20"/>
      <c r="JI29" s="20"/>
      <c r="JJ29" s="20"/>
      <c r="JK29" s="20"/>
      <c r="JL29" s="20"/>
      <c r="JM29" s="20"/>
      <c r="JN29" s="20"/>
      <c r="JO29" s="20"/>
      <c r="JP29" s="20"/>
      <c r="JQ29" s="20"/>
      <c r="JR29" s="20"/>
      <c r="JS29" s="20"/>
      <c r="JT29" s="20"/>
      <c r="JU29" s="20"/>
      <c r="JV29" s="20"/>
      <c r="JW29" s="20"/>
      <c r="JX29" s="20"/>
      <c r="JY29" s="20"/>
      <c r="JZ29" s="20"/>
      <c r="KA29" s="20"/>
      <c r="KB29" s="20"/>
      <c r="KC29" s="20"/>
      <c r="KD29" s="20"/>
      <c r="KE29" s="20"/>
      <c r="KF29" s="20"/>
      <c r="KG29" s="20"/>
      <c r="KH29" s="20"/>
      <c r="KI29" s="20"/>
      <c r="KJ29" s="20"/>
      <c r="KK29" s="20"/>
      <c r="KL29" s="20"/>
      <c r="KM29" s="20"/>
      <c r="KN29" s="20"/>
      <c r="KO29" s="20"/>
      <c r="KP29" s="20"/>
      <c r="KQ29" s="20"/>
      <c r="KR29" s="20"/>
      <c r="KS29" s="20"/>
      <c r="KT29" s="20"/>
      <c r="KU29" s="20"/>
      <c r="KV29" s="20"/>
      <c r="KW29" s="20"/>
      <c r="KX29" s="20"/>
      <c r="KY29" s="20"/>
      <c r="KZ29" s="20"/>
      <c r="LA29" s="20"/>
      <c r="LB29" s="20"/>
      <c r="LC29" s="20"/>
      <c r="LD29" s="20"/>
      <c r="LE29" s="20"/>
      <c r="LF29" s="20"/>
      <c r="LG29" s="20"/>
      <c r="LH29" s="20"/>
      <c r="LI29" s="20"/>
      <c r="LJ29" s="20"/>
      <c r="LK29" s="20"/>
      <c r="LL29" s="20"/>
      <c r="LM29" s="20"/>
      <c r="LN29" s="20"/>
      <c r="LO29" s="20"/>
      <c r="LP29" s="20"/>
      <c r="LQ29" s="20"/>
      <c r="LR29" s="20"/>
      <c r="LS29" s="20"/>
      <c r="LT29" s="20"/>
      <c r="LU29" s="20"/>
      <c r="LV29" s="20"/>
      <c r="LW29" s="20"/>
      <c r="LX29" s="20"/>
      <c r="LY29" s="20"/>
      <c r="LZ29" s="20"/>
      <c r="MA29" s="20"/>
      <c r="MB29" s="20"/>
      <c r="MC29" s="20"/>
      <c r="MD29" s="20"/>
      <c r="ME29" s="20"/>
      <c r="MF29" s="20"/>
      <c r="MG29" s="20"/>
      <c r="MH29" s="20"/>
      <c r="MI29" s="20"/>
      <c r="MJ29" s="20"/>
      <c r="MK29" s="20"/>
      <c r="ML29" s="20"/>
      <c r="MM29" s="20"/>
      <c r="MN29" s="20"/>
      <c r="MO29" s="20"/>
      <c r="MP29" s="20"/>
      <c r="MQ29" s="20"/>
      <c r="MR29" s="20"/>
      <c r="MS29" s="20"/>
      <c r="MT29" s="20"/>
      <c r="MU29" s="20"/>
      <c r="MV29" s="20"/>
      <c r="MW29" s="20"/>
      <c r="MX29" s="20"/>
      <c r="MY29" s="20"/>
      <c r="MZ29" s="20"/>
      <c r="NA29" s="20"/>
      <c r="NB29" s="20"/>
      <c r="NC29" s="20"/>
      <c r="ND29" s="20"/>
      <c r="NE29" s="20"/>
      <c r="NF29" s="20"/>
      <c r="NG29" s="20"/>
      <c r="NH29" s="20"/>
      <c r="NI29" s="20"/>
      <c r="NJ29" s="20"/>
      <c r="NK29" s="20"/>
      <c r="NL29" s="20"/>
      <c r="NM29" s="20"/>
      <c r="NN29" s="20"/>
      <c r="NO29" s="20"/>
      <c r="NP29" s="20"/>
      <c r="NQ29" s="20"/>
      <c r="NR29" s="20"/>
      <c r="NS29" s="20"/>
      <c r="NT29" s="20"/>
      <c r="NU29" s="20"/>
      <c r="NV29" s="20"/>
      <c r="NW29" s="20"/>
      <c r="NX29" s="20"/>
      <c r="NY29" s="20"/>
      <c r="NZ29" s="20"/>
      <c r="OA29" s="20"/>
      <c r="OB29" s="20"/>
      <c r="OC29" s="20"/>
      <c r="OD29" s="20"/>
      <c r="OE29" s="20"/>
      <c r="OF29" s="20"/>
      <c r="OG29" s="20"/>
      <c r="OH29" s="20"/>
      <c r="OI29" s="20"/>
      <c r="OJ29" s="20"/>
      <c r="OK29" s="20"/>
      <c r="OL29" s="20"/>
      <c r="OM29" s="20"/>
      <c r="ON29" s="20"/>
      <c r="OO29" s="20"/>
      <c r="OP29" s="20"/>
      <c r="OQ29" s="20"/>
      <c r="OR29" s="20"/>
      <c r="OS29" s="20"/>
      <c r="OT29" s="20"/>
      <c r="OU29" s="20"/>
      <c r="OV29" s="20"/>
      <c r="OW29" s="20"/>
      <c r="OX29" s="20"/>
      <c r="OY29" s="20"/>
      <c r="OZ29" s="20"/>
      <c r="PA29" s="20"/>
      <c r="PB29" s="20"/>
      <c r="PC29" s="20"/>
      <c r="PD29" s="20"/>
      <c r="PE29" s="20"/>
      <c r="PF29" s="20"/>
      <c r="PG29" s="20"/>
      <c r="PH29" s="20"/>
      <c r="PI29" s="20"/>
      <c r="PJ29" s="20"/>
      <c r="PK29" s="20"/>
      <c r="PL29" s="20"/>
      <c r="PM29" s="20"/>
      <c r="PN29" s="20"/>
      <c r="PO29" s="20"/>
      <c r="PP29" s="20"/>
      <c r="PQ29" s="20"/>
      <c r="PR29" s="20"/>
      <c r="PS29" s="20"/>
      <c r="PT29" s="20"/>
      <c r="PU29" s="20"/>
      <c r="PV29" s="20"/>
      <c r="PW29" s="20"/>
      <c r="PX29" s="20"/>
      <c r="PY29" s="20"/>
      <c r="PZ29" s="20"/>
      <c r="QA29" s="20"/>
      <c r="QB29" s="20"/>
      <c r="QC29" s="20"/>
      <c r="QD29" s="20"/>
      <c r="QE29" s="20"/>
      <c r="QF29" s="20"/>
      <c r="QG29" s="20"/>
      <c r="QH29" s="20"/>
      <c r="QI29" s="20"/>
      <c r="QJ29" s="20"/>
      <c r="QK29" s="20"/>
      <c r="QL29" s="20"/>
      <c r="QM29" s="20"/>
      <c r="QN29" s="20"/>
      <c r="QO29" s="20"/>
      <c r="QP29" s="20"/>
      <c r="QQ29" s="20"/>
      <c r="QR29" s="20"/>
      <c r="QS29" s="20"/>
      <c r="QT29" s="20"/>
      <c r="QU29" s="20"/>
      <c r="QV29" s="20"/>
      <c r="QW29" s="20"/>
      <c r="QX29" s="20"/>
      <c r="QY29" s="20"/>
      <c r="QZ29" s="20"/>
      <c r="RA29" s="20"/>
      <c r="RB29" s="20"/>
      <c r="RC29" s="20"/>
      <c r="RD29" s="20"/>
      <c r="RE29" s="20"/>
      <c r="RF29" s="20"/>
      <c r="RG29" s="20"/>
      <c r="RH29" s="20"/>
      <c r="RI29" s="20"/>
      <c r="RJ29" s="20"/>
      <c r="RK29" s="20"/>
      <c r="RL29" s="20"/>
      <c r="RM29" s="20"/>
      <c r="RN29" s="20"/>
      <c r="RO29" s="20"/>
      <c r="RP29" s="20"/>
      <c r="RQ29" s="20"/>
      <c r="RR29" s="20"/>
      <c r="RS29" s="20"/>
      <c r="RT29" s="20"/>
      <c r="RU29" s="20"/>
      <c r="RV29" s="20"/>
      <c r="RW29" s="20"/>
      <c r="RX29" s="20"/>
      <c r="RY29" s="20"/>
      <c r="RZ29" s="20"/>
      <c r="SA29" s="20"/>
      <c r="SB29" s="20"/>
      <c r="SC29" s="20"/>
      <c r="SD29" s="20"/>
      <c r="SE29" s="20"/>
      <c r="SF29" s="20"/>
      <c r="SG29" s="20"/>
      <c r="SH29" s="20"/>
      <c r="SI29" s="20"/>
      <c r="SJ29" s="20"/>
      <c r="SK29" s="20"/>
      <c r="SL29" s="20"/>
      <c r="SM29" s="20"/>
      <c r="SN29" s="20"/>
      <c r="SO29" s="20"/>
      <c r="SP29" s="20"/>
      <c r="SQ29" s="20"/>
      <c r="SR29" s="20"/>
      <c r="SS29" s="20"/>
      <c r="ST29" s="20"/>
      <c r="SU29" s="20"/>
      <c r="SV29" s="20"/>
      <c r="SW29" s="20"/>
      <c r="SX29" s="20"/>
      <c r="SY29" s="20"/>
      <c r="SZ29" s="20"/>
      <c r="TA29" s="20"/>
      <c r="TB29" s="20"/>
      <c r="TC29" s="20"/>
      <c r="TD29" s="20"/>
      <c r="TE29" s="20"/>
      <c r="TF29" s="20"/>
      <c r="TG29" s="20"/>
      <c r="TH29" s="20"/>
      <c r="TI29" s="20"/>
      <c r="TJ29" s="20"/>
      <c r="TK29" s="20"/>
      <c r="TL29" s="20"/>
      <c r="TM29" s="20"/>
      <c r="TN29" s="20"/>
      <c r="TO29" s="20"/>
      <c r="TP29" s="20"/>
      <c r="TQ29" s="20"/>
      <c r="TR29" s="20"/>
      <c r="TS29" s="20"/>
      <c r="TT29" s="20"/>
      <c r="TU29" s="20"/>
      <c r="TV29" s="20"/>
      <c r="TW29" s="20"/>
      <c r="TX29" s="20"/>
      <c r="TY29" s="20"/>
      <c r="TZ29" s="20"/>
      <c r="UA29" s="20"/>
      <c r="UB29" s="20"/>
      <c r="UC29" s="20"/>
      <c r="UD29" s="20"/>
      <c r="UE29" s="20"/>
      <c r="UF29" s="20"/>
      <c r="UG29" s="20"/>
      <c r="UH29" s="20"/>
      <c r="UI29" s="20"/>
      <c r="UJ29" s="20"/>
      <c r="UK29" s="20"/>
      <c r="UL29" s="20"/>
      <c r="UM29" s="20"/>
      <c r="UN29" s="20"/>
      <c r="UO29" s="20"/>
      <c r="UP29" s="20"/>
      <c r="UQ29" s="20"/>
      <c r="UR29" s="20"/>
      <c r="US29" s="20"/>
      <c r="UT29" s="20"/>
      <c r="UU29" s="20"/>
      <c r="UV29" s="20"/>
      <c r="UW29" s="20"/>
      <c r="UX29" s="20"/>
      <c r="UY29" s="20"/>
      <c r="UZ29" s="20"/>
      <c r="VA29" s="20"/>
      <c r="VB29" s="20"/>
      <c r="VC29" s="20"/>
      <c r="VD29" s="20"/>
      <c r="VE29" s="20"/>
      <c r="VF29" s="20"/>
      <c r="VG29" s="20"/>
      <c r="VH29" s="20"/>
      <c r="VI29" s="20"/>
      <c r="VJ29" s="20"/>
      <c r="VK29" s="20"/>
      <c r="VL29" s="20"/>
      <c r="VM29" s="20"/>
      <c r="VN29" s="20"/>
      <c r="VO29" s="20"/>
      <c r="VP29" s="20"/>
      <c r="VQ29" s="20"/>
      <c r="VR29" s="20"/>
      <c r="VS29" s="20"/>
      <c r="VT29" s="20"/>
      <c r="VU29" s="20"/>
      <c r="VV29" s="20"/>
      <c r="VW29" s="20"/>
      <c r="VX29" s="20"/>
      <c r="VY29" s="20"/>
      <c r="VZ29" s="20"/>
      <c r="WA29" s="20"/>
      <c r="WB29" s="20"/>
      <c r="WC29" s="20"/>
      <c r="WD29" s="20"/>
      <c r="WE29" s="20"/>
      <c r="WF29" s="20"/>
      <c r="WG29" s="20"/>
      <c r="WH29" s="20"/>
      <c r="WI29" s="20"/>
      <c r="WJ29" s="20"/>
      <c r="WK29" s="20"/>
      <c r="WL29" s="20"/>
      <c r="WM29" s="20"/>
      <c r="WN29" s="20"/>
      <c r="WO29" s="20"/>
      <c r="WP29" s="20"/>
      <c r="WQ29" s="20"/>
      <c r="WR29" s="20"/>
      <c r="WS29" s="20"/>
      <c r="WT29" s="20"/>
      <c r="WU29" s="20"/>
      <c r="WV29" s="20"/>
      <c r="WW29" s="20"/>
      <c r="WX29" s="20"/>
      <c r="WY29" s="20"/>
      <c r="WZ29" s="20"/>
      <c r="XA29" s="20"/>
      <c r="XB29" s="20"/>
      <c r="XC29" s="20"/>
      <c r="XD29" s="20"/>
      <c r="XE29" s="20"/>
      <c r="XF29" s="20"/>
      <c r="XG29" s="20"/>
      <c r="XH29" s="20"/>
      <c r="XI29" s="20"/>
      <c r="XJ29" s="20"/>
      <c r="XK29" s="20"/>
      <c r="XL29" s="20"/>
      <c r="XM29" s="20"/>
      <c r="XN29" s="20"/>
      <c r="XO29" s="20"/>
      <c r="XP29" s="20"/>
      <c r="XQ29" s="20"/>
      <c r="XR29" s="20"/>
      <c r="XS29" s="20"/>
      <c r="XT29" s="20"/>
      <c r="XU29" s="20"/>
      <c r="XV29" s="20"/>
      <c r="XW29" s="20"/>
      <c r="XX29" s="20"/>
      <c r="XY29" s="20"/>
      <c r="XZ29" s="20"/>
      <c r="YA29" s="20"/>
      <c r="YB29" s="20"/>
      <c r="YC29" s="20"/>
      <c r="YD29" s="20"/>
      <c r="YE29" s="20"/>
      <c r="YF29" s="20"/>
      <c r="YG29" s="20"/>
      <c r="YH29" s="20"/>
      <c r="YI29" s="20"/>
      <c r="YJ29" s="20"/>
      <c r="YK29" s="20"/>
      <c r="YL29" s="20"/>
      <c r="YM29" s="20"/>
      <c r="YN29" s="20"/>
      <c r="YO29" s="20"/>
      <c r="YP29" s="20"/>
      <c r="YQ29" s="20"/>
      <c r="YR29" s="20"/>
      <c r="YS29" s="20"/>
      <c r="YT29" s="20"/>
      <c r="YU29" s="20"/>
      <c r="YV29" s="20"/>
      <c r="YW29" s="20"/>
      <c r="YX29" s="20"/>
      <c r="YY29" s="20"/>
      <c r="YZ29" s="20"/>
      <c r="ZA29" s="20"/>
      <c r="ZB29" s="20"/>
      <c r="ZC29" s="20"/>
      <c r="ZD29" s="20"/>
      <c r="ZE29" s="20"/>
      <c r="ZF29" s="20"/>
      <c r="ZG29" s="20"/>
      <c r="ZH29" s="20"/>
      <c r="ZI29" s="20"/>
      <c r="ZJ29" s="20"/>
      <c r="ZK29" s="20"/>
      <c r="ZL29" s="20"/>
      <c r="ZM29" s="20"/>
      <c r="ZN29" s="20"/>
      <c r="ZO29" s="20"/>
      <c r="ZP29" s="20"/>
      <c r="ZQ29" s="20"/>
      <c r="ZR29" s="20"/>
      <c r="ZS29" s="20"/>
      <c r="ZT29" s="20"/>
      <c r="ZU29" s="20"/>
      <c r="ZV29" s="20"/>
      <c r="ZW29" s="20"/>
      <c r="ZX29" s="20"/>
      <c r="ZY29" s="20"/>
      <c r="ZZ29" s="20"/>
      <c r="AAA29" s="20"/>
      <c r="AAB29" s="20"/>
      <c r="AAC29" s="20"/>
      <c r="AAD29" s="20"/>
      <c r="AAE29" s="20"/>
      <c r="AAF29" s="20"/>
    </row>
    <row r="30" spans="1:708" ht="69" customHeight="1" x14ac:dyDescent="0.25">
      <c r="A30" s="693" t="s">
        <v>43</v>
      </c>
      <c r="B30" s="714" t="s">
        <v>44</v>
      </c>
      <c r="C30" s="696" t="s">
        <v>45</v>
      </c>
      <c r="D30" s="696" t="s">
        <v>46</v>
      </c>
      <c r="E30" s="696" t="s">
        <v>47</v>
      </c>
      <c r="F30" s="696" t="s">
        <v>48</v>
      </c>
      <c r="G30" s="696" t="s">
        <v>49</v>
      </c>
      <c r="H30" s="696" t="s">
        <v>50</v>
      </c>
      <c r="I30" s="711" t="s">
        <v>51</v>
      </c>
      <c r="J30" s="690" t="s">
        <v>52</v>
      </c>
      <c r="K30" s="690" t="s">
        <v>175</v>
      </c>
      <c r="L30" s="690" t="s">
        <v>54</v>
      </c>
      <c r="M30" s="690" t="s">
        <v>55</v>
      </c>
      <c r="N30" s="690" t="s">
        <v>56</v>
      </c>
      <c r="O30" s="690"/>
      <c r="P30" s="690">
        <v>47</v>
      </c>
      <c r="Q30" s="63" t="s">
        <v>57</v>
      </c>
      <c r="R30" s="63" t="s">
        <v>58</v>
      </c>
      <c r="S30" s="64" t="s">
        <v>56</v>
      </c>
      <c r="T30" s="64"/>
      <c r="U30" s="64">
        <v>27</v>
      </c>
      <c r="V30" s="985">
        <v>4639192457</v>
      </c>
      <c r="W30" s="1009"/>
      <c r="X30" s="64" t="s">
        <v>176</v>
      </c>
      <c r="Y30" s="690">
        <v>3</v>
      </c>
      <c r="Z30" s="690">
        <f>+P30</f>
        <v>47</v>
      </c>
      <c r="AA30" s="700">
        <f>+Y30/Z30</f>
        <v>6.3829787234042548E-2</v>
      </c>
      <c r="AB30" s="690" t="s">
        <v>177</v>
      </c>
      <c r="AC30" s="64">
        <v>0</v>
      </c>
      <c r="AD30" s="64">
        <f t="shared" ref="AD30:AD36" si="4">+U30</f>
        <v>27</v>
      </c>
      <c r="AE30" s="65">
        <f t="shared" ref="AE30:AE36" si="5">+AC30/AD30</f>
        <v>0</v>
      </c>
      <c r="AF30" s="64" t="s">
        <v>178</v>
      </c>
      <c r="AG30" s="689">
        <v>7</v>
      </c>
      <c r="AH30" s="689">
        <v>47</v>
      </c>
      <c r="AI30" s="692">
        <v>0.14893617021276595</v>
      </c>
      <c r="AJ30" s="689" t="s">
        <v>179</v>
      </c>
      <c r="AK30" s="66">
        <v>2</v>
      </c>
      <c r="AL30" s="66">
        <v>27</v>
      </c>
      <c r="AM30" s="67">
        <v>7.407407407407407E-2</v>
      </c>
      <c r="AN30" s="66" t="s">
        <v>180</v>
      </c>
      <c r="AO30" s="689">
        <v>9</v>
      </c>
      <c r="AP30" s="689">
        <f>+P30</f>
        <v>47</v>
      </c>
      <c r="AQ30" s="692">
        <f>+AO30/AP30</f>
        <v>0.19148936170212766</v>
      </c>
      <c r="AR30" s="689" t="s">
        <v>181</v>
      </c>
      <c r="AS30" s="66">
        <v>3</v>
      </c>
      <c r="AT30" s="66">
        <f t="shared" ref="AT30:AT36" si="6">+U30</f>
        <v>27</v>
      </c>
      <c r="AU30" s="67">
        <f t="shared" ref="AU30:AU36" si="7">+AS30/AT30</f>
        <v>0.1111111111111111</v>
      </c>
      <c r="AV30" s="66" t="s">
        <v>182</v>
      </c>
    </row>
    <row r="31" spans="1:708" ht="70.5" customHeight="1" x14ac:dyDescent="0.25">
      <c r="A31" s="693"/>
      <c r="B31" s="715"/>
      <c r="C31" s="716"/>
      <c r="D31" s="716"/>
      <c r="E31" s="716"/>
      <c r="F31" s="716"/>
      <c r="G31" s="716"/>
      <c r="H31" s="716"/>
      <c r="I31" s="717"/>
      <c r="J31" s="690"/>
      <c r="K31" s="690"/>
      <c r="L31" s="690"/>
      <c r="M31" s="690"/>
      <c r="N31" s="690"/>
      <c r="O31" s="690"/>
      <c r="P31" s="690"/>
      <c r="Q31" s="70" t="s">
        <v>66</v>
      </c>
      <c r="R31" s="70" t="s">
        <v>67</v>
      </c>
      <c r="S31" s="71" t="s">
        <v>56</v>
      </c>
      <c r="T31" s="71"/>
      <c r="U31" s="71">
        <v>37</v>
      </c>
      <c r="V31" s="1014"/>
      <c r="W31" s="1009"/>
      <c r="X31" s="71" t="s">
        <v>176</v>
      </c>
      <c r="Y31" s="690"/>
      <c r="Z31" s="690"/>
      <c r="AA31" s="700"/>
      <c r="AB31" s="690"/>
      <c r="AC31" s="71">
        <v>3</v>
      </c>
      <c r="AD31" s="71">
        <f t="shared" si="4"/>
        <v>37</v>
      </c>
      <c r="AE31" s="73">
        <f t="shared" si="5"/>
        <v>8.1081081081081086E-2</v>
      </c>
      <c r="AF31" s="71" t="s">
        <v>183</v>
      </c>
      <c r="AG31" s="689"/>
      <c r="AH31" s="689"/>
      <c r="AI31" s="692"/>
      <c r="AJ31" s="689"/>
      <c r="AK31" s="74">
        <v>7</v>
      </c>
      <c r="AL31" s="74">
        <v>37</v>
      </c>
      <c r="AM31" s="75">
        <v>0.1891891891891892</v>
      </c>
      <c r="AN31" s="74" t="s">
        <v>184</v>
      </c>
      <c r="AO31" s="689"/>
      <c r="AP31" s="689"/>
      <c r="AQ31" s="692"/>
      <c r="AR31" s="689"/>
      <c r="AS31" s="74">
        <v>8</v>
      </c>
      <c r="AT31" s="74">
        <f t="shared" si="6"/>
        <v>37</v>
      </c>
      <c r="AU31" s="75">
        <f t="shared" si="7"/>
        <v>0.21621621621621623</v>
      </c>
      <c r="AV31" s="74" t="s">
        <v>185</v>
      </c>
    </row>
    <row r="32" spans="1:708" ht="70.5" customHeight="1" x14ac:dyDescent="0.25">
      <c r="A32" s="706" t="s">
        <v>43</v>
      </c>
      <c r="B32" s="708" t="s">
        <v>44</v>
      </c>
      <c r="C32" s="702" t="s">
        <v>45</v>
      </c>
      <c r="D32" s="702" t="s">
        <v>46</v>
      </c>
      <c r="E32" s="702" t="s">
        <v>71</v>
      </c>
      <c r="F32" s="702" t="s">
        <v>48</v>
      </c>
      <c r="G32" s="702" t="s">
        <v>49</v>
      </c>
      <c r="H32" s="702" t="s">
        <v>50</v>
      </c>
      <c r="I32" s="704" t="s">
        <v>51</v>
      </c>
      <c r="J32" s="698" t="s">
        <v>52</v>
      </c>
      <c r="K32" s="698" t="s">
        <v>175</v>
      </c>
      <c r="L32" s="698" t="s">
        <v>72</v>
      </c>
      <c r="M32" s="698" t="s">
        <v>112</v>
      </c>
      <c r="N32" s="698" t="s">
        <v>74</v>
      </c>
      <c r="O32" s="698"/>
      <c r="P32" s="699">
        <v>0.89</v>
      </c>
      <c r="Q32" s="63" t="s">
        <v>113</v>
      </c>
      <c r="R32" s="63" t="s">
        <v>114</v>
      </c>
      <c r="S32" s="64" t="s">
        <v>74</v>
      </c>
      <c r="T32" s="64"/>
      <c r="U32" s="79">
        <v>0.89</v>
      </c>
      <c r="V32" s="1014"/>
      <c r="W32" s="1009"/>
      <c r="X32" s="64" t="s">
        <v>176</v>
      </c>
      <c r="Y32" s="700">
        <f>3/3</f>
        <v>1</v>
      </c>
      <c r="Z32" s="701">
        <f>+P32</f>
        <v>0.89</v>
      </c>
      <c r="AA32" s="700">
        <f>+Y32/Z32</f>
        <v>1.1235955056179776</v>
      </c>
      <c r="AB32" s="690" t="s">
        <v>186</v>
      </c>
      <c r="AC32" s="65">
        <v>0</v>
      </c>
      <c r="AD32" s="79">
        <f t="shared" si="4"/>
        <v>0.89</v>
      </c>
      <c r="AE32" s="65">
        <f t="shared" si="5"/>
        <v>0</v>
      </c>
      <c r="AF32" s="64" t="s">
        <v>187</v>
      </c>
      <c r="AG32" s="692">
        <v>1</v>
      </c>
      <c r="AH32" s="691">
        <v>0.89</v>
      </c>
      <c r="AI32" s="692">
        <v>1.1235955056179776</v>
      </c>
      <c r="AJ32" s="689" t="s">
        <v>188</v>
      </c>
      <c r="AK32" s="67">
        <v>1</v>
      </c>
      <c r="AL32" s="80">
        <v>0.89</v>
      </c>
      <c r="AM32" s="67">
        <v>1.1235955056179776</v>
      </c>
      <c r="AN32" s="66" t="s">
        <v>189</v>
      </c>
      <c r="AO32" s="692">
        <f>7/7</f>
        <v>1</v>
      </c>
      <c r="AP32" s="691">
        <f>+P32</f>
        <v>0.89</v>
      </c>
      <c r="AQ32" s="692">
        <f>+AO32/AP32</f>
        <v>1.1235955056179776</v>
      </c>
      <c r="AR32" s="689" t="s">
        <v>190</v>
      </c>
      <c r="AS32" s="67">
        <f>+(2/2)</f>
        <v>1</v>
      </c>
      <c r="AT32" s="80">
        <f t="shared" si="6"/>
        <v>0.89</v>
      </c>
      <c r="AU32" s="67">
        <f t="shared" si="7"/>
        <v>1.1235955056179776</v>
      </c>
      <c r="AV32" s="66" t="s">
        <v>191</v>
      </c>
    </row>
    <row r="33" spans="1:708" ht="70.5" customHeight="1" x14ac:dyDescent="0.25">
      <c r="A33" s="707"/>
      <c r="B33" s="708"/>
      <c r="C33" s="703"/>
      <c r="D33" s="703"/>
      <c r="E33" s="703"/>
      <c r="F33" s="703"/>
      <c r="G33" s="703"/>
      <c r="H33" s="703"/>
      <c r="I33" s="705"/>
      <c r="J33" s="698"/>
      <c r="K33" s="698"/>
      <c r="L33" s="698"/>
      <c r="M33" s="698"/>
      <c r="N33" s="698"/>
      <c r="O33" s="698"/>
      <c r="P33" s="699"/>
      <c r="Q33" s="70" t="s">
        <v>121</v>
      </c>
      <c r="R33" s="70" t="s">
        <v>122</v>
      </c>
      <c r="S33" s="71" t="s">
        <v>74</v>
      </c>
      <c r="T33" s="71"/>
      <c r="U33" s="81">
        <v>0.89</v>
      </c>
      <c r="V33" s="1014"/>
      <c r="W33" s="1009"/>
      <c r="X33" s="71" t="s">
        <v>176</v>
      </c>
      <c r="Y33" s="700"/>
      <c r="Z33" s="690"/>
      <c r="AA33" s="700"/>
      <c r="AB33" s="690"/>
      <c r="AC33" s="73">
        <f>(1/6)</f>
        <v>0.16666666666666666</v>
      </c>
      <c r="AD33" s="81">
        <f t="shared" si="4"/>
        <v>0.89</v>
      </c>
      <c r="AE33" s="73">
        <f t="shared" si="5"/>
        <v>0.18726591760299624</v>
      </c>
      <c r="AF33" s="71" t="s">
        <v>192</v>
      </c>
      <c r="AG33" s="692"/>
      <c r="AH33" s="689"/>
      <c r="AI33" s="692"/>
      <c r="AJ33" s="689"/>
      <c r="AK33" s="75">
        <v>0.14285714285714285</v>
      </c>
      <c r="AL33" s="82">
        <v>0.89</v>
      </c>
      <c r="AM33" s="75">
        <v>0.16051364365971107</v>
      </c>
      <c r="AN33" s="74" t="s">
        <v>193</v>
      </c>
      <c r="AO33" s="692"/>
      <c r="AP33" s="689"/>
      <c r="AQ33" s="692"/>
      <c r="AR33" s="689"/>
      <c r="AS33" s="75">
        <f>(0/7)</f>
        <v>0</v>
      </c>
      <c r="AT33" s="82">
        <f t="shared" si="6"/>
        <v>0.89</v>
      </c>
      <c r="AU33" s="75">
        <f t="shared" si="7"/>
        <v>0</v>
      </c>
      <c r="AV33" s="74" t="s">
        <v>194</v>
      </c>
    </row>
    <row r="34" spans="1:708" ht="57" customHeight="1" x14ac:dyDescent="0.25">
      <c r="A34" s="693" t="s">
        <v>43</v>
      </c>
      <c r="B34" s="694" t="s">
        <v>44</v>
      </c>
      <c r="C34" s="696" t="s">
        <v>45</v>
      </c>
      <c r="D34" s="696" t="s">
        <v>46</v>
      </c>
      <c r="E34" s="696" t="s">
        <v>47</v>
      </c>
      <c r="F34" s="696" t="s">
        <v>48</v>
      </c>
      <c r="G34" s="696" t="s">
        <v>49</v>
      </c>
      <c r="H34" s="696" t="s">
        <v>50</v>
      </c>
      <c r="I34" s="711" t="s">
        <v>78</v>
      </c>
      <c r="J34" s="690" t="s">
        <v>52</v>
      </c>
      <c r="K34" s="690" t="s">
        <v>175</v>
      </c>
      <c r="L34" s="690" t="s">
        <v>79</v>
      </c>
      <c r="M34" s="690" t="s">
        <v>80</v>
      </c>
      <c r="N34" s="690" t="s">
        <v>56</v>
      </c>
      <c r="O34" s="690"/>
      <c r="P34" s="690">
        <v>143</v>
      </c>
      <c r="Q34" s="84" t="s">
        <v>81</v>
      </c>
      <c r="R34" s="63" t="s">
        <v>82</v>
      </c>
      <c r="S34" s="84" t="s">
        <v>56</v>
      </c>
      <c r="T34" s="84"/>
      <c r="U34" s="83">
        <v>116</v>
      </c>
      <c r="V34" s="1014"/>
      <c r="W34" s="1009"/>
      <c r="X34" s="64" t="s">
        <v>176</v>
      </c>
      <c r="Y34" s="710">
        <v>4</v>
      </c>
      <c r="Z34" s="710">
        <f>+P34</f>
        <v>143</v>
      </c>
      <c r="AA34" s="713">
        <f>+Y34/Z34</f>
        <v>2.7972027972027972E-2</v>
      </c>
      <c r="AB34" s="690" t="s">
        <v>195</v>
      </c>
      <c r="AC34" s="83">
        <v>8</v>
      </c>
      <c r="AD34" s="83">
        <f t="shared" si="4"/>
        <v>116</v>
      </c>
      <c r="AE34" s="85">
        <f t="shared" si="5"/>
        <v>6.8965517241379309E-2</v>
      </c>
      <c r="AF34" s="64" t="s">
        <v>196</v>
      </c>
      <c r="AG34" s="687">
        <v>11</v>
      </c>
      <c r="AH34" s="687">
        <v>143</v>
      </c>
      <c r="AI34" s="688">
        <v>7.6923076923076927E-2</v>
      </c>
      <c r="AJ34" s="689" t="s">
        <v>197</v>
      </c>
      <c r="AK34" s="86">
        <v>22</v>
      </c>
      <c r="AL34" s="86">
        <v>116</v>
      </c>
      <c r="AM34" s="87">
        <v>0.18965517241379309</v>
      </c>
      <c r="AN34" s="66" t="s">
        <v>198</v>
      </c>
      <c r="AO34" s="687">
        <v>15</v>
      </c>
      <c r="AP34" s="687">
        <f>+P34</f>
        <v>143</v>
      </c>
      <c r="AQ34" s="688">
        <f>+AO34/AP34</f>
        <v>0.1048951048951049</v>
      </c>
      <c r="AR34" s="689" t="s">
        <v>199</v>
      </c>
      <c r="AS34" s="86">
        <v>30</v>
      </c>
      <c r="AT34" s="86">
        <f t="shared" si="6"/>
        <v>116</v>
      </c>
      <c r="AU34" s="87">
        <f t="shared" si="7"/>
        <v>0.25862068965517243</v>
      </c>
      <c r="AV34" s="66" t="s">
        <v>200</v>
      </c>
    </row>
    <row r="35" spans="1:708" ht="57" customHeight="1" x14ac:dyDescent="0.25">
      <c r="A35" s="693"/>
      <c r="B35" s="695"/>
      <c r="C35" s="697"/>
      <c r="D35" s="697"/>
      <c r="E35" s="697"/>
      <c r="F35" s="697"/>
      <c r="G35" s="697"/>
      <c r="H35" s="697"/>
      <c r="I35" s="712"/>
      <c r="J35" s="690"/>
      <c r="K35" s="690"/>
      <c r="L35" s="690"/>
      <c r="M35" s="690"/>
      <c r="N35" s="690"/>
      <c r="O35" s="690"/>
      <c r="P35" s="690"/>
      <c r="Q35" s="70" t="s">
        <v>133</v>
      </c>
      <c r="R35" s="70" t="s">
        <v>134</v>
      </c>
      <c r="S35" s="71" t="s">
        <v>56</v>
      </c>
      <c r="T35" s="70"/>
      <c r="U35" s="71">
        <v>120</v>
      </c>
      <c r="V35" s="1014"/>
      <c r="W35" s="1009"/>
      <c r="X35" s="71" t="s">
        <v>176</v>
      </c>
      <c r="Y35" s="710"/>
      <c r="Z35" s="710"/>
      <c r="AA35" s="713"/>
      <c r="AB35" s="690"/>
      <c r="AC35" s="71">
        <v>2</v>
      </c>
      <c r="AD35" s="71">
        <f t="shared" si="4"/>
        <v>120</v>
      </c>
      <c r="AE35" s="73">
        <f t="shared" si="5"/>
        <v>1.6666666666666666E-2</v>
      </c>
      <c r="AF35" s="71" t="s">
        <v>201</v>
      </c>
      <c r="AG35" s="687"/>
      <c r="AH35" s="687"/>
      <c r="AI35" s="688"/>
      <c r="AJ35" s="689"/>
      <c r="AK35" s="74">
        <v>11</v>
      </c>
      <c r="AL35" s="74">
        <v>120</v>
      </c>
      <c r="AM35" s="75">
        <v>9.166666666666666E-2</v>
      </c>
      <c r="AN35" s="74" t="s">
        <v>202</v>
      </c>
      <c r="AO35" s="687"/>
      <c r="AP35" s="687"/>
      <c r="AQ35" s="688"/>
      <c r="AR35" s="689"/>
      <c r="AS35" s="74">
        <v>24</v>
      </c>
      <c r="AT35" s="74">
        <f t="shared" si="6"/>
        <v>120</v>
      </c>
      <c r="AU35" s="75">
        <f t="shared" si="7"/>
        <v>0.2</v>
      </c>
      <c r="AV35" s="74" t="s">
        <v>203</v>
      </c>
    </row>
    <row r="36" spans="1:708" ht="57" customHeight="1" x14ac:dyDescent="0.25">
      <c r="A36" s="693"/>
      <c r="B36" s="695"/>
      <c r="C36" s="697"/>
      <c r="D36" s="697"/>
      <c r="E36" s="697"/>
      <c r="F36" s="697"/>
      <c r="G36" s="697"/>
      <c r="H36" s="697"/>
      <c r="I36" s="712"/>
      <c r="J36" s="690"/>
      <c r="K36" s="690"/>
      <c r="L36" s="690"/>
      <c r="M36" s="690"/>
      <c r="N36" s="690"/>
      <c r="O36" s="690"/>
      <c r="P36" s="690"/>
      <c r="Q36" s="84" t="s">
        <v>138</v>
      </c>
      <c r="R36" s="63" t="s">
        <v>139</v>
      </c>
      <c r="S36" s="83" t="s">
        <v>56</v>
      </c>
      <c r="T36" s="84"/>
      <c r="U36" s="83">
        <v>20</v>
      </c>
      <c r="V36" s="986"/>
      <c r="W36" s="1009"/>
      <c r="X36" s="64" t="s">
        <v>176</v>
      </c>
      <c r="Y36" s="710"/>
      <c r="Z36" s="710"/>
      <c r="AA36" s="713"/>
      <c r="AB36" s="690"/>
      <c r="AC36" s="83">
        <v>1</v>
      </c>
      <c r="AD36" s="83">
        <f t="shared" si="4"/>
        <v>20</v>
      </c>
      <c r="AE36" s="85">
        <f t="shared" si="5"/>
        <v>0.05</v>
      </c>
      <c r="AF36" s="64" t="s">
        <v>172</v>
      </c>
      <c r="AG36" s="687"/>
      <c r="AH36" s="687"/>
      <c r="AI36" s="688"/>
      <c r="AJ36" s="689"/>
      <c r="AK36" s="86">
        <v>2</v>
      </c>
      <c r="AL36" s="86">
        <v>20</v>
      </c>
      <c r="AM36" s="87">
        <v>0.1</v>
      </c>
      <c r="AN36" s="66" t="s">
        <v>204</v>
      </c>
      <c r="AO36" s="687"/>
      <c r="AP36" s="687"/>
      <c r="AQ36" s="688"/>
      <c r="AR36" s="689"/>
      <c r="AS36" s="86">
        <v>4</v>
      </c>
      <c r="AT36" s="86">
        <f t="shared" si="6"/>
        <v>20</v>
      </c>
      <c r="AU36" s="87">
        <f t="shared" si="7"/>
        <v>0.2</v>
      </c>
      <c r="AV36" s="66" t="s">
        <v>205</v>
      </c>
    </row>
    <row r="37" spans="1:708" s="21" customFormat="1" ht="62.25" customHeight="1" x14ac:dyDescent="0.25">
      <c r="A37" s="52"/>
      <c r="B37" s="52"/>
      <c r="C37" s="52"/>
      <c r="D37" s="52"/>
      <c r="E37" s="52"/>
      <c r="F37" s="52"/>
      <c r="G37" s="52"/>
      <c r="H37" s="52"/>
      <c r="I37" s="52"/>
      <c r="J37" s="52"/>
      <c r="K37" s="52"/>
      <c r="L37" s="52"/>
      <c r="M37" s="52"/>
      <c r="N37" s="52"/>
      <c r="O37" s="52"/>
      <c r="P37" s="53"/>
      <c r="Q37" s="52"/>
      <c r="R37" s="52"/>
      <c r="S37" s="53"/>
      <c r="T37" s="52"/>
      <c r="U37" s="52"/>
      <c r="V37" s="54"/>
      <c r="W37" s="1009"/>
      <c r="X37" s="52"/>
      <c r="Y37" s="657" t="s">
        <v>99</v>
      </c>
      <c r="Z37" s="657"/>
      <c r="AA37" s="55">
        <f>AVERAGE(AA30:AA36)</f>
        <v>0.4051324402746827</v>
      </c>
      <c r="AB37" s="56"/>
      <c r="AC37" s="657" t="s">
        <v>100</v>
      </c>
      <c r="AD37" s="657"/>
      <c r="AE37" s="55">
        <f>AVERAGE(AE30,AE31,AE33,AE34,AE35,AE36)</f>
        <v>6.7329863765353881E-2</v>
      </c>
      <c r="AF37" s="58"/>
      <c r="AG37" s="658" t="s">
        <v>99</v>
      </c>
      <c r="AH37" s="658"/>
      <c r="AI37" s="59">
        <v>0.4498182509179402</v>
      </c>
      <c r="AJ37" s="60"/>
      <c r="AK37" s="658" t="s">
        <v>100</v>
      </c>
      <c r="AL37" s="658"/>
      <c r="AM37" s="59">
        <v>0.13418312433390567</v>
      </c>
      <c r="AN37" s="62"/>
      <c r="AO37" s="657" t="s">
        <v>99</v>
      </c>
      <c r="AP37" s="657"/>
      <c r="AQ37" s="55">
        <f>AVERAGE(AQ30:AQ36)</f>
        <v>0.47332665740507007</v>
      </c>
      <c r="AR37" s="56"/>
      <c r="AS37" s="657" t="s">
        <v>100</v>
      </c>
      <c r="AT37" s="657"/>
      <c r="AU37" s="55">
        <f>AVERAGE(AU30,AU31,AU33,AU34,AU35,AU36)</f>
        <v>0.16432466949708327</v>
      </c>
      <c r="AV37" s="58"/>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c r="IH37" s="20"/>
      <c r="II37" s="20"/>
      <c r="IJ37" s="20"/>
      <c r="IK37" s="20"/>
      <c r="IL37" s="20"/>
      <c r="IM37" s="20"/>
      <c r="IN37" s="20"/>
      <c r="IO37" s="20"/>
      <c r="IP37" s="20"/>
      <c r="IQ37" s="20"/>
      <c r="IR37" s="20"/>
      <c r="IS37" s="20"/>
      <c r="IT37" s="20"/>
      <c r="IU37" s="20"/>
      <c r="IV37" s="20"/>
      <c r="IW37" s="20"/>
      <c r="IX37" s="20"/>
      <c r="IY37" s="20"/>
      <c r="IZ37" s="20"/>
      <c r="JA37" s="20"/>
      <c r="JB37" s="20"/>
      <c r="JC37" s="20"/>
      <c r="JD37" s="20"/>
      <c r="JE37" s="20"/>
      <c r="JF37" s="20"/>
      <c r="JG37" s="20"/>
      <c r="JH37" s="20"/>
      <c r="JI37" s="20"/>
      <c r="JJ37" s="20"/>
      <c r="JK37" s="20"/>
      <c r="JL37" s="20"/>
      <c r="JM37" s="20"/>
      <c r="JN37" s="20"/>
      <c r="JO37" s="20"/>
      <c r="JP37" s="20"/>
      <c r="JQ37" s="20"/>
      <c r="JR37" s="20"/>
      <c r="JS37" s="20"/>
      <c r="JT37" s="20"/>
      <c r="JU37" s="20"/>
      <c r="JV37" s="20"/>
      <c r="JW37" s="20"/>
      <c r="JX37" s="20"/>
      <c r="JY37" s="20"/>
      <c r="JZ37" s="20"/>
      <c r="KA37" s="20"/>
      <c r="KB37" s="20"/>
      <c r="KC37" s="20"/>
      <c r="KD37" s="20"/>
      <c r="KE37" s="20"/>
      <c r="KF37" s="20"/>
      <c r="KG37" s="20"/>
      <c r="KH37" s="20"/>
      <c r="KI37" s="20"/>
      <c r="KJ37" s="20"/>
      <c r="KK37" s="20"/>
      <c r="KL37" s="20"/>
      <c r="KM37" s="20"/>
      <c r="KN37" s="20"/>
      <c r="KO37" s="20"/>
      <c r="KP37" s="20"/>
      <c r="KQ37" s="20"/>
      <c r="KR37" s="20"/>
      <c r="KS37" s="20"/>
      <c r="KT37" s="20"/>
      <c r="KU37" s="20"/>
      <c r="KV37" s="20"/>
      <c r="KW37" s="20"/>
      <c r="KX37" s="20"/>
      <c r="KY37" s="20"/>
      <c r="KZ37" s="20"/>
      <c r="LA37" s="20"/>
      <c r="LB37" s="20"/>
      <c r="LC37" s="20"/>
      <c r="LD37" s="20"/>
      <c r="LE37" s="20"/>
      <c r="LF37" s="20"/>
      <c r="LG37" s="20"/>
      <c r="LH37" s="20"/>
      <c r="LI37" s="20"/>
      <c r="LJ37" s="20"/>
      <c r="LK37" s="20"/>
      <c r="LL37" s="20"/>
      <c r="LM37" s="20"/>
      <c r="LN37" s="20"/>
      <c r="LO37" s="20"/>
      <c r="LP37" s="20"/>
      <c r="LQ37" s="20"/>
      <c r="LR37" s="20"/>
      <c r="LS37" s="20"/>
      <c r="LT37" s="20"/>
      <c r="LU37" s="20"/>
      <c r="LV37" s="20"/>
      <c r="LW37" s="20"/>
      <c r="LX37" s="20"/>
      <c r="LY37" s="20"/>
      <c r="LZ37" s="20"/>
      <c r="MA37" s="20"/>
      <c r="MB37" s="20"/>
      <c r="MC37" s="20"/>
      <c r="MD37" s="20"/>
      <c r="ME37" s="20"/>
      <c r="MF37" s="20"/>
      <c r="MG37" s="20"/>
      <c r="MH37" s="20"/>
      <c r="MI37" s="20"/>
      <c r="MJ37" s="20"/>
      <c r="MK37" s="20"/>
      <c r="ML37" s="20"/>
      <c r="MM37" s="20"/>
      <c r="MN37" s="20"/>
      <c r="MO37" s="20"/>
      <c r="MP37" s="20"/>
      <c r="MQ37" s="20"/>
      <c r="MR37" s="20"/>
      <c r="MS37" s="20"/>
      <c r="MT37" s="20"/>
      <c r="MU37" s="20"/>
      <c r="MV37" s="20"/>
      <c r="MW37" s="20"/>
      <c r="MX37" s="20"/>
      <c r="MY37" s="20"/>
      <c r="MZ37" s="20"/>
      <c r="NA37" s="20"/>
      <c r="NB37" s="20"/>
      <c r="NC37" s="20"/>
      <c r="ND37" s="20"/>
      <c r="NE37" s="20"/>
      <c r="NF37" s="20"/>
      <c r="NG37" s="20"/>
      <c r="NH37" s="20"/>
      <c r="NI37" s="20"/>
      <c r="NJ37" s="20"/>
      <c r="NK37" s="20"/>
      <c r="NL37" s="20"/>
      <c r="NM37" s="20"/>
      <c r="NN37" s="20"/>
      <c r="NO37" s="20"/>
      <c r="NP37" s="20"/>
      <c r="NQ37" s="20"/>
      <c r="NR37" s="20"/>
      <c r="NS37" s="20"/>
      <c r="NT37" s="20"/>
      <c r="NU37" s="20"/>
      <c r="NV37" s="20"/>
      <c r="NW37" s="20"/>
      <c r="NX37" s="20"/>
      <c r="NY37" s="20"/>
      <c r="NZ37" s="20"/>
      <c r="OA37" s="20"/>
      <c r="OB37" s="20"/>
      <c r="OC37" s="20"/>
      <c r="OD37" s="20"/>
      <c r="OE37" s="20"/>
      <c r="OF37" s="20"/>
      <c r="OG37" s="20"/>
      <c r="OH37" s="20"/>
      <c r="OI37" s="20"/>
      <c r="OJ37" s="20"/>
      <c r="OK37" s="20"/>
      <c r="OL37" s="20"/>
      <c r="OM37" s="20"/>
      <c r="ON37" s="20"/>
      <c r="OO37" s="20"/>
      <c r="OP37" s="20"/>
      <c r="OQ37" s="20"/>
      <c r="OR37" s="20"/>
      <c r="OS37" s="20"/>
      <c r="OT37" s="20"/>
      <c r="OU37" s="20"/>
      <c r="OV37" s="20"/>
      <c r="OW37" s="20"/>
      <c r="OX37" s="20"/>
      <c r="OY37" s="20"/>
      <c r="OZ37" s="20"/>
      <c r="PA37" s="20"/>
      <c r="PB37" s="20"/>
      <c r="PC37" s="20"/>
      <c r="PD37" s="20"/>
      <c r="PE37" s="20"/>
      <c r="PF37" s="20"/>
      <c r="PG37" s="20"/>
      <c r="PH37" s="20"/>
      <c r="PI37" s="20"/>
      <c r="PJ37" s="20"/>
      <c r="PK37" s="20"/>
      <c r="PL37" s="20"/>
      <c r="PM37" s="20"/>
      <c r="PN37" s="20"/>
      <c r="PO37" s="20"/>
      <c r="PP37" s="20"/>
      <c r="PQ37" s="20"/>
      <c r="PR37" s="20"/>
      <c r="PS37" s="20"/>
      <c r="PT37" s="20"/>
      <c r="PU37" s="20"/>
      <c r="PV37" s="20"/>
      <c r="PW37" s="20"/>
      <c r="PX37" s="20"/>
      <c r="PY37" s="20"/>
      <c r="PZ37" s="20"/>
      <c r="QA37" s="20"/>
      <c r="QB37" s="20"/>
      <c r="QC37" s="20"/>
      <c r="QD37" s="20"/>
      <c r="QE37" s="20"/>
      <c r="QF37" s="20"/>
      <c r="QG37" s="20"/>
      <c r="QH37" s="20"/>
      <c r="QI37" s="20"/>
      <c r="QJ37" s="20"/>
      <c r="QK37" s="20"/>
      <c r="QL37" s="20"/>
      <c r="QM37" s="20"/>
      <c r="QN37" s="20"/>
      <c r="QO37" s="20"/>
      <c r="QP37" s="20"/>
      <c r="QQ37" s="20"/>
      <c r="QR37" s="20"/>
      <c r="QS37" s="20"/>
      <c r="QT37" s="20"/>
      <c r="QU37" s="20"/>
      <c r="QV37" s="20"/>
      <c r="QW37" s="20"/>
      <c r="QX37" s="20"/>
      <c r="QY37" s="20"/>
      <c r="QZ37" s="20"/>
      <c r="RA37" s="20"/>
      <c r="RB37" s="20"/>
      <c r="RC37" s="20"/>
      <c r="RD37" s="20"/>
      <c r="RE37" s="20"/>
      <c r="RF37" s="20"/>
      <c r="RG37" s="20"/>
      <c r="RH37" s="20"/>
      <c r="RI37" s="20"/>
      <c r="RJ37" s="20"/>
      <c r="RK37" s="20"/>
      <c r="RL37" s="20"/>
      <c r="RM37" s="20"/>
      <c r="RN37" s="20"/>
      <c r="RO37" s="20"/>
      <c r="RP37" s="20"/>
      <c r="RQ37" s="20"/>
      <c r="RR37" s="20"/>
      <c r="RS37" s="20"/>
      <c r="RT37" s="20"/>
      <c r="RU37" s="20"/>
      <c r="RV37" s="20"/>
      <c r="RW37" s="20"/>
      <c r="RX37" s="20"/>
      <c r="RY37" s="20"/>
      <c r="RZ37" s="20"/>
      <c r="SA37" s="20"/>
      <c r="SB37" s="20"/>
      <c r="SC37" s="20"/>
      <c r="SD37" s="20"/>
      <c r="SE37" s="20"/>
      <c r="SF37" s="20"/>
      <c r="SG37" s="20"/>
      <c r="SH37" s="20"/>
      <c r="SI37" s="20"/>
      <c r="SJ37" s="20"/>
      <c r="SK37" s="20"/>
      <c r="SL37" s="20"/>
      <c r="SM37" s="20"/>
      <c r="SN37" s="20"/>
      <c r="SO37" s="20"/>
      <c r="SP37" s="20"/>
      <c r="SQ37" s="20"/>
      <c r="SR37" s="20"/>
      <c r="SS37" s="20"/>
      <c r="ST37" s="20"/>
      <c r="SU37" s="20"/>
      <c r="SV37" s="20"/>
      <c r="SW37" s="20"/>
      <c r="SX37" s="20"/>
      <c r="SY37" s="20"/>
      <c r="SZ37" s="20"/>
      <c r="TA37" s="20"/>
      <c r="TB37" s="20"/>
      <c r="TC37" s="20"/>
      <c r="TD37" s="20"/>
      <c r="TE37" s="20"/>
      <c r="TF37" s="20"/>
      <c r="TG37" s="20"/>
      <c r="TH37" s="20"/>
      <c r="TI37" s="20"/>
      <c r="TJ37" s="20"/>
      <c r="TK37" s="20"/>
      <c r="TL37" s="20"/>
      <c r="TM37" s="20"/>
      <c r="TN37" s="20"/>
      <c r="TO37" s="20"/>
      <c r="TP37" s="20"/>
      <c r="TQ37" s="20"/>
      <c r="TR37" s="20"/>
      <c r="TS37" s="20"/>
      <c r="TT37" s="20"/>
      <c r="TU37" s="20"/>
      <c r="TV37" s="20"/>
      <c r="TW37" s="20"/>
      <c r="TX37" s="20"/>
      <c r="TY37" s="20"/>
      <c r="TZ37" s="20"/>
      <c r="UA37" s="20"/>
      <c r="UB37" s="20"/>
      <c r="UC37" s="20"/>
      <c r="UD37" s="20"/>
      <c r="UE37" s="20"/>
      <c r="UF37" s="20"/>
      <c r="UG37" s="20"/>
      <c r="UH37" s="20"/>
      <c r="UI37" s="20"/>
      <c r="UJ37" s="20"/>
      <c r="UK37" s="20"/>
      <c r="UL37" s="20"/>
      <c r="UM37" s="20"/>
      <c r="UN37" s="20"/>
      <c r="UO37" s="20"/>
      <c r="UP37" s="20"/>
      <c r="UQ37" s="20"/>
      <c r="UR37" s="20"/>
      <c r="US37" s="20"/>
      <c r="UT37" s="20"/>
      <c r="UU37" s="20"/>
      <c r="UV37" s="20"/>
      <c r="UW37" s="20"/>
      <c r="UX37" s="20"/>
      <c r="UY37" s="20"/>
      <c r="UZ37" s="20"/>
      <c r="VA37" s="20"/>
      <c r="VB37" s="20"/>
      <c r="VC37" s="20"/>
      <c r="VD37" s="20"/>
      <c r="VE37" s="20"/>
      <c r="VF37" s="20"/>
      <c r="VG37" s="20"/>
      <c r="VH37" s="20"/>
      <c r="VI37" s="20"/>
      <c r="VJ37" s="20"/>
      <c r="VK37" s="20"/>
      <c r="VL37" s="20"/>
      <c r="VM37" s="20"/>
      <c r="VN37" s="20"/>
      <c r="VO37" s="20"/>
      <c r="VP37" s="20"/>
      <c r="VQ37" s="20"/>
      <c r="VR37" s="20"/>
      <c r="VS37" s="20"/>
      <c r="VT37" s="20"/>
      <c r="VU37" s="20"/>
      <c r="VV37" s="20"/>
      <c r="VW37" s="20"/>
      <c r="VX37" s="20"/>
      <c r="VY37" s="20"/>
      <c r="VZ37" s="20"/>
      <c r="WA37" s="20"/>
      <c r="WB37" s="20"/>
      <c r="WC37" s="20"/>
      <c r="WD37" s="20"/>
      <c r="WE37" s="20"/>
      <c r="WF37" s="20"/>
      <c r="WG37" s="20"/>
      <c r="WH37" s="20"/>
      <c r="WI37" s="20"/>
      <c r="WJ37" s="20"/>
      <c r="WK37" s="20"/>
      <c r="WL37" s="20"/>
      <c r="WM37" s="20"/>
      <c r="WN37" s="20"/>
      <c r="WO37" s="20"/>
      <c r="WP37" s="20"/>
      <c r="WQ37" s="20"/>
      <c r="WR37" s="20"/>
      <c r="WS37" s="20"/>
      <c r="WT37" s="20"/>
      <c r="WU37" s="20"/>
      <c r="WV37" s="20"/>
      <c r="WW37" s="20"/>
      <c r="WX37" s="20"/>
      <c r="WY37" s="20"/>
      <c r="WZ37" s="20"/>
      <c r="XA37" s="20"/>
      <c r="XB37" s="20"/>
      <c r="XC37" s="20"/>
      <c r="XD37" s="20"/>
      <c r="XE37" s="20"/>
      <c r="XF37" s="20"/>
      <c r="XG37" s="20"/>
      <c r="XH37" s="20"/>
      <c r="XI37" s="20"/>
      <c r="XJ37" s="20"/>
      <c r="XK37" s="20"/>
      <c r="XL37" s="20"/>
      <c r="XM37" s="20"/>
      <c r="XN37" s="20"/>
      <c r="XO37" s="20"/>
      <c r="XP37" s="20"/>
      <c r="XQ37" s="20"/>
      <c r="XR37" s="20"/>
      <c r="XS37" s="20"/>
      <c r="XT37" s="20"/>
      <c r="XU37" s="20"/>
      <c r="XV37" s="20"/>
      <c r="XW37" s="20"/>
      <c r="XX37" s="20"/>
      <c r="XY37" s="20"/>
      <c r="XZ37" s="20"/>
      <c r="YA37" s="20"/>
      <c r="YB37" s="20"/>
      <c r="YC37" s="20"/>
      <c r="YD37" s="20"/>
      <c r="YE37" s="20"/>
      <c r="YF37" s="20"/>
      <c r="YG37" s="20"/>
      <c r="YH37" s="20"/>
      <c r="YI37" s="20"/>
      <c r="YJ37" s="20"/>
      <c r="YK37" s="20"/>
      <c r="YL37" s="20"/>
      <c r="YM37" s="20"/>
      <c r="YN37" s="20"/>
      <c r="YO37" s="20"/>
      <c r="YP37" s="20"/>
      <c r="YQ37" s="20"/>
      <c r="YR37" s="20"/>
      <c r="YS37" s="20"/>
      <c r="YT37" s="20"/>
      <c r="YU37" s="20"/>
      <c r="YV37" s="20"/>
      <c r="YW37" s="20"/>
      <c r="YX37" s="20"/>
      <c r="YY37" s="20"/>
      <c r="YZ37" s="20"/>
      <c r="ZA37" s="20"/>
      <c r="ZB37" s="20"/>
      <c r="ZC37" s="20"/>
      <c r="ZD37" s="20"/>
      <c r="ZE37" s="20"/>
      <c r="ZF37" s="20"/>
      <c r="ZG37" s="20"/>
      <c r="ZH37" s="20"/>
      <c r="ZI37" s="20"/>
      <c r="ZJ37" s="20"/>
      <c r="ZK37" s="20"/>
      <c r="ZL37" s="20"/>
      <c r="ZM37" s="20"/>
      <c r="ZN37" s="20"/>
      <c r="ZO37" s="20"/>
      <c r="ZP37" s="20"/>
      <c r="ZQ37" s="20"/>
      <c r="ZR37" s="20"/>
      <c r="ZS37" s="20"/>
      <c r="ZT37" s="20"/>
      <c r="ZU37" s="20"/>
      <c r="ZV37" s="20"/>
      <c r="ZW37" s="20"/>
      <c r="ZX37" s="20"/>
      <c r="ZY37" s="20"/>
      <c r="ZZ37" s="20"/>
      <c r="AAA37" s="20"/>
      <c r="AAB37" s="20"/>
      <c r="AAC37" s="20"/>
      <c r="AAD37" s="20"/>
      <c r="AAE37" s="20"/>
      <c r="AAF37" s="20"/>
    </row>
    <row r="38" spans="1:708" ht="67.5" customHeight="1" x14ac:dyDescent="0.25">
      <c r="A38" s="693" t="s">
        <v>43</v>
      </c>
      <c r="B38" s="714" t="s">
        <v>44</v>
      </c>
      <c r="C38" s="696" t="s">
        <v>45</v>
      </c>
      <c r="D38" s="696" t="s">
        <v>46</v>
      </c>
      <c r="E38" s="696" t="s">
        <v>47</v>
      </c>
      <c r="F38" s="696" t="s">
        <v>48</v>
      </c>
      <c r="G38" s="696" t="s">
        <v>49</v>
      </c>
      <c r="H38" s="696" t="s">
        <v>50</v>
      </c>
      <c r="I38" s="711" t="s">
        <v>51</v>
      </c>
      <c r="J38" s="690" t="s">
        <v>52</v>
      </c>
      <c r="K38" s="690" t="s">
        <v>206</v>
      </c>
      <c r="L38" s="690" t="s">
        <v>54</v>
      </c>
      <c r="M38" s="690" t="s">
        <v>55</v>
      </c>
      <c r="N38" s="690" t="s">
        <v>56</v>
      </c>
      <c r="O38" s="690"/>
      <c r="P38" s="690">
        <v>20</v>
      </c>
      <c r="Q38" s="63" t="s">
        <v>57</v>
      </c>
      <c r="R38" s="63" t="s">
        <v>58</v>
      </c>
      <c r="S38" s="64" t="s">
        <v>56</v>
      </c>
      <c r="T38" s="64"/>
      <c r="U38" s="64">
        <v>15</v>
      </c>
      <c r="V38" s="985">
        <v>3111164635</v>
      </c>
      <c r="W38" s="1009"/>
      <c r="X38" s="64" t="s">
        <v>207</v>
      </c>
      <c r="Y38" s="690">
        <v>3</v>
      </c>
      <c r="Z38" s="690">
        <f>+P38</f>
        <v>20</v>
      </c>
      <c r="AA38" s="700">
        <f>+Y38/Z38</f>
        <v>0.15</v>
      </c>
      <c r="AB38" s="690" t="s">
        <v>208</v>
      </c>
      <c r="AC38" s="64">
        <v>0</v>
      </c>
      <c r="AD38" s="64">
        <f t="shared" ref="AD38:AD44" si="8">+U38</f>
        <v>15</v>
      </c>
      <c r="AE38" s="65">
        <f>AC38/AD38</f>
        <v>0</v>
      </c>
      <c r="AF38" s="64" t="s">
        <v>178</v>
      </c>
      <c r="AG38" s="689">
        <v>3</v>
      </c>
      <c r="AH38" s="689">
        <v>20</v>
      </c>
      <c r="AI38" s="692">
        <v>0.15</v>
      </c>
      <c r="AJ38" s="689" t="s">
        <v>209</v>
      </c>
      <c r="AK38" s="66">
        <v>3</v>
      </c>
      <c r="AL38" s="66">
        <v>15</v>
      </c>
      <c r="AM38" s="67">
        <v>0.2</v>
      </c>
      <c r="AN38" s="66" t="s">
        <v>210</v>
      </c>
      <c r="AO38" s="689">
        <v>6</v>
      </c>
      <c r="AP38" s="689">
        <f>+P38</f>
        <v>20</v>
      </c>
      <c r="AQ38" s="692">
        <f>+AO38/AP38</f>
        <v>0.3</v>
      </c>
      <c r="AR38" s="689" t="s">
        <v>211</v>
      </c>
      <c r="AS38" s="66">
        <v>4</v>
      </c>
      <c r="AT38" s="66">
        <f t="shared" ref="AT38:AT44" si="9">+U38</f>
        <v>15</v>
      </c>
      <c r="AU38" s="67">
        <f>AS38/AT38</f>
        <v>0.26666666666666666</v>
      </c>
      <c r="AV38" s="66" t="s">
        <v>212</v>
      </c>
    </row>
    <row r="39" spans="1:708" ht="70.5" customHeight="1" x14ac:dyDescent="0.25">
      <c r="A39" s="693"/>
      <c r="B39" s="715"/>
      <c r="C39" s="716"/>
      <c r="D39" s="716"/>
      <c r="E39" s="716"/>
      <c r="F39" s="716"/>
      <c r="G39" s="716"/>
      <c r="H39" s="716"/>
      <c r="I39" s="717"/>
      <c r="J39" s="690"/>
      <c r="K39" s="690"/>
      <c r="L39" s="690"/>
      <c r="M39" s="690"/>
      <c r="N39" s="690"/>
      <c r="O39" s="690"/>
      <c r="P39" s="690"/>
      <c r="Q39" s="70" t="s">
        <v>66</v>
      </c>
      <c r="R39" s="70" t="s">
        <v>67</v>
      </c>
      <c r="S39" s="71" t="s">
        <v>56</v>
      </c>
      <c r="T39" s="71"/>
      <c r="U39" s="71">
        <v>20</v>
      </c>
      <c r="V39" s="1014"/>
      <c r="W39" s="1009"/>
      <c r="X39" s="71" t="s">
        <v>207</v>
      </c>
      <c r="Y39" s="690"/>
      <c r="Z39" s="690"/>
      <c r="AA39" s="700"/>
      <c r="AB39" s="690"/>
      <c r="AC39" s="71">
        <v>3</v>
      </c>
      <c r="AD39" s="71">
        <f t="shared" si="8"/>
        <v>20</v>
      </c>
      <c r="AE39" s="73">
        <f>AC39/AD39</f>
        <v>0.15</v>
      </c>
      <c r="AF39" s="71" t="s">
        <v>183</v>
      </c>
      <c r="AG39" s="689"/>
      <c r="AH39" s="689"/>
      <c r="AI39" s="692"/>
      <c r="AJ39" s="689"/>
      <c r="AK39" s="74">
        <v>3</v>
      </c>
      <c r="AL39" s="74">
        <v>20</v>
      </c>
      <c r="AM39" s="75">
        <v>0.15</v>
      </c>
      <c r="AN39" s="74" t="s">
        <v>213</v>
      </c>
      <c r="AO39" s="689"/>
      <c r="AP39" s="689"/>
      <c r="AQ39" s="692"/>
      <c r="AR39" s="689"/>
      <c r="AS39" s="74">
        <v>5</v>
      </c>
      <c r="AT39" s="74">
        <f t="shared" si="9"/>
        <v>20</v>
      </c>
      <c r="AU39" s="75">
        <f>AS39/AT39</f>
        <v>0.25</v>
      </c>
      <c r="AV39" s="74" t="s">
        <v>214</v>
      </c>
    </row>
    <row r="40" spans="1:708" ht="69.75" customHeight="1" x14ac:dyDescent="0.25">
      <c r="A40" s="706" t="s">
        <v>43</v>
      </c>
      <c r="B40" s="708" t="s">
        <v>44</v>
      </c>
      <c r="C40" s="702" t="s">
        <v>45</v>
      </c>
      <c r="D40" s="702" t="s">
        <v>46</v>
      </c>
      <c r="E40" s="702" t="s">
        <v>71</v>
      </c>
      <c r="F40" s="702" t="s">
        <v>48</v>
      </c>
      <c r="G40" s="702" t="s">
        <v>49</v>
      </c>
      <c r="H40" s="702" t="s">
        <v>50</v>
      </c>
      <c r="I40" s="704" t="s">
        <v>51</v>
      </c>
      <c r="J40" s="698" t="s">
        <v>52</v>
      </c>
      <c r="K40" s="698" t="s">
        <v>206</v>
      </c>
      <c r="L40" s="698" t="s">
        <v>72</v>
      </c>
      <c r="M40" s="698" t="s">
        <v>112</v>
      </c>
      <c r="N40" s="698" t="s">
        <v>74</v>
      </c>
      <c r="O40" s="698"/>
      <c r="P40" s="699">
        <v>0.89</v>
      </c>
      <c r="Q40" s="63" t="s">
        <v>113</v>
      </c>
      <c r="R40" s="63" t="s">
        <v>114</v>
      </c>
      <c r="S40" s="64" t="s">
        <v>74</v>
      </c>
      <c r="T40" s="64"/>
      <c r="U40" s="79">
        <v>0.89</v>
      </c>
      <c r="V40" s="1014"/>
      <c r="W40" s="1009"/>
      <c r="X40" s="64" t="s">
        <v>207</v>
      </c>
      <c r="Y40" s="700">
        <f>3/3</f>
        <v>1</v>
      </c>
      <c r="Z40" s="701">
        <f>+P40</f>
        <v>0.89</v>
      </c>
      <c r="AA40" s="700">
        <f>+Y40/Z40</f>
        <v>1.1235955056179776</v>
      </c>
      <c r="AB40" s="690" t="s">
        <v>215</v>
      </c>
      <c r="AC40" s="65">
        <v>0</v>
      </c>
      <c r="AD40" s="79">
        <f t="shared" si="8"/>
        <v>0.89</v>
      </c>
      <c r="AE40" s="65">
        <f>AC40/AD40</f>
        <v>0</v>
      </c>
      <c r="AF40" s="64" t="s">
        <v>187</v>
      </c>
      <c r="AG40" s="692">
        <v>1</v>
      </c>
      <c r="AH40" s="691">
        <v>0.89</v>
      </c>
      <c r="AI40" s="692">
        <v>1.1235955056179776</v>
      </c>
      <c r="AJ40" s="689" t="s">
        <v>216</v>
      </c>
      <c r="AK40" s="67">
        <v>0.75</v>
      </c>
      <c r="AL40" s="80">
        <v>0.89</v>
      </c>
      <c r="AM40" s="67">
        <v>0.84269662921348309</v>
      </c>
      <c r="AN40" s="66" t="s">
        <v>217</v>
      </c>
      <c r="AO40" s="692">
        <f>5/5</f>
        <v>1</v>
      </c>
      <c r="AP40" s="691">
        <f>+P40</f>
        <v>0.89</v>
      </c>
      <c r="AQ40" s="692">
        <f>+AO40/AP40</f>
        <v>1.1235955056179776</v>
      </c>
      <c r="AR40" s="689" t="s">
        <v>218</v>
      </c>
      <c r="AS40" s="67">
        <f>(3/4)</f>
        <v>0.75</v>
      </c>
      <c r="AT40" s="80">
        <f t="shared" si="9"/>
        <v>0.89</v>
      </c>
      <c r="AU40" s="67">
        <f>AS40/AT40</f>
        <v>0.84269662921348309</v>
      </c>
      <c r="AV40" s="66" t="s">
        <v>219</v>
      </c>
    </row>
    <row r="41" spans="1:708" ht="70.5" customHeight="1" x14ac:dyDescent="0.25">
      <c r="A41" s="707"/>
      <c r="B41" s="708"/>
      <c r="C41" s="703"/>
      <c r="D41" s="703"/>
      <c r="E41" s="703"/>
      <c r="F41" s="703"/>
      <c r="G41" s="703"/>
      <c r="H41" s="703"/>
      <c r="I41" s="705"/>
      <c r="J41" s="698"/>
      <c r="K41" s="698"/>
      <c r="L41" s="698"/>
      <c r="M41" s="698"/>
      <c r="N41" s="698"/>
      <c r="O41" s="698"/>
      <c r="P41" s="699"/>
      <c r="Q41" s="70" t="s">
        <v>121</v>
      </c>
      <c r="R41" s="70" t="s">
        <v>122</v>
      </c>
      <c r="S41" s="71" t="s">
        <v>74</v>
      </c>
      <c r="T41" s="71"/>
      <c r="U41" s="81">
        <v>0.89</v>
      </c>
      <c r="V41" s="1014"/>
      <c r="W41" s="1009"/>
      <c r="X41" s="71" t="s">
        <v>207</v>
      </c>
      <c r="Y41" s="700"/>
      <c r="Z41" s="690"/>
      <c r="AA41" s="700"/>
      <c r="AB41" s="690"/>
      <c r="AC41" s="73">
        <f>0/2</f>
        <v>0</v>
      </c>
      <c r="AD41" s="81">
        <f t="shared" si="8"/>
        <v>0.89</v>
      </c>
      <c r="AE41" s="73">
        <f>AC41/AD41</f>
        <v>0</v>
      </c>
      <c r="AF41" s="71" t="s">
        <v>220</v>
      </c>
      <c r="AG41" s="692"/>
      <c r="AH41" s="689"/>
      <c r="AI41" s="692"/>
      <c r="AJ41" s="689"/>
      <c r="AK41" s="75">
        <v>0</v>
      </c>
      <c r="AL41" s="82">
        <v>0.89</v>
      </c>
      <c r="AM41" s="75">
        <v>0</v>
      </c>
      <c r="AN41" s="74" t="s">
        <v>221</v>
      </c>
      <c r="AO41" s="692"/>
      <c r="AP41" s="689"/>
      <c r="AQ41" s="692"/>
      <c r="AR41" s="689"/>
      <c r="AS41" s="75">
        <f>0/3</f>
        <v>0</v>
      </c>
      <c r="AT41" s="82">
        <f t="shared" si="9"/>
        <v>0.89</v>
      </c>
      <c r="AU41" s="75">
        <f>AS41/AT41</f>
        <v>0</v>
      </c>
      <c r="AV41" s="74" t="s">
        <v>222</v>
      </c>
    </row>
    <row r="42" spans="1:708" ht="47.25" customHeight="1" x14ac:dyDescent="0.25">
      <c r="A42" s="693" t="s">
        <v>43</v>
      </c>
      <c r="B42" s="694" t="s">
        <v>44</v>
      </c>
      <c r="C42" s="696" t="s">
        <v>45</v>
      </c>
      <c r="D42" s="696" t="s">
        <v>46</v>
      </c>
      <c r="E42" s="696" t="s">
        <v>47</v>
      </c>
      <c r="F42" s="696" t="s">
        <v>48</v>
      </c>
      <c r="G42" s="696" t="s">
        <v>49</v>
      </c>
      <c r="H42" s="696" t="s">
        <v>50</v>
      </c>
      <c r="I42" s="711" t="s">
        <v>78</v>
      </c>
      <c r="J42" s="690" t="s">
        <v>52</v>
      </c>
      <c r="K42" s="690" t="s">
        <v>206</v>
      </c>
      <c r="L42" s="690" t="s">
        <v>79</v>
      </c>
      <c r="M42" s="690" t="s">
        <v>80</v>
      </c>
      <c r="N42" s="690" t="s">
        <v>56</v>
      </c>
      <c r="O42" s="690"/>
      <c r="P42" s="690">
        <v>143</v>
      </c>
      <c r="Q42" s="63" t="s">
        <v>81</v>
      </c>
      <c r="R42" s="63" t="s">
        <v>82</v>
      </c>
      <c r="S42" s="83" t="s">
        <v>56</v>
      </c>
      <c r="T42" s="84"/>
      <c r="U42" s="83">
        <v>110</v>
      </c>
      <c r="V42" s="1014"/>
      <c r="W42" s="1009"/>
      <c r="X42" s="64" t="s">
        <v>207</v>
      </c>
      <c r="Y42" s="710">
        <v>3</v>
      </c>
      <c r="Z42" s="710">
        <f>+P42</f>
        <v>143</v>
      </c>
      <c r="AA42" s="713">
        <f>+Y42/Z42</f>
        <v>2.097902097902098E-2</v>
      </c>
      <c r="AB42" s="690" t="s">
        <v>223</v>
      </c>
      <c r="AC42" s="83">
        <v>1</v>
      </c>
      <c r="AD42" s="83">
        <f t="shared" si="8"/>
        <v>110</v>
      </c>
      <c r="AE42" s="85">
        <f>+AC42/AD42</f>
        <v>9.0909090909090905E-3</v>
      </c>
      <c r="AF42" s="64" t="s">
        <v>224</v>
      </c>
      <c r="AG42" s="687">
        <v>7</v>
      </c>
      <c r="AH42" s="687">
        <v>143</v>
      </c>
      <c r="AI42" s="688">
        <v>4.8951048951048952E-2</v>
      </c>
      <c r="AJ42" s="689" t="s">
        <v>225</v>
      </c>
      <c r="AK42" s="86">
        <v>14</v>
      </c>
      <c r="AL42" s="86">
        <v>110</v>
      </c>
      <c r="AM42" s="87">
        <v>0.12727272727272726</v>
      </c>
      <c r="AN42" s="66" t="s">
        <v>226</v>
      </c>
      <c r="AO42" s="687">
        <v>8</v>
      </c>
      <c r="AP42" s="687">
        <f>+P42</f>
        <v>143</v>
      </c>
      <c r="AQ42" s="688">
        <f>+AO42/AP42</f>
        <v>5.5944055944055944E-2</v>
      </c>
      <c r="AR42" s="689" t="s">
        <v>227</v>
      </c>
      <c r="AS42" s="86">
        <v>24</v>
      </c>
      <c r="AT42" s="86">
        <f t="shared" si="9"/>
        <v>110</v>
      </c>
      <c r="AU42" s="87">
        <f>+AS42/AT42</f>
        <v>0.21818181818181817</v>
      </c>
      <c r="AV42" s="66" t="s">
        <v>228</v>
      </c>
    </row>
    <row r="43" spans="1:708" ht="47.25" customHeight="1" x14ac:dyDescent="0.25">
      <c r="A43" s="693"/>
      <c r="B43" s="695"/>
      <c r="C43" s="697"/>
      <c r="D43" s="697"/>
      <c r="E43" s="697"/>
      <c r="F43" s="697"/>
      <c r="G43" s="697"/>
      <c r="H43" s="697"/>
      <c r="I43" s="712"/>
      <c r="J43" s="690"/>
      <c r="K43" s="690"/>
      <c r="L43" s="690"/>
      <c r="M43" s="690"/>
      <c r="N43" s="690"/>
      <c r="O43" s="690"/>
      <c r="P43" s="690"/>
      <c r="Q43" s="70" t="s">
        <v>133</v>
      </c>
      <c r="R43" s="70" t="s">
        <v>134</v>
      </c>
      <c r="S43" s="71" t="s">
        <v>56</v>
      </c>
      <c r="T43" s="70"/>
      <c r="U43" s="71">
        <v>108</v>
      </c>
      <c r="V43" s="1014"/>
      <c r="W43" s="1009"/>
      <c r="X43" s="71" t="s">
        <v>207</v>
      </c>
      <c r="Y43" s="710"/>
      <c r="Z43" s="710"/>
      <c r="AA43" s="713"/>
      <c r="AB43" s="690"/>
      <c r="AC43" s="71">
        <v>0</v>
      </c>
      <c r="AD43" s="71">
        <f t="shared" si="8"/>
        <v>108</v>
      </c>
      <c r="AE43" s="73">
        <f>+AC43/AD43</f>
        <v>0</v>
      </c>
      <c r="AF43" s="71" t="s">
        <v>229</v>
      </c>
      <c r="AG43" s="687"/>
      <c r="AH43" s="687"/>
      <c r="AI43" s="688"/>
      <c r="AJ43" s="689"/>
      <c r="AK43" s="74">
        <v>3</v>
      </c>
      <c r="AL43" s="74">
        <v>108</v>
      </c>
      <c r="AM43" s="75">
        <v>2.7777777777777776E-2</v>
      </c>
      <c r="AN43" s="74" t="s">
        <v>230</v>
      </c>
      <c r="AO43" s="687"/>
      <c r="AP43" s="687"/>
      <c r="AQ43" s="688"/>
      <c r="AR43" s="689"/>
      <c r="AS43" s="74">
        <v>5</v>
      </c>
      <c r="AT43" s="74">
        <f t="shared" si="9"/>
        <v>108</v>
      </c>
      <c r="AU43" s="75">
        <f>+AS43/AT43</f>
        <v>4.6296296296296294E-2</v>
      </c>
      <c r="AV43" s="74" t="s">
        <v>231</v>
      </c>
    </row>
    <row r="44" spans="1:708" ht="47.25" customHeight="1" x14ac:dyDescent="0.25">
      <c r="A44" s="693"/>
      <c r="B44" s="695"/>
      <c r="C44" s="697"/>
      <c r="D44" s="697"/>
      <c r="E44" s="697"/>
      <c r="F44" s="697"/>
      <c r="G44" s="697"/>
      <c r="H44" s="697"/>
      <c r="I44" s="712"/>
      <c r="J44" s="690"/>
      <c r="K44" s="690"/>
      <c r="L44" s="690"/>
      <c r="M44" s="690"/>
      <c r="N44" s="690"/>
      <c r="O44" s="690"/>
      <c r="P44" s="690"/>
      <c r="Q44" s="63" t="s">
        <v>138</v>
      </c>
      <c r="R44" s="63" t="s">
        <v>139</v>
      </c>
      <c r="S44" s="83" t="s">
        <v>56</v>
      </c>
      <c r="T44" s="84"/>
      <c r="U44" s="83">
        <v>12</v>
      </c>
      <c r="V44" s="986"/>
      <c r="W44" s="1009"/>
      <c r="X44" s="64" t="s">
        <v>207</v>
      </c>
      <c r="Y44" s="710"/>
      <c r="Z44" s="710"/>
      <c r="AA44" s="713"/>
      <c r="AB44" s="690"/>
      <c r="AC44" s="83">
        <v>0</v>
      </c>
      <c r="AD44" s="83">
        <f t="shared" si="8"/>
        <v>12</v>
      </c>
      <c r="AE44" s="85">
        <f>+AC44/AD44</f>
        <v>0</v>
      </c>
      <c r="AF44" s="64" t="s">
        <v>232</v>
      </c>
      <c r="AG44" s="687"/>
      <c r="AH44" s="687"/>
      <c r="AI44" s="688"/>
      <c r="AJ44" s="689"/>
      <c r="AK44" s="86">
        <v>1</v>
      </c>
      <c r="AL44" s="86">
        <v>12</v>
      </c>
      <c r="AM44" s="87">
        <v>8.3333333333333329E-2</v>
      </c>
      <c r="AN44" s="66" t="s">
        <v>233</v>
      </c>
      <c r="AO44" s="687"/>
      <c r="AP44" s="687"/>
      <c r="AQ44" s="688"/>
      <c r="AR44" s="689"/>
      <c r="AS44" s="86">
        <v>2</v>
      </c>
      <c r="AT44" s="86">
        <f t="shared" si="9"/>
        <v>12</v>
      </c>
      <c r="AU44" s="87">
        <f>+AS44/AT44</f>
        <v>0.16666666666666666</v>
      </c>
      <c r="AV44" s="66" t="s">
        <v>234</v>
      </c>
    </row>
    <row r="45" spans="1:708" s="21" customFormat="1" ht="70.5" customHeight="1" x14ac:dyDescent="0.25">
      <c r="A45" s="52"/>
      <c r="B45" s="52"/>
      <c r="C45" s="52"/>
      <c r="D45" s="52"/>
      <c r="E45" s="52"/>
      <c r="F45" s="52"/>
      <c r="G45" s="52"/>
      <c r="H45" s="52"/>
      <c r="I45" s="52"/>
      <c r="J45" s="52"/>
      <c r="K45" s="52"/>
      <c r="L45" s="52"/>
      <c r="M45" s="52"/>
      <c r="N45" s="52"/>
      <c r="O45" s="52"/>
      <c r="P45" s="53"/>
      <c r="Q45" s="52"/>
      <c r="R45" s="52"/>
      <c r="S45" s="53"/>
      <c r="T45" s="52"/>
      <c r="U45" s="52"/>
      <c r="V45" s="54"/>
      <c r="W45" s="1009"/>
      <c r="X45" s="52"/>
      <c r="Y45" s="657" t="s">
        <v>99</v>
      </c>
      <c r="Z45" s="657"/>
      <c r="AA45" s="55">
        <f>AVERAGE(AA38:AA44)</f>
        <v>0.4315248421989995</v>
      </c>
      <c r="AB45" s="56"/>
      <c r="AC45" s="657" t="s">
        <v>100</v>
      </c>
      <c r="AD45" s="657"/>
      <c r="AE45" s="55">
        <f>AVERAGE(AE38,AE39,AE41,AE42,AE43,AE44)</f>
        <v>2.6515151515151516E-2</v>
      </c>
      <c r="AF45" s="58"/>
      <c r="AG45" s="658" t="s">
        <v>99</v>
      </c>
      <c r="AH45" s="658"/>
      <c r="AI45" s="59">
        <v>0.44084885152300884</v>
      </c>
      <c r="AJ45" s="60"/>
      <c r="AK45" s="658" t="s">
        <v>100</v>
      </c>
      <c r="AL45" s="658"/>
      <c r="AM45" s="59">
        <v>9.8063973063973062E-2</v>
      </c>
      <c r="AN45" s="62"/>
      <c r="AO45" s="657" t="s">
        <v>99</v>
      </c>
      <c r="AP45" s="657"/>
      <c r="AQ45" s="55">
        <f>AVERAGE(AQ38:AQ44)</f>
        <v>0.49317985385401125</v>
      </c>
      <c r="AR45" s="56"/>
      <c r="AS45" s="657" t="s">
        <v>100</v>
      </c>
      <c r="AT45" s="657"/>
      <c r="AU45" s="55">
        <f>AVERAGE(AU38,AU39,AU41,AU42,AU43,AU44)</f>
        <v>0.15796857463524128</v>
      </c>
      <c r="AV45" s="58"/>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c r="IN45" s="20"/>
      <c r="IO45" s="20"/>
      <c r="IP45" s="20"/>
      <c r="IQ45" s="20"/>
      <c r="IR45" s="20"/>
      <c r="IS45" s="20"/>
      <c r="IT45" s="20"/>
      <c r="IU45" s="20"/>
      <c r="IV45" s="20"/>
      <c r="IW45" s="20"/>
      <c r="IX45" s="20"/>
      <c r="IY45" s="20"/>
      <c r="IZ45" s="20"/>
      <c r="JA45" s="20"/>
      <c r="JB45" s="20"/>
      <c r="JC45" s="20"/>
      <c r="JD45" s="20"/>
      <c r="JE45" s="20"/>
      <c r="JF45" s="20"/>
      <c r="JG45" s="20"/>
      <c r="JH45" s="20"/>
      <c r="JI45" s="20"/>
      <c r="JJ45" s="20"/>
      <c r="JK45" s="20"/>
      <c r="JL45" s="20"/>
      <c r="JM45" s="20"/>
      <c r="JN45" s="20"/>
      <c r="JO45" s="20"/>
      <c r="JP45" s="20"/>
      <c r="JQ45" s="20"/>
      <c r="JR45" s="20"/>
      <c r="JS45" s="20"/>
      <c r="JT45" s="20"/>
      <c r="JU45" s="20"/>
      <c r="JV45" s="20"/>
      <c r="JW45" s="20"/>
      <c r="JX45" s="20"/>
      <c r="JY45" s="20"/>
      <c r="JZ45" s="20"/>
      <c r="KA45" s="20"/>
      <c r="KB45" s="20"/>
      <c r="KC45" s="20"/>
      <c r="KD45" s="20"/>
      <c r="KE45" s="20"/>
      <c r="KF45" s="20"/>
      <c r="KG45" s="20"/>
      <c r="KH45" s="20"/>
      <c r="KI45" s="20"/>
      <c r="KJ45" s="20"/>
      <c r="KK45" s="20"/>
      <c r="KL45" s="20"/>
      <c r="KM45" s="20"/>
      <c r="KN45" s="20"/>
      <c r="KO45" s="20"/>
      <c r="KP45" s="20"/>
      <c r="KQ45" s="20"/>
      <c r="KR45" s="20"/>
      <c r="KS45" s="20"/>
      <c r="KT45" s="20"/>
      <c r="KU45" s="20"/>
      <c r="KV45" s="20"/>
      <c r="KW45" s="20"/>
      <c r="KX45" s="20"/>
      <c r="KY45" s="20"/>
      <c r="KZ45" s="20"/>
      <c r="LA45" s="20"/>
      <c r="LB45" s="20"/>
      <c r="LC45" s="20"/>
      <c r="LD45" s="20"/>
      <c r="LE45" s="20"/>
      <c r="LF45" s="20"/>
      <c r="LG45" s="20"/>
      <c r="LH45" s="20"/>
      <c r="LI45" s="20"/>
      <c r="LJ45" s="20"/>
      <c r="LK45" s="20"/>
      <c r="LL45" s="20"/>
      <c r="LM45" s="20"/>
      <c r="LN45" s="20"/>
      <c r="LO45" s="20"/>
      <c r="LP45" s="20"/>
      <c r="LQ45" s="20"/>
      <c r="LR45" s="20"/>
      <c r="LS45" s="20"/>
      <c r="LT45" s="20"/>
      <c r="LU45" s="20"/>
      <c r="LV45" s="20"/>
      <c r="LW45" s="20"/>
      <c r="LX45" s="20"/>
      <c r="LY45" s="20"/>
      <c r="LZ45" s="20"/>
      <c r="MA45" s="20"/>
      <c r="MB45" s="20"/>
      <c r="MC45" s="20"/>
      <c r="MD45" s="20"/>
      <c r="ME45" s="20"/>
      <c r="MF45" s="20"/>
      <c r="MG45" s="20"/>
      <c r="MH45" s="20"/>
      <c r="MI45" s="20"/>
      <c r="MJ45" s="20"/>
      <c r="MK45" s="20"/>
      <c r="ML45" s="20"/>
      <c r="MM45" s="20"/>
      <c r="MN45" s="20"/>
      <c r="MO45" s="20"/>
      <c r="MP45" s="20"/>
      <c r="MQ45" s="20"/>
      <c r="MR45" s="20"/>
      <c r="MS45" s="20"/>
      <c r="MT45" s="20"/>
      <c r="MU45" s="20"/>
      <c r="MV45" s="20"/>
      <c r="MW45" s="20"/>
      <c r="MX45" s="20"/>
      <c r="MY45" s="20"/>
      <c r="MZ45" s="20"/>
      <c r="NA45" s="20"/>
      <c r="NB45" s="20"/>
      <c r="NC45" s="20"/>
      <c r="ND45" s="20"/>
      <c r="NE45" s="20"/>
      <c r="NF45" s="20"/>
      <c r="NG45" s="20"/>
      <c r="NH45" s="20"/>
      <c r="NI45" s="20"/>
      <c r="NJ45" s="20"/>
      <c r="NK45" s="20"/>
      <c r="NL45" s="20"/>
      <c r="NM45" s="20"/>
      <c r="NN45" s="20"/>
      <c r="NO45" s="20"/>
      <c r="NP45" s="20"/>
      <c r="NQ45" s="20"/>
      <c r="NR45" s="20"/>
      <c r="NS45" s="20"/>
      <c r="NT45" s="20"/>
      <c r="NU45" s="20"/>
      <c r="NV45" s="20"/>
      <c r="NW45" s="20"/>
      <c r="NX45" s="20"/>
      <c r="NY45" s="20"/>
      <c r="NZ45" s="20"/>
      <c r="OA45" s="20"/>
      <c r="OB45" s="20"/>
      <c r="OC45" s="20"/>
      <c r="OD45" s="20"/>
      <c r="OE45" s="20"/>
      <c r="OF45" s="20"/>
      <c r="OG45" s="20"/>
      <c r="OH45" s="20"/>
      <c r="OI45" s="20"/>
      <c r="OJ45" s="20"/>
      <c r="OK45" s="20"/>
      <c r="OL45" s="20"/>
      <c r="OM45" s="20"/>
      <c r="ON45" s="20"/>
      <c r="OO45" s="20"/>
      <c r="OP45" s="20"/>
      <c r="OQ45" s="20"/>
      <c r="OR45" s="20"/>
      <c r="OS45" s="20"/>
      <c r="OT45" s="20"/>
      <c r="OU45" s="20"/>
      <c r="OV45" s="20"/>
      <c r="OW45" s="20"/>
      <c r="OX45" s="20"/>
      <c r="OY45" s="20"/>
      <c r="OZ45" s="20"/>
      <c r="PA45" s="20"/>
      <c r="PB45" s="20"/>
      <c r="PC45" s="20"/>
      <c r="PD45" s="20"/>
      <c r="PE45" s="20"/>
      <c r="PF45" s="20"/>
      <c r="PG45" s="20"/>
      <c r="PH45" s="20"/>
      <c r="PI45" s="20"/>
      <c r="PJ45" s="20"/>
      <c r="PK45" s="20"/>
      <c r="PL45" s="20"/>
      <c r="PM45" s="20"/>
      <c r="PN45" s="20"/>
      <c r="PO45" s="20"/>
      <c r="PP45" s="20"/>
      <c r="PQ45" s="20"/>
      <c r="PR45" s="20"/>
      <c r="PS45" s="20"/>
      <c r="PT45" s="20"/>
      <c r="PU45" s="20"/>
      <c r="PV45" s="20"/>
      <c r="PW45" s="20"/>
      <c r="PX45" s="20"/>
      <c r="PY45" s="20"/>
      <c r="PZ45" s="20"/>
      <c r="QA45" s="20"/>
      <c r="QB45" s="20"/>
      <c r="QC45" s="20"/>
      <c r="QD45" s="20"/>
      <c r="QE45" s="20"/>
      <c r="QF45" s="20"/>
      <c r="QG45" s="20"/>
      <c r="QH45" s="20"/>
      <c r="QI45" s="20"/>
      <c r="QJ45" s="20"/>
      <c r="QK45" s="20"/>
      <c r="QL45" s="20"/>
      <c r="QM45" s="20"/>
      <c r="QN45" s="20"/>
      <c r="QO45" s="20"/>
      <c r="QP45" s="20"/>
      <c r="QQ45" s="20"/>
      <c r="QR45" s="20"/>
      <c r="QS45" s="20"/>
      <c r="QT45" s="20"/>
      <c r="QU45" s="20"/>
      <c r="QV45" s="20"/>
      <c r="QW45" s="20"/>
      <c r="QX45" s="20"/>
      <c r="QY45" s="20"/>
      <c r="QZ45" s="20"/>
      <c r="RA45" s="20"/>
      <c r="RB45" s="20"/>
      <c r="RC45" s="20"/>
      <c r="RD45" s="20"/>
      <c r="RE45" s="20"/>
      <c r="RF45" s="20"/>
      <c r="RG45" s="20"/>
      <c r="RH45" s="20"/>
      <c r="RI45" s="20"/>
      <c r="RJ45" s="20"/>
      <c r="RK45" s="20"/>
      <c r="RL45" s="20"/>
      <c r="RM45" s="20"/>
      <c r="RN45" s="20"/>
      <c r="RO45" s="20"/>
      <c r="RP45" s="20"/>
      <c r="RQ45" s="20"/>
      <c r="RR45" s="20"/>
      <c r="RS45" s="20"/>
      <c r="RT45" s="20"/>
      <c r="RU45" s="20"/>
      <c r="RV45" s="20"/>
      <c r="RW45" s="20"/>
      <c r="RX45" s="20"/>
      <c r="RY45" s="20"/>
      <c r="RZ45" s="20"/>
      <c r="SA45" s="20"/>
      <c r="SB45" s="20"/>
      <c r="SC45" s="20"/>
      <c r="SD45" s="20"/>
      <c r="SE45" s="20"/>
      <c r="SF45" s="20"/>
      <c r="SG45" s="20"/>
      <c r="SH45" s="20"/>
      <c r="SI45" s="20"/>
      <c r="SJ45" s="20"/>
      <c r="SK45" s="20"/>
      <c r="SL45" s="20"/>
      <c r="SM45" s="20"/>
      <c r="SN45" s="20"/>
      <c r="SO45" s="20"/>
      <c r="SP45" s="20"/>
      <c r="SQ45" s="20"/>
      <c r="SR45" s="20"/>
      <c r="SS45" s="20"/>
      <c r="ST45" s="20"/>
      <c r="SU45" s="20"/>
      <c r="SV45" s="20"/>
      <c r="SW45" s="20"/>
      <c r="SX45" s="20"/>
      <c r="SY45" s="20"/>
      <c r="SZ45" s="20"/>
      <c r="TA45" s="20"/>
      <c r="TB45" s="20"/>
      <c r="TC45" s="20"/>
      <c r="TD45" s="20"/>
      <c r="TE45" s="20"/>
      <c r="TF45" s="20"/>
      <c r="TG45" s="20"/>
      <c r="TH45" s="20"/>
      <c r="TI45" s="20"/>
      <c r="TJ45" s="20"/>
      <c r="TK45" s="20"/>
      <c r="TL45" s="20"/>
      <c r="TM45" s="20"/>
      <c r="TN45" s="20"/>
      <c r="TO45" s="20"/>
      <c r="TP45" s="20"/>
      <c r="TQ45" s="20"/>
      <c r="TR45" s="20"/>
      <c r="TS45" s="20"/>
      <c r="TT45" s="20"/>
      <c r="TU45" s="20"/>
      <c r="TV45" s="20"/>
      <c r="TW45" s="20"/>
      <c r="TX45" s="20"/>
      <c r="TY45" s="20"/>
      <c r="TZ45" s="20"/>
      <c r="UA45" s="20"/>
      <c r="UB45" s="20"/>
      <c r="UC45" s="20"/>
      <c r="UD45" s="20"/>
      <c r="UE45" s="20"/>
      <c r="UF45" s="20"/>
      <c r="UG45" s="20"/>
      <c r="UH45" s="20"/>
      <c r="UI45" s="20"/>
      <c r="UJ45" s="20"/>
      <c r="UK45" s="20"/>
      <c r="UL45" s="20"/>
      <c r="UM45" s="20"/>
      <c r="UN45" s="20"/>
      <c r="UO45" s="20"/>
      <c r="UP45" s="20"/>
      <c r="UQ45" s="20"/>
      <c r="UR45" s="20"/>
      <c r="US45" s="20"/>
      <c r="UT45" s="20"/>
      <c r="UU45" s="20"/>
      <c r="UV45" s="20"/>
      <c r="UW45" s="20"/>
      <c r="UX45" s="20"/>
      <c r="UY45" s="20"/>
      <c r="UZ45" s="20"/>
      <c r="VA45" s="20"/>
      <c r="VB45" s="20"/>
      <c r="VC45" s="20"/>
      <c r="VD45" s="20"/>
      <c r="VE45" s="20"/>
      <c r="VF45" s="20"/>
      <c r="VG45" s="20"/>
      <c r="VH45" s="20"/>
      <c r="VI45" s="20"/>
      <c r="VJ45" s="20"/>
      <c r="VK45" s="20"/>
      <c r="VL45" s="20"/>
      <c r="VM45" s="20"/>
      <c r="VN45" s="20"/>
      <c r="VO45" s="20"/>
      <c r="VP45" s="20"/>
      <c r="VQ45" s="20"/>
      <c r="VR45" s="20"/>
      <c r="VS45" s="20"/>
      <c r="VT45" s="20"/>
      <c r="VU45" s="20"/>
      <c r="VV45" s="20"/>
      <c r="VW45" s="20"/>
      <c r="VX45" s="20"/>
      <c r="VY45" s="20"/>
      <c r="VZ45" s="20"/>
      <c r="WA45" s="20"/>
      <c r="WB45" s="20"/>
      <c r="WC45" s="20"/>
      <c r="WD45" s="20"/>
      <c r="WE45" s="20"/>
      <c r="WF45" s="20"/>
      <c r="WG45" s="20"/>
      <c r="WH45" s="20"/>
      <c r="WI45" s="20"/>
      <c r="WJ45" s="20"/>
      <c r="WK45" s="20"/>
      <c r="WL45" s="20"/>
      <c r="WM45" s="20"/>
      <c r="WN45" s="20"/>
      <c r="WO45" s="20"/>
      <c r="WP45" s="20"/>
      <c r="WQ45" s="20"/>
      <c r="WR45" s="20"/>
      <c r="WS45" s="20"/>
      <c r="WT45" s="20"/>
      <c r="WU45" s="20"/>
      <c r="WV45" s="20"/>
      <c r="WW45" s="20"/>
      <c r="WX45" s="20"/>
      <c r="WY45" s="20"/>
      <c r="WZ45" s="20"/>
      <c r="XA45" s="20"/>
      <c r="XB45" s="20"/>
      <c r="XC45" s="20"/>
      <c r="XD45" s="20"/>
      <c r="XE45" s="20"/>
      <c r="XF45" s="20"/>
      <c r="XG45" s="20"/>
      <c r="XH45" s="20"/>
      <c r="XI45" s="20"/>
      <c r="XJ45" s="20"/>
      <c r="XK45" s="20"/>
      <c r="XL45" s="20"/>
      <c r="XM45" s="20"/>
      <c r="XN45" s="20"/>
      <c r="XO45" s="20"/>
      <c r="XP45" s="20"/>
      <c r="XQ45" s="20"/>
      <c r="XR45" s="20"/>
      <c r="XS45" s="20"/>
      <c r="XT45" s="20"/>
      <c r="XU45" s="20"/>
      <c r="XV45" s="20"/>
      <c r="XW45" s="20"/>
      <c r="XX45" s="20"/>
      <c r="XY45" s="20"/>
      <c r="XZ45" s="20"/>
      <c r="YA45" s="20"/>
      <c r="YB45" s="20"/>
      <c r="YC45" s="20"/>
      <c r="YD45" s="20"/>
      <c r="YE45" s="20"/>
      <c r="YF45" s="20"/>
      <c r="YG45" s="20"/>
      <c r="YH45" s="20"/>
      <c r="YI45" s="20"/>
      <c r="YJ45" s="20"/>
      <c r="YK45" s="20"/>
      <c r="YL45" s="20"/>
      <c r="YM45" s="20"/>
      <c r="YN45" s="20"/>
      <c r="YO45" s="20"/>
      <c r="YP45" s="20"/>
      <c r="YQ45" s="20"/>
      <c r="YR45" s="20"/>
      <c r="YS45" s="20"/>
      <c r="YT45" s="20"/>
      <c r="YU45" s="20"/>
      <c r="YV45" s="20"/>
      <c r="YW45" s="20"/>
      <c r="YX45" s="20"/>
      <c r="YY45" s="20"/>
      <c r="YZ45" s="20"/>
      <c r="ZA45" s="20"/>
      <c r="ZB45" s="20"/>
      <c r="ZC45" s="20"/>
      <c r="ZD45" s="20"/>
      <c r="ZE45" s="20"/>
      <c r="ZF45" s="20"/>
      <c r="ZG45" s="20"/>
      <c r="ZH45" s="20"/>
      <c r="ZI45" s="20"/>
      <c r="ZJ45" s="20"/>
      <c r="ZK45" s="20"/>
      <c r="ZL45" s="20"/>
      <c r="ZM45" s="20"/>
      <c r="ZN45" s="20"/>
      <c r="ZO45" s="20"/>
      <c r="ZP45" s="20"/>
      <c r="ZQ45" s="20"/>
      <c r="ZR45" s="20"/>
      <c r="ZS45" s="20"/>
      <c r="ZT45" s="20"/>
      <c r="ZU45" s="20"/>
      <c r="ZV45" s="20"/>
      <c r="ZW45" s="20"/>
      <c r="ZX45" s="20"/>
      <c r="ZY45" s="20"/>
      <c r="ZZ45" s="20"/>
      <c r="AAA45" s="20"/>
      <c r="AAB45" s="20"/>
      <c r="AAC45" s="20"/>
      <c r="AAD45" s="20"/>
      <c r="AAE45" s="20"/>
      <c r="AAF45" s="20"/>
    </row>
    <row r="46" spans="1:708" ht="57" customHeight="1" x14ac:dyDescent="0.25">
      <c r="A46" s="693" t="s">
        <v>43</v>
      </c>
      <c r="B46" s="714" t="s">
        <v>44</v>
      </c>
      <c r="C46" s="696" t="s">
        <v>45</v>
      </c>
      <c r="D46" s="696" t="s">
        <v>46</v>
      </c>
      <c r="E46" s="696" t="s">
        <v>47</v>
      </c>
      <c r="F46" s="696" t="s">
        <v>48</v>
      </c>
      <c r="G46" s="696" t="s">
        <v>49</v>
      </c>
      <c r="H46" s="696" t="s">
        <v>50</v>
      </c>
      <c r="I46" s="711" t="s">
        <v>51</v>
      </c>
      <c r="J46" s="690" t="s">
        <v>52</v>
      </c>
      <c r="K46" s="690" t="s">
        <v>235</v>
      </c>
      <c r="L46" s="690" t="s">
        <v>54</v>
      </c>
      <c r="M46" s="690" t="s">
        <v>55</v>
      </c>
      <c r="N46" s="690" t="s">
        <v>56</v>
      </c>
      <c r="O46" s="690"/>
      <c r="P46" s="690">
        <v>276</v>
      </c>
      <c r="Q46" s="63" t="s">
        <v>57</v>
      </c>
      <c r="R46" s="63" t="s">
        <v>58</v>
      </c>
      <c r="S46" s="64" t="s">
        <v>56</v>
      </c>
      <c r="T46" s="64"/>
      <c r="U46" s="64">
        <v>6</v>
      </c>
      <c r="V46" s="985">
        <v>4507282407</v>
      </c>
      <c r="W46" s="1009"/>
      <c r="X46" s="64" t="s">
        <v>236</v>
      </c>
      <c r="Y46" s="690">
        <v>30</v>
      </c>
      <c r="Z46" s="690">
        <f>+P46</f>
        <v>276</v>
      </c>
      <c r="AA46" s="700">
        <f>+Y46/Z46</f>
        <v>0.10869565217391304</v>
      </c>
      <c r="AB46" s="690" t="s">
        <v>237</v>
      </c>
      <c r="AC46" s="64">
        <v>2</v>
      </c>
      <c r="AD46" s="64">
        <f t="shared" ref="AD46:AD52" si="10">+U46</f>
        <v>6</v>
      </c>
      <c r="AE46" s="65">
        <f t="shared" ref="AE46:AE52" si="11">+AC46/AD46</f>
        <v>0.33333333333333331</v>
      </c>
      <c r="AF46" s="64" t="s">
        <v>238</v>
      </c>
      <c r="AG46" s="689">
        <v>55</v>
      </c>
      <c r="AH46" s="689">
        <v>276</v>
      </c>
      <c r="AI46" s="692">
        <v>0.19927536231884058</v>
      </c>
      <c r="AJ46" s="689" t="s">
        <v>239</v>
      </c>
      <c r="AK46" s="66">
        <v>2</v>
      </c>
      <c r="AL46" s="66">
        <v>6</v>
      </c>
      <c r="AM46" s="67">
        <v>0.33333333333333331</v>
      </c>
      <c r="AN46" s="66" t="s">
        <v>240</v>
      </c>
      <c r="AO46" s="689">
        <v>75</v>
      </c>
      <c r="AP46" s="689">
        <f>+P46</f>
        <v>276</v>
      </c>
      <c r="AQ46" s="692">
        <f>+AO46/AP46</f>
        <v>0.27173913043478259</v>
      </c>
      <c r="AR46" s="689" t="s">
        <v>241</v>
      </c>
      <c r="AS46" s="66">
        <v>2</v>
      </c>
      <c r="AT46" s="66">
        <f t="shared" ref="AT46:AT52" si="12">+U46</f>
        <v>6</v>
      </c>
      <c r="AU46" s="67">
        <f t="shared" ref="AU46:AU52" si="13">+AS46/AT46</f>
        <v>0.33333333333333331</v>
      </c>
      <c r="AV46" s="66" t="s">
        <v>242</v>
      </c>
    </row>
    <row r="47" spans="1:708" ht="57" customHeight="1" x14ac:dyDescent="0.25">
      <c r="A47" s="693"/>
      <c r="B47" s="715"/>
      <c r="C47" s="716"/>
      <c r="D47" s="716"/>
      <c r="E47" s="716"/>
      <c r="F47" s="716"/>
      <c r="G47" s="716"/>
      <c r="H47" s="716"/>
      <c r="I47" s="717"/>
      <c r="J47" s="690"/>
      <c r="K47" s="690"/>
      <c r="L47" s="690"/>
      <c r="M47" s="690"/>
      <c r="N47" s="690"/>
      <c r="O47" s="690"/>
      <c r="P47" s="690"/>
      <c r="Q47" s="70" t="s">
        <v>66</v>
      </c>
      <c r="R47" s="70" t="s">
        <v>67</v>
      </c>
      <c r="S47" s="71" t="s">
        <v>56</v>
      </c>
      <c r="T47" s="71"/>
      <c r="U47" s="71">
        <v>260</v>
      </c>
      <c r="V47" s="1014"/>
      <c r="W47" s="1009"/>
      <c r="X47" s="71" t="s">
        <v>236</v>
      </c>
      <c r="Y47" s="690"/>
      <c r="Z47" s="690"/>
      <c r="AA47" s="700"/>
      <c r="AB47" s="690"/>
      <c r="AC47" s="71">
        <v>14</v>
      </c>
      <c r="AD47" s="71">
        <f t="shared" si="10"/>
        <v>260</v>
      </c>
      <c r="AE47" s="73">
        <f t="shared" si="11"/>
        <v>5.3846153846153849E-2</v>
      </c>
      <c r="AF47" s="71" t="s">
        <v>243</v>
      </c>
      <c r="AG47" s="689"/>
      <c r="AH47" s="689"/>
      <c r="AI47" s="692"/>
      <c r="AJ47" s="689"/>
      <c r="AK47" s="74">
        <v>32</v>
      </c>
      <c r="AL47" s="74">
        <v>260</v>
      </c>
      <c r="AM47" s="75">
        <v>0.12307692307692308</v>
      </c>
      <c r="AN47" s="74" t="s">
        <v>244</v>
      </c>
      <c r="AO47" s="689"/>
      <c r="AP47" s="689"/>
      <c r="AQ47" s="692"/>
      <c r="AR47" s="689"/>
      <c r="AS47" s="74">
        <v>49</v>
      </c>
      <c r="AT47" s="74">
        <f t="shared" si="12"/>
        <v>260</v>
      </c>
      <c r="AU47" s="75">
        <f t="shared" si="13"/>
        <v>0.18846153846153846</v>
      </c>
      <c r="AV47" s="74" t="s">
        <v>245</v>
      </c>
    </row>
    <row r="48" spans="1:708" ht="57" customHeight="1" x14ac:dyDescent="0.25">
      <c r="A48" s="706" t="s">
        <v>43</v>
      </c>
      <c r="B48" s="708" t="s">
        <v>44</v>
      </c>
      <c r="C48" s="702" t="s">
        <v>45</v>
      </c>
      <c r="D48" s="702" t="s">
        <v>46</v>
      </c>
      <c r="E48" s="702" t="s">
        <v>71</v>
      </c>
      <c r="F48" s="702" t="s">
        <v>48</v>
      </c>
      <c r="G48" s="702" t="s">
        <v>49</v>
      </c>
      <c r="H48" s="702" t="s">
        <v>50</v>
      </c>
      <c r="I48" s="704" t="s">
        <v>51</v>
      </c>
      <c r="J48" s="698" t="s">
        <v>52</v>
      </c>
      <c r="K48" s="698" t="s">
        <v>235</v>
      </c>
      <c r="L48" s="698" t="s">
        <v>72</v>
      </c>
      <c r="M48" s="698" t="s">
        <v>112</v>
      </c>
      <c r="N48" s="698" t="s">
        <v>74</v>
      </c>
      <c r="O48" s="698"/>
      <c r="P48" s="699">
        <v>0.89</v>
      </c>
      <c r="Q48" s="63" t="s">
        <v>113</v>
      </c>
      <c r="R48" s="63" t="s">
        <v>114</v>
      </c>
      <c r="S48" s="64" t="s">
        <v>74</v>
      </c>
      <c r="T48" s="64"/>
      <c r="U48" s="79">
        <v>0.89</v>
      </c>
      <c r="V48" s="1014"/>
      <c r="W48" s="1009"/>
      <c r="X48" s="64" t="s">
        <v>236</v>
      </c>
      <c r="Y48" s="700">
        <f>4/4</f>
        <v>1</v>
      </c>
      <c r="Z48" s="701">
        <f>+P48</f>
        <v>0.89</v>
      </c>
      <c r="AA48" s="700">
        <f>+Y48/Z48</f>
        <v>1.1235955056179776</v>
      </c>
      <c r="AB48" s="690" t="s">
        <v>246</v>
      </c>
      <c r="AC48" s="65">
        <f>1/1</f>
        <v>1</v>
      </c>
      <c r="AD48" s="79">
        <f t="shared" si="10"/>
        <v>0.89</v>
      </c>
      <c r="AE48" s="65">
        <f t="shared" si="11"/>
        <v>1.1235955056179776</v>
      </c>
      <c r="AF48" s="64" t="s">
        <v>247</v>
      </c>
      <c r="AG48" s="692">
        <v>1</v>
      </c>
      <c r="AH48" s="691">
        <v>0.89</v>
      </c>
      <c r="AI48" s="692">
        <v>1.1235955056179776</v>
      </c>
      <c r="AJ48" s="689" t="s">
        <v>248</v>
      </c>
      <c r="AK48" s="67">
        <v>1</v>
      </c>
      <c r="AL48" s="80">
        <v>0.89</v>
      </c>
      <c r="AM48" s="67">
        <v>1.1235955056179776</v>
      </c>
      <c r="AN48" s="66" t="s">
        <v>249</v>
      </c>
      <c r="AO48" s="692">
        <f>11/11</f>
        <v>1</v>
      </c>
      <c r="AP48" s="691">
        <f>+P48</f>
        <v>0.89</v>
      </c>
      <c r="AQ48" s="692">
        <f>+AO48/AP48</f>
        <v>1.1235955056179776</v>
      </c>
      <c r="AR48" s="689" t="s">
        <v>250</v>
      </c>
      <c r="AS48" s="67">
        <f>1/1</f>
        <v>1</v>
      </c>
      <c r="AT48" s="80">
        <f t="shared" si="12"/>
        <v>0.89</v>
      </c>
      <c r="AU48" s="67">
        <f t="shared" si="13"/>
        <v>1.1235955056179776</v>
      </c>
      <c r="AV48" s="66" t="s">
        <v>251</v>
      </c>
    </row>
    <row r="49" spans="1:708" ht="57" customHeight="1" x14ac:dyDescent="0.25">
      <c r="A49" s="707"/>
      <c r="B49" s="708"/>
      <c r="C49" s="703"/>
      <c r="D49" s="703"/>
      <c r="E49" s="703"/>
      <c r="F49" s="703"/>
      <c r="G49" s="703"/>
      <c r="H49" s="703"/>
      <c r="I49" s="705"/>
      <c r="J49" s="698"/>
      <c r="K49" s="698"/>
      <c r="L49" s="698"/>
      <c r="M49" s="698"/>
      <c r="N49" s="698"/>
      <c r="O49" s="698"/>
      <c r="P49" s="699"/>
      <c r="Q49" s="70" t="s">
        <v>121</v>
      </c>
      <c r="R49" s="70" t="s">
        <v>122</v>
      </c>
      <c r="S49" s="71" t="s">
        <v>74</v>
      </c>
      <c r="T49" s="71"/>
      <c r="U49" s="81">
        <v>0.89</v>
      </c>
      <c r="V49" s="1014"/>
      <c r="W49" s="1009"/>
      <c r="X49" s="71" t="s">
        <v>236</v>
      </c>
      <c r="Y49" s="700"/>
      <c r="Z49" s="690"/>
      <c r="AA49" s="700"/>
      <c r="AB49" s="690"/>
      <c r="AC49" s="73">
        <f>1/1</f>
        <v>1</v>
      </c>
      <c r="AD49" s="81">
        <f t="shared" si="10"/>
        <v>0.89</v>
      </c>
      <c r="AE49" s="73">
        <f t="shared" si="11"/>
        <v>1.1235955056179776</v>
      </c>
      <c r="AF49" s="71" t="s">
        <v>252</v>
      </c>
      <c r="AG49" s="692"/>
      <c r="AH49" s="689"/>
      <c r="AI49" s="692"/>
      <c r="AJ49" s="689"/>
      <c r="AK49" s="75">
        <v>0.83333333333333337</v>
      </c>
      <c r="AL49" s="82">
        <v>0.89</v>
      </c>
      <c r="AM49" s="75">
        <v>0.93632958801498134</v>
      </c>
      <c r="AN49" s="74" t="s">
        <v>253</v>
      </c>
      <c r="AO49" s="692"/>
      <c r="AP49" s="689"/>
      <c r="AQ49" s="692"/>
      <c r="AR49" s="689"/>
      <c r="AS49" s="75">
        <f>8/9</f>
        <v>0.88888888888888884</v>
      </c>
      <c r="AT49" s="82">
        <f t="shared" si="12"/>
        <v>0.89</v>
      </c>
      <c r="AU49" s="75">
        <f t="shared" si="13"/>
        <v>0.99875156054931324</v>
      </c>
      <c r="AV49" s="74" t="s">
        <v>254</v>
      </c>
    </row>
    <row r="50" spans="1:708" ht="57" customHeight="1" x14ac:dyDescent="0.25">
      <c r="A50" s="693" t="s">
        <v>43</v>
      </c>
      <c r="B50" s="694" t="s">
        <v>44</v>
      </c>
      <c r="C50" s="696" t="s">
        <v>45</v>
      </c>
      <c r="D50" s="696" t="s">
        <v>46</v>
      </c>
      <c r="E50" s="696" t="s">
        <v>47</v>
      </c>
      <c r="F50" s="696" t="s">
        <v>48</v>
      </c>
      <c r="G50" s="696" t="s">
        <v>49</v>
      </c>
      <c r="H50" s="696" t="s">
        <v>50</v>
      </c>
      <c r="I50" s="711" t="s">
        <v>78</v>
      </c>
      <c r="J50" s="690" t="s">
        <v>52</v>
      </c>
      <c r="K50" s="690" t="s">
        <v>235</v>
      </c>
      <c r="L50" s="690" t="s">
        <v>79</v>
      </c>
      <c r="M50" s="690" t="s">
        <v>80</v>
      </c>
      <c r="N50" s="690" t="s">
        <v>56</v>
      </c>
      <c r="O50" s="690"/>
      <c r="P50" s="690">
        <v>1351</v>
      </c>
      <c r="Q50" s="63" t="s">
        <v>81</v>
      </c>
      <c r="R50" s="84" t="s">
        <v>82</v>
      </c>
      <c r="S50" s="83" t="s">
        <v>56</v>
      </c>
      <c r="T50" s="84"/>
      <c r="U50" s="83">
        <v>100</v>
      </c>
      <c r="V50" s="1014"/>
      <c r="W50" s="1009"/>
      <c r="X50" s="64" t="s">
        <v>236</v>
      </c>
      <c r="Y50" s="710">
        <v>8</v>
      </c>
      <c r="Z50" s="710">
        <f>+P50</f>
        <v>1351</v>
      </c>
      <c r="AA50" s="713">
        <f>+Y50/Z50</f>
        <v>5.9215396002960767E-3</v>
      </c>
      <c r="AB50" s="690" t="s">
        <v>255</v>
      </c>
      <c r="AC50" s="83">
        <v>13</v>
      </c>
      <c r="AD50" s="83">
        <f t="shared" si="10"/>
        <v>100</v>
      </c>
      <c r="AE50" s="85">
        <f t="shared" si="11"/>
        <v>0.13</v>
      </c>
      <c r="AF50" s="64" t="s">
        <v>256</v>
      </c>
      <c r="AG50" s="687">
        <v>105</v>
      </c>
      <c r="AH50" s="687">
        <v>1351</v>
      </c>
      <c r="AI50" s="688">
        <v>7.7720207253886009E-2</v>
      </c>
      <c r="AJ50" s="689" t="s">
        <v>257</v>
      </c>
      <c r="AK50" s="86">
        <v>22</v>
      </c>
      <c r="AL50" s="86">
        <v>100</v>
      </c>
      <c r="AM50" s="87">
        <v>0.22</v>
      </c>
      <c r="AN50" s="66" t="s">
        <v>258</v>
      </c>
      <c r="AO50" s="687">
        <v>216</v>
      </c>
      <c r="AP50" s="687">
        <f>+P50</f>
        <v>1351</v>
      </c>
      <c r="AQ50" s="688">
        <f>+AO50/AP50</f>
        <v>0.15988156920799407</v>
      </c>
      <c r="AR50" s="689" t="s">
        <v>259</v>
      </c>
      <c r="AS50" s="86">
        <v>26</v>
      </c>
      <c r="AT50" s="86">
        <f t="shared" si="12"/>
        <v>100</v>
      </c>
      <c r="AU50" s="87">
        <f t="shared" si="13"/>
        <v>0.26</v>
      </c>
      <c r="AV50" s="66" t="s">
        <v>260</v>
      </c>
    </row>
    <row r="51" spans="1:708" ht="57" customHeight="1" x14ac:dyDescent="0.25">
      <c r="A51" s="693"/>
      <c r="B51" s="695"/>
      <c r="C51" s="697"/>
      <c r="D51" s="697"/>
      <c r="E51" s="697"/>
      <c r="F51" s="697"/>
      <c r="G51" s="697"/>
      <c r="H51" s="697"/>
      <c r="I51" s="712"/>
      <c r="J51" s="690"/>
      <c r="K51" s="690"/>
      <c r="L51" s="690"/>
      <c r="M51" s="690"/>
      <c r="N51" s="690"/>
      <c r="O51" s="690"/>
      <c r="P51" s="690"/>
      <c r="Q51" s="70" t="s">
        <v>133</v>
      </c>
      <c r="R51" s="70" t="s">
        <v>134</v>
      </c>
      <c r="S51" s="71" t="s">
        <v>56</v>
      </c>
      <c r="T51" s="70"/>
      <c r="U51" s="71">
        <v>101</v>
      </c>
      <c r="V51" s="1014"/>
      <c r="W51" s="1009"/>
      <c r="X51" s="71" t="s">
        <v>236</v>
      </c>
      <c r="Y51" s="710"/>
      <c r="Z51" s="710"/>
      <c r="AA51" s="713"/>
      <c r="AB51" s="690"/>
      <c r="AC51" s="71">
        <v>0</v>
      </c>
      <c r="AD51" s="71">
        <f t="shared" si="10"/>
        <v>101</v>
      </c>
      <c r="AE51" s="73">
        <f t="shared" si="11"/>
        <v>0</v>
      </c>
      <c r="AF51" s="71" t="s">
        <v>229</v>
      </c>
      <c r="AG51" s="687"/>
      <c r="AH51" s="687"/>
      <c r="AI51" s="688"/>
      <c r="AJ51" s="689"/>
      <c r="AK51" s="74">
        <v>9</v>
      </c>
      <c r="AL51" s="74">
        <v>101</v>
      </c>
      <c r="AM51" s="75">
        <v>8.9108910891089105E-2</v>
      </c>
      <c r="AN51" s="74" t="s">
        <v>261</v>
      </c>
      <c r="AO51" s="687"/>
      <c r="AP51" s="687"/>
      <c r="AQ51" s="688"/>
      <c r="AR51" s="689"/>
      <c r="AS51" s="74">
        <v>23</v>
      </c>
      <c r="AT51" s="74">
        <f t="shared" si="12"/>
        <v>101</v>
      </c>
      <c r="AU51" s="75">
        <f t="shared" si="13"/>
        <v>0.22772277227722773</v>
      </c>
      <c r="AV51" s="74" t="s">
        <v>262</v>
      </c>
    </row>
    <row r="52" spans="1:708" ht="57" customHeight="1" x14ac:dyDescent="0.25">
      <c r="A52" s="693"/>
      <c r="B52" s="695"/>
      <c r="C52" s="697"/>
      <c r="D52" s="697"/>
      <c r="E52" s="697"/>
      <c r="F52" s="697"/>
      <c r="G52" s="697"/>
      <c r="H52" s="697"/>
      <c r="I52" s="712"/>
      <c r="J52" s="690"/>
      <c r="K52" s="690"/>
      <c r="L52" s="690"/>
      <c r="M52" s="690"/>
      <c r="N52" s="690"/>
      <c r="O52" s="690"/>
      <c r="P52" s="690"/>
      <c r="Q52" s="84" t="s">
        <v>138</v>
      </c>
      <c r="R52" s="63" t="s">
        <v>139</v>
      </c>
      <c r="S52" s="83" t="s">
        <v>56</v>
      </c>
      <c r="T52" s="84"/>
      <c r="U52" s="83">
        <v>1250</v>
      </c>
      <c r="V52" s="986"/>
      <c r="W52" s="1009"/>
      <c r="X52" s="64" t="s">
        <v>236</v>
      </c>
      <c r="Y52" s="710"/>
      <c r="Z52" s="710"/>
      <c r="AA52" s="713"/>
      <c r="AB52" s="690"/>
      <c r="AC52" s="83">
        <v>57</v>
      </c>
      <c r="AD52" s="83">
        <f t="shared" si="10"/>
        <v>1250</v>
      </c>
      <c r="AE52" s="85">
        <f t="shared" si="11"/>
        <v>4.5600000000000002E-2</v>
      </c>
      <c r="AF52" s="64" t="s">
        <v>263</v>
      </c>
      <c r="AG52" s="687"/>
      <c r="AH52" s="687"/>
      <c r="AI52" s="688"/>
      <c r="AJ52" s="689"/>
      <c r="AK52" s="86">
        <v>154</v>
      </c>
      <c r="AL52" s="86">
        <v>1250</v>
      </c>
      <c r="AM52" s="87">
        <v>0.1232</v>
      </c>
      <c r="AN52" s="66" t="s">
        <v>264</v>
      </c>
      <c r="AO52" s="687"/>
      <c r="AP52" s="687"/>
      <c r="AQ52" s="688"/>
      <c r="AR52" s="689"/>
      <c r="AS52" s="86">
        <v>261</v>
      </c>
      <c r="AT52" s="86">
        <f t="shared" si="12"/>
        <v>1250</v>
      </c>
      <c r="AU52" s="87">
        <f t="shared" si="13"/>
        <v>0.20880000000000001</v>
      </c>
      <c r="AV52" s="66" t="s">
        <v>265</v>
      </c>
    </row>
    <row r="53" spans="1:708" s="21" customFormat="1" ht="68.25" customHeight="1" x14ac:dyDescent="0.25">
      <c r="A53" s="52"/>
      <c r="B53" s="52"/>
      <c r="C53" s="52"/>
      <c r="D53" s="52"/>
      <c r="E53" s="52"/>
      <c r="F53" s="52"/>
      <c r="G53" s="52"/>
      <c r="H53" s="52"/>
      <c r="I53" s="52"/>
      <c r="J53" s="52"/>
      <c r="K53" s="52"/>
      <c r="L53" s="52"/>
      <c r="M53" s="52"/>
      <c r="N53" s="52"/>
      <c r="O53" s="52"/>
      <c r="P53" s="53"/>
      <c r="Q53" s="52"/>
      <c r="R53" s="52"/>
      <c r="S53" s="53"/>
      <c r="T53" s="52"/>
      <c r="U53" s="52"/>
      <c r="V53" s="89"/>
      <c r="W53" s="1009"/>
      <c r="X53" s="52"/>
      <c r="Y53" s="657" t="s">
        <v>99</v>
      </c>
      <c r="Z53" s="657"/>
      <c r="AA53" s="55">
        <f>AVERAGE(AA46:AA52)</f>
        <v>0.41273756579739557</v>
      </c>
      <c r="AB53" s="56"/>
      <c r="AC53" s="657" t="s">
        <v>100</v>
      </c>
      <c r="AD53" s="657"/>
      <c r="AE53" s="55">
        <f>AVERAGE(AE46:AE52)</f>
        <v>0.40142435691649175</v>
      </c>
      <c r="AF53" s="58"/>
      <c r="AG53" s="658" t="s">
        <v>99</v>
      </c>
      <c r="AH53" s="658"/>
      <c r="AI53" s="59">
        <v>0.46686369173023473</v>
      </c>
      <c r="AJ53" s="60"/>
      <c r="AK53" s="658" t="s">
        <v>100</v>
      </c>
      <c r="AL53" s="658"/>
      <c r="AM53" s="59">
        <v>0.42123489441918643</v>
      </c>
      <c r="AN53" s="62"/>
      <c r="AO53" s="657" t="s">
        <v>99</v>
      </c>
      <c r="AP53" s="657"/>
      <c r="AQ53" s="55">
        <f>AVERAGE(AQ46:AQ52)</f>
        <v>0.51840540175358474</v>
      </c>
      <c r="AR53" s="56"/>
      <c r="AS53" s="657" t="s">
        <v>100</v>
      </c>
      <c r="AT53" s="657"/>
      <c r="AU53" s="55">
        <f>AVERAGE(AU46:AU52)</f>
        <v>0.47723781574848434</v>
      </c>
      <c r="AV53" s="58"/>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c r="IN53" s="20"/>
      <c r="IO53" s="20"/>
      <c r="IP53" s="20"/>
      <c r="IQ53" s="20"/>
      <c r="IR53" s="20"/>
      <c r="IS53" s="20"/>
      <c r="IT53" s="20"/>
      <c r="IU53" s="20"/>
      <c r="IV53" s="20"/>
      <c r="IW53" s="20"/>
      <c r="IX53" s="20"/>
      <c r="IY53" s="20"/>
      <c r="IZ53" s="20"/>
      <c r="JA53" s="20"/>
      <c r="JB53" s="20"/>
      <c r="JC53" s="20"/>
      <c r="JD53" s="20"/>
      <c r="JE53" s="20"/>
      <c r="JF53" s="20"/>
      <c r="JG53" s="20"/>
      <c r="JH53" s="20"/>
      <c r="JI53" s="20"/>
      <c r="JJ53" s="20"/>
      <c r="JK53" s="20"/>
      <c r="JL53" s="20"/>
      <c r="JM53" s="20"/>
      <c r="JN53" s="20"/>
      <c r="JO53" s="20"/>
      <c r="JP53" s="20"/>
      <c r="JQ53" s="20"/>
      <c r="JR53" s="20"/>
      <c r="JS53" s="20"/>
      <c r="JT53" s="20"/>
      <c r="JU53" s="20"/>
      <c r="JV53" s="20"/>
      <c r="JW53" s="20"/>
      <c r="JX53" s="20"/>
      <c r="JY53" s="20"/>
      <c r="JZ53" s="20"/>
      <c r="KA53" s="20"/>
      <c r="KB53" s="20"/>
      <c r="KC53" s="20"/>
      <c r="KD53" s="20"/>
      <c r="KE53" s="20"/>
      <c r="KF53" s="20"/>
      <c r="KG53" s="20"/>
      <c r="KH53" s="20"/>
      <c r="KI53" s="20"/>
      <c r="KJ53" s="20"/>
      <c r="KK53" s="20"/>
      <c r="KL53" s="20"/>
      <c r="KM53" s="20"/>
      <c r="KN53" s="20"/>
      <c r="KO53" s="20"/>
      <c r="KP53" s="20"/>
      <c r="KQ53" s="20"/>
      <c r="KR53" s="20"/>
      <c r="KS53" s="20"/>
      <c r="KT53" s="20"/>
      <c r="KU53" s="20"/>
      <c r="KV53" s="20"/>
      <c r="KW53" s="20"/>
      <c r="KX53" s="20"/>
      <c r="KY53" s="20"/>
      <c r="KZ53" s="20"/>
      <c r="LA53" s="20"/>
      <c r="LB53" s="20"/>
      <c r="LC53" s="20"/>
      <c r="LD53" s="20"/>
      <c r="LE53" s="20"/>
      <c r="LF53" s="20"/>
      <c r="LG53" s="20"/>
      <c r="LH53" s="20"/>
      <c r="LI53" s="20"/>
      <c r="LJ53" s="20"/>
      <c r="LK53" s="20"/>
      <c r="LL53" s="20"/>
      <c r="LM53" s="20"/>
      <c r="LN53" s="20"/>
      <c r="LO53" s="20"/>
      <c r="LP53" s="20"/>
      <c r="LQ53" s="20"/>
      <c r="LR53" s="20"/>
      <c r="LS53" s="20"/>
      <c r="LT53" s="20"/>
      <c r="LU53" s="20"/>
      <c r="LV53" s="20"/>
      <c r="LW53" s="20"/>
      <c r="LX53" s="20"/>
      <c r="LY53" s="20"/>
      <c r="LZ53" s="20"/>
      <c r="MA53" s="20"/>
      <c r="MB53" s="20"/>
      <c r="MC53" s="20"/>
      <c r="MD53" s="20"/>
      <c r="ME53" s="20"/>
      <c r="MF53" s="20"/>
      <c r="MG53" s="20"/>
      <c r="MH53" s="20"/>
      <c r="MI53" s="20"/>
      <c r="MJ53" s="20"/>
      <c r="MK53" s="20"/>
      <c r="ML53" s="20"/>
      <c r="MM53" s="20"/>
      <c r="MN53" s="20"/>
      <c r="MO53" s="20"/>
      <c r="MP53" s="20"/>
      <c r="MQ53" s="20"/>
      <c r="MR53" s="20"/>
      <c r="MS53" s="20"/>
      <c r="MT53" s="20"/>
      <c r="MU53" s="20"/>
      <c r="MV53" s="20"/>
      <c r="MW53" s="20"/>
      <c r="MX53" s="20"/>
      <c r="MY53" s="20"/>
      <c r="MZ53" s="20"/>
      <c r="NA53" s="20"/>
      <c r="NB53" s="20"/>
      <c r="NC53" s="20"/>
      <c r="ND53" s="20"/>
      <c r="NE53" s="20"/>
      <c r="NF53" s="20"/>
      <c r="NG53" s="20"/>
      <c r="NH53" s="20"/>
      <c r="NI53" s="20"/>
      <c r="NJ53" s="20"/>
      <c r="NK53" s="20"/>
      <c r="NL53" s="20"/>
      <c r="NM53" s="20"/>
      <c r="NN53" s="20"/>
      <c r="NO53" s="20"/>
      <c r="NP53" s="20"/>
      <c r="NQ53" s="20"/>
      <c r="NR53" s="20"/>
      <c r="NS53" s="20"/>
      <c r="NT53" s="20"/>
      <c r="NU53" s="20"/>
      <c r="NV53" s="20"/>
      <c r="NW53" s="20"/>
      <c r="NX53" s="20"/>
      <c r="NY53" s="20"/>
      <c r="NZ53" s="20"/>
      <c r="OA53" s="20"/>
      <c r="OB53" s="20"/>
      <c r="OC53" s="20"/>
      <c r="OD53" s="20"/>
      <c r="OE53" s="20"/>
      <c r="OF53" s="20"/>
      <c r="OG53" s="20"/>
      <c r="OH53" s="20"/>
      <c r="OI53" s="20"/>
      <c r="OJ53" s="20"/>
      <c r="OK53" s="20"/>
      <c r="OL53" s="20"/>
      <c r="OM53" s="20"/>
      <c r="ON53" s="20"/>
      <c r="OO53" s="20"/>
      <c r="OP53" s="20"/>
      <c r="OQ53" s="20"/>
      <c r="OR53" s="20"/>
      <c r="OS53" s="20"/>
      <c r="OT53" s="20"/>
      <c r="OU53" s="20"/>
      <c r="OV53" s="20"/>
      <c r="OW53" s="20"/>
      <c r="OX53" s="20"/>
      <c r="OY53" s="20"/>
      <c r="OZ53" s="20"/>
      <c r="PA53" s="20"/>
      <c r="PB53" s="20"/>
      <c r="PC53" s="20"/>
      <c r="PD53" s="20"/>
      <c r="PE53" s="20"/>
      <c r="PF53" s="20"/>
      <c r="PG53" s="20"/>
      <c r="PH53" s="20"/>
      <c r="PI53" s="20"/>
      <c r="PJ53" s="20"/>
      <c r="PK53" s="20"/>
      <c r="PL53" s="20"/>
      <c r="PM53" s="20"/>
      <c r="PN53" s="20"/>
      <c r="PO53" s="20"/>
      <c r="PP53" s="20"/>
      <c r="PQ53" s="20"/>
      <c r="PR53" s="20"/>
      <c r="PS53" s="20"/>
      <c r="PT53" s="20"/>
      <c r="PU53" s="20"/>
      <c r="PV53" s="20"/>
      <c r="PW53" s="20"/>
      <c r="PX53" s="20"/>
      <c r="PY53" s="20"/>
      <c r="PZ53" s="20"/>
      <c r="QA53" s="20"/>
      <c r="QB53" s="20"/>
      <c r="QC53" s="20"/>
      <c r="QD53" s="20"/>
      <c r="QE53" s="20"/>
      <c r="QF53" s="20"/>
      <c r="QG53" s="20"/>
      <c r="QH53" s="20"/>
      <c r="QI53" s="20"/>
      <c r="QJ53" s="20"/>
      <c r="QK53" s="20"/>
      <c r="QL53" s="20"/>
      <c r="QM53" s="20"/>
      <c r="QN53" s="20"/>
      <c r="QO53" s="20"/>
      <c r="QP53" s="20"/>
      <c r="QQ53" s="20"/>
      <c r="QR53" s="20"/>
      <c r="QS53" s="20"/>
      <c r="QT53" s="20"/>
      <c r="QU53" s="20"/>
      <c r="QV53" s="20"/>
      <c r="QW53" s="20"/>
      <c r="QX53" s="20"/>
      <c r="QY53" s="20"/>
      <c r="QZ53" s="20"/>
      <c r="RA53" s="20"/>
      <c r="RB53" s="20"/>
      <c r="RC53" s="20"/>
      <c r="RD53" s="20"/>
      <c r="RE53" s="20"/>
      <c r="RF53" s="20"/>
      <c r="RG53" s="20"/>
      <c r="RH53" s="20"/>
      <c r="RI53" s="20"/>
      <c r="RJ53" s="20"/>
      <c r="RK53" s="20"/>
      <c r="RL53" s="20"/>
      <c r="RM53" s="20"/>
      <c r="RN53" s="20"/>
      <c r="RO53" s="20"/>
      <c r="RP53" s="20"/>
      <c r="RQ53" s="20"/>
      <c r="RR53" s="20"/>
      <c r="RS53" s="20"/>
      <c r="RT53" s="20"/>
      <c r="RU53" s="20"/>
      <c r="RV53" s="20"/>
      <c r="RW53" s="20"/>
      <c r="RX53" s="20"/>
      <c r="RY53" s="20"/>
      <c r="RZ53" s="20"/>
      <c r="SA53" s="20"/>
      <c r="SB53" s="20"/>
      <c r="SC53" s="20"/>
      <c r="SD53" s="20"/>
      <c r="SE53" s="20"/>
      <c r="SF53" s="20"/>
      <c r="SG53" s="20"/>
      <c r="SH53" s="20"/>
      <c r="SI53" s="20"/>
      <c r="SJ53" s="20"/>
      <c r="SK53" s="20"/>
      <c r="SL53" s="20"/>
      <c r="SM53" s="20"/>
      <c r="SN53" s="20"/>
      <c r="SO53" s="20"/>
      <c r="SP53" s="20"/>
      <c r="SQ53" s="20"/>
      <c r="SR53" s="20"/>
      <c r="SS53" s="20"/>
      <c r="ST53" s="20"/>
      <c r="SU53" s="20"/>
      <c r="SV53" s="20"/>
      <c r="SW53" s="20"/>
      <c r="SX53" s="20"/>
      <c r="SY53" s="20"/>
      <c r="SZ53" s="20"/>
      <c r="TA53" s="20"/>
      <c r="TB53" s="20"/>
      <c r="TC53" s="20"/>
      <c r="TD53" s="20"/>
      <c r="TE53" s="20"/>
      <c r="TF53" s="20"/>
      <c r="TG53" s="20"/>
      <c r="TH53" s="20"/>
      <c r="TI53" s="20"/>
      <c r="TJ53" s="20"/>
      <c r="TK53" s="20"/>
      <c r="TL53" s="20"/>
      <c r="TM53" s="20"/>
      <c r="TN53" s="20"/>
      <c r="TO53" s="20"/>
      <c r="TP53" s="20"/>
      <c r="TQ53" s="20"/>
      <c r="TR53" s="20"/>
      <c r="TS53" s="20"/>
      <c r="TT53" s="20"/>
      <c r="TU53" s="20"/>
      <c r="TV53" s="20"/>
      <c r="TW53" s="20"/>
      <c r="TX53" s="20"/>
      <c r="TY53" s="20"/>
      <c r="TZ53" s="20"/>
      <c r="UA53" s="20"/>
      <c r="UB53" s="20"/>
      <c r="UC53" s="20"/>
      <c r="UD53" s="20"/>
      <c r="UE53" s="20"/>
      <c r="UF53" s="20"/>
      <c r="UG53" s="20"/>
      <c r="UH53" s="20"/>
      <c r="UI53" s="20"/>
      <c r="UJ53" s="20"/>
      <c r="UK53" s="20"/>
      <c r="UL53" s="20"/>
      <c r="UM53" s="20"/>
      <c r="UN53" s="20"/>
      <c r="UO53" s="20"/>
      <c r="UP53" s="20"/>
      <c r="UQ53" s="20"/>
      <c r="UR53" s="20"/>
      <c r="US53" s="20"/>
      <c r="UT53" s="20"/>
      <c r="UU53" s="20"/>
      <c r="UV53" s="20"/>
      <c r="UW53" s="20"/>
      <c r="UX53" s="20"/>
      <c r="UY53" s="20"/>
      <c r="UZ53" s="20"/>
      <c r="VA53" s="20"/>
      <c r="VB53" s="20"/>
      <c r="VC53" s="20"/>
      <c r="VD53" s="20"/>
      <c r="VE53" s="20"/>
      <c r="VF53" s="20"/>
      <c r="VG53" s="20"/>
      <c r="VH53" s="20"/>
      <c r="VI53" s="20"/>
      <c r="VJ53" s="20"/>
      <c r="VK53" s="20"/>
      <c r="VL53" s="20"/>
      <c r="VM53" s="20"/>
      <c r="VN53" s="20"/>
      <c r="VO53" s="20"/>
      <c r="VP53" s="20"/>
      <c r="VQ53" s="20"/>
      <c r="VR53" s="20"/>
      <c r="VS53" s="20"/>
      <c r="VT53" s="20"/>
      <c r="VU53" s="20"/>
      <c r="VV53" s="20"/>
      <c r="VW53" s="20"/>
      <c r="VX53" s="20"/>
      <c r="VY53" s="20"/>
      <c r="VZ53" s="20"/>
      <c r="WA53" s="20"/>
      <c r="WB53" s="20"/>
      <c r="WC53" s="20"/>
      <c r="WD53" s="20"/>
      <c r="WE53" s="20"/>
      <c r="WF53" s="20"/>
      <c r="WG53" s="20"/>
      <c r="WH53" s="20"/>
      <c r="WI53" s="20"/>
      <c r="WJ53" s="20"/>
      <c r="WK53" s="20"/>
      <c r="WL53" s="20"/>
      <c r="WM53" s="20"/>
      <c r="WN53" s="20"/>
      <c r="WO53" s="20"/>
      <c r="WP53" s="20"/>
      <c r="WQ53" s="20"/>
      <c r="WR53" s="20"/>
      <c r="WS53" s="20"/>
      <c r="WT53" s="20"/>
      <c r="WU53" s="20"/>
      <c r="WV53" s="20"/>
      <c r="WW53" s="20"/>
      <c r="WX53" s="20"/>
      <c r="WY53" s="20"/>
      <c r="WZ53" s="20"/>
      <c r="XA53" s="20"/>
      <c r="XB53" s="20"/>
      <c r="XC53" s="20"/>
      <c r="XD53" s="20"/>
      <c r="XE53" s="20"/>
      <c r="XF53" s="20"/>
      <c r="XG53" s="20"/>
      <c r="XH53" s="20"/>
      <c r="XI53" s="20"/>
      <c r="XJ53" s="20"/>
      <c r="XK53" s="20"/>
      <c r="XL53" s="20"/>
      <c r="XM53" s="20"/>
      <c r="XN53" s="20"/>
      <c r="XO53" s="20"/>
      <c r="XP53" s="20"/>
      <c r="XQ53" s="20"/>
      <c r="XR53" s="20"/>
      <c r="XS53" s="20"/>
      <c r="XT53" s="20"/>
      <c r="XU53" s="20"/>
      <c r="XV53" s="20"/>
      <c r="XW53" s="20"/>
      <c r="XX53" s="20"/>
      <c r="XY53" s="20"/>
      <c r="XZ53" s="20"/>
      <c r="YA53" s="20"/>
      <c r="YB53" s="20"/>
      <c r="YC53" s="20"/>
      <c r="YD53" s="20"/>
      <c r="YE53" s="20"/>
      <c r="YF53" s="20"/>
      <c r="YG53" s="20"/>
      <c r="YH53" s="20"/>
      <c r="YI53" s="20"/>
      <c r="YJ53" s="20"/>
      <c r="YK53" s="20"/>
      <c r="YL53" s="20"/>
      <c r="YM53" s="20"/>
      <c r="YN53" s="20"/>
      <c r="YO53" s="20"/>
      <c r="YP53" s="20"/>
      <c r="YQ53" s="20"/>
      <c r="YR53" s="20"/>
      <c r="YS53" s="20"/>
      <c r="YT53" s="20"/>
      <c r="YU53" s="20"/>
      <c r="YV53" s="20"/>
      <c r="YW53" s="20"/>
      <c r="YX53" s="20"/>
      <c r="YY53" s="20"/>
      <c r="YZ53" s="20"/>
      <c r="ZA53" s="20"/>
      <c r="ZB53" s="20"/>
      <c r="ZC53" s="20"/>
      <c r="ZD53" s="20"/>
      <c r="ZE53" s="20"/>
      <c r="ZF53" s="20"/>
      <c r="ZG53" s="20"/>
      <c r="ZH53" s="20"/>
      <c r="ZI53" s="20"/>
      <c r="ZJ53" s="20"/>
      <c r="ZK53" s="20"/>
      <c r="ZL53" s="20"/>
      <c r="ZM53" s="20"/>
      <c r="ZN53" s="20"/>
      <c r="ZO53" s="20"/>
      <c r="ZP53" s="20"/>
      <c r="ZQ53" s="20"/>
      <c r="ZR53" s="20"/>
      <c r="ZS53" s="20"/>
      <c r="ZT53" s="20"/>
      <c r="ZU53" s="20"/>
      <c r="ZV53" s="20"/>
      <c r="ZW53" s="20"/>
      <c r="ZX53" s="20"/>
      <c r="ZY53" s="20"/>
      <c r="ZZ53" s="20"/>
      <c r="AAA53" s="20"/>
      <c r="AAB53" s="20"/>
      <c r="AAC53" s="20"/>
      <c r="AAD53" s="20"/>
      <c r="AAE53" s="20"/>
      <c r="AAF53" s="20"/>
    </row>
    <row r="54" spans="1:708" ht="105.75" customHeight="1" x14ac:dyDescent="0.25">
      <c r="A54" s="90" t="s">
        <v>43</v>
      </c>
      <c r="B54" s="90" t="s">
        <v>44</v>
      </c>
      <c r="C54" s="90" t="s">
        <v>45</v>
      </c>
      <c r="D54" s="90" t="s">
        <v>46</v>
      </c>
      <c r="E54" s="90" t="s">
        <v>71</v>
      </c>
      <c r="F54" s="90" t="s">
        <v>48</v>
      </c>
      <c r="G54" s="90" t="s">
        <v>49</v>
      </c>
      <c r="H54" s="90" t="s">
        <v>50</v>
      </c>
      <c r="I54" s="90" t="s">
        <v>51</v>
      </c>
      <c r="J54" s="64" t="s">
        <v>52</v>
      </c>
      <c r="K54" s="64" t="s">
        <v>266</v>
      </c>
      <c r="L54" s="64" t="s">
        <v>267</v>
      </c>
      <c r="M54" s="64" t="s">
        <v>268</v>
      </c>
      <c r="N54" s="64" t="s">
        <v>56</v>
      </c>
      <c r="O54" s="64"/>
      <c r="P54" s="64">
        <v>747</v>
      </c>
      <c r="Q54" s="660"/>
      <c r="R54" s="661"/>
      <c r="S54" s="661"/>
      <c r="T54" s="661"/>
      <c r="U54" s="662"/>
      <c r="V54" s="985">
        <v>1563679952</v>
      </c>
      <c r="W54" s="1009"/>
      <c r="X54" s="64" t="s">
        <v>269</v>
      </c>
      <c r="Y54" s="64">
        <v>12</v>
      </c>
      <c r="Z54" s="64">
        <f>+P54</f>
        <v>747</v>
      </c>
      <c r="AA54" s="65">
        <f>+Y54/Z54</f>
        <v>1.6064257028112448E-2</v>
      </c>
      <c r="AB54" s="63" t="s">
        <v>270</v>
      </c>
      <c r="AC54" s="660"/>
      <c r="AD54" s="661"/>
      <c r="AE54" s="661"/>
      <c r="AF54" s="662"/>
      <c r="AG54" s="66">
        <v>38</v>
      </c>
      <c r="AH54" s="66">
        <v>747</v>
      </c>
      <c r="AI54" s="67">
        <v>5.0870147255689425E-2</v>
      </c>
      <c r="AJ54" s="92" t="s">
        <v>271</v>
      </c>
      <c r="AK54" s="663"/>
      <c r="AL54" s="664"/>
      <c r="AM54" s="664"/>
      <c r="AN54" s="665"/>
      <c r="AO54" s="66">
        <f>+'[12]COMP1%'!C9</f>
        <v>38</v>
      </c>
      <c r="AP54" s="66">
        <f>+P54</f>
        <v>747</v>
      </c>
      <c r="AQ54" s="67">
        <f>+AO54/AP54</f>
        <v>5.0870147255689425E-2</v>
      </c>
      <c r="AR54" s="92" t="s">
        <v>272</v>
      </c>
      <c r="AS54" s="660"/>
      <c r="AT54" s="661"/>
      <c r="AU54" s="661"/>
      <c r="AV54" s="662"/>
    </row>
    <row r="55" spans="1:708" ht="90" customHeight="1" x14ac:dyDescent="0.25">
      <c r="A55" s="93" t="s">
        <v>43</v>
      </c>
      <c r="B55" s="93" t="s">
        <v>44</v>
      </c>
      <c r="C55" s="93" t="s">
        <v>45</v>
      </c>
      <c r="D55" s="93" t="s">
        <v>46</v>
      </c>
      <c r="E55" s="93" t="s">
        <v>71</v>
      </c>
      <c r="F55" s="93" t="s">
        <v>48</v>
      </c>
      <c r="G55" s="93" t="s">
        <v>49</v>
      </c>
      <c r="H55" s="93" t="s">
        <v>50</v>
      </c>
      <c r="I55" s="94" t="s">
        <v>51</v>
      </c>
      <c r="J55" s="71" t="s">
        <v>52</v>
      </c>
      <c r="K55" s="71" t="s">
        <v>266</v>
      </c>
      <c r="L55" s="71" t="s">
        <v>273</v>
      </c>
      <c r="M55" s="71" t="s">
        <v>274</v>
      </c>
      <c r="N55" s="71" t="s">
        <v>74</v>
      </c>
      <c r="O55" s="71"/>
      <c r="P55" s="73">
        <v>1</v>
      </c>
      <c r="Q55" s="660"/>
      <c r="R55" s="661"/>
      <c r="S55" s="661"/>
      <c r="T55" s="661"/>
      <c r="U55" s="662"/>
      <c r="V55" s="1014"/>
      <c r="W55" s="1009"/>
      <c r="X55" s="71" t="s">
        <v>269</v>
      </c>
      <c r="Y55" s="95">
        <f>(370/3150)</f>
        <v>0.11746031746031746</v>
      </c>
      <c r="Z55" s="81">
        <f>+P55</f>
        <v>1</v>
      </c>
      <c r="AA55" s="73">
        <f>+Y55/Z55</f>
        <v>0.11746031746031746</v>
      </c>
      <c r="AB55" s="70" t="s">
        <v>275</v>
      </c>
      <c r="AC55" s="660"/>
      <c r="AD55" s="661"/>
      <c r="AE55" s="661"/>
      <c r="AF55" s="662"/>
      <c r="AG55" s="75">
        <v>0.13859682539682538</v>
      </c>
      <c r="AH55" s="82">
        <v>1</v>
      </c>
      <c r="AI55" s="75">
        <v>0.13859682539682538</v>
      </c>
      <c r="AJ55" s="96" t="s">
        <v>276</v>
      </c>
      <c r="AK55" s="663"/>
      <c r="AL55" s="664"/>
      <c r="AM55" s="664"/>
      <c r="AN55" s="665"/>
      <c r="AO55" s="75">
        <f>(537.58/3150)</f>
        <v>0.17066031746031748</v>
      </c>
      <c r="AP55" s="82">
        <f>+P55</f>
        <v>1</v>
      </c>
      <c r="AQ55" s="75">
        <f>+AO55/AP55</f>
        <v>0.17066031746031748</v>
      </c>
      <c r="AR55" s="96" t="s">
        <v>277</v>
      </c>
      <c r="AS55" s="660"/>
      <c r="AT55" s="661"/>
      <c r="AU55" s="661"/>
      <c r="AV55" s="662"/>
    </row>
    <row r="56" spans="1:708" ht="72.75" customHeight="1" x14ac:dyDescent="0.25">
      <c r="A56" s="90" t="s">
        <v>43</v>
      </c>
      <c r="B56" s="90" t="s">
        <v>44</v>
      </c>
      <c r="C56" s="90" t="s">
        <v>45</v>
      </c>
      <c r="D56" s="90" t="s">
        <v>46</v>
      </c>
      <c r="E56" s="90" t="s">
        <v>71</v>
      </c>
      <c r="F56" s="90" t="s">
        <v>48</v>
      </c>
      <c r="G56" s="90" t="s">
        <v>49</v>
      </c>
      <c r="H56" s="90" t="s">
        <v>50</v>
      </c>
      <c r="I56" s="90" t="s">
        <v>51</v>
      </c>
      <c r="J56" s="64" t="s">
        <v>52</v>
      </c>
      <c r="K56" s="64" t="s">
        <v>266</v>
      </c>
      <c r="L56" s="64" t="s">
        <v>278</v>
      </c>
      <c r="M56" s="64" t="s">
        <v>279</v>
      </c>
      <c r="N56" s="64" t="s">
        <v>56</v>
      </c>
      <c r="O56" s="64"/>
      <c r="P56" s="64">
        <v>171</v>
      </c>
      <c r="Q56" s="660"/>
      <c r="R56" s="661"/>
      <c r="S56" s="661"/>
      <c r="T56" s="661"/>
      <c r="U56" s="662"/>
      <c r="V56" s="986"/>
      <c r="W56" s="1009"/>
      <c r="X56" s="64" t="s">
        <v>269</v>
      </c>
      <c r="Y56" s="64">
        <v>0</v>
      </c>
      <c r="Z56" s="64">
        <f>+P56</f>
        <v>171</v>
      </c>
      <c r="AA56" s="65">
        <f>+Y56/Z56</f>
        <v>0</v>
      </c>
      <c r="AB56" s="63" t="s">
        <v>280</v>
      </c>
      <c r="AC56" s="660"/>
      <c r="AD56" s="661"/>
      <c r="AE56" s="661"/>
      <c r="AF56" s="662"/>
      <c r="AG56" s="66">
        <v>1</v>
      </c>
      <c r="AH56" s="66">
        <v>171</v>
      </c>
      <c r="AI56" s="67">
        <v>5.8479532163742687E-3</v>
      </c>
      <c r="AJ56" s="92" t="s">
        <v>281</v>
      </c>
      <c r="AK56" s="663"/>
      <c r="AL56" s="664"/>
      <c r="AM56" s="664"/>
      <c r="AN56" s="665"/>
      <c r="AO56" s="66">
        <v>4</v>
      </c>
      <c r="AP56" s="66">
        <f>+P56</f>
        <v>171</v>
      </c>
      <c r="AQ56" s="67">
        <f>+AO56/AP56</f>
        <v>2.3391812865497075E-2</v>
      </c>
      <c r="AR56" s="92" t="s">
        <v>282</v>
      </c>
      <c r="AS56" s="660"/>
      <c r="AT56" s="661"/>
      <c r="AU56" s="661"/>
      <c r="AV56" s="662"/>
    </row>
    <row r="57" spans="1:708" s="21" customFormat="1" ht="70.5" customHeight="1" x14ac:dyDescent="0.25">
      <c r="A57" s="52"/>
      <c r="B57" s="52"/>
      <c r="C57" s="52"/>
      <c r="D57" s="52"/>
      <c r="E57" s="52"/>
      <c r="F57" s="52"/>
      <c r="G57" s="52"/>
      <c r="H57" s="52"/>
      <c r="I57" s="52"/>
      <c r="J57" s="52"/>
      <c r="K57" s="52"/>
      <c r="L57" s="52"/>
      <c r="M57" s="52"/>
      <c r="N57" s="52"/>
      <c r="O57" s="52"/>
      <c r="P57" s="53"/>
      <c r="Q57" s="52"/>
      <c r="R57" s="52"/>
      <c r="S57" s="53"/>
      <c r="T57" s="52"/>
      <c r="U57" s="52"/>
      <c r="V57" s="89"/>
      <c r="W57" s="1009"/>
      <c r="X57" s="52"/>
      <c r="Y57" s="685" t="s">
        <v>99</v>
      </c>
      <c r="Z57" s="685"/>
      <c r="AA57" s="57">
        <f>AVERAGE(AA54:AA56)</f>
        <v>4.4508191496143303E-2</v>
      </c>
      <c r="AB57" s="97"/>
      <c r="AC57" s="685" t="s">
        <v>100</v>
      </c>
      <c r="AD57" s="685"/>
      <c r="AE57" s="57" t="s">
        <v>283</v>
      </c>
      <c r="AF57" s="58"/>
      <c r="AG57" s="686" t="s">
        <v>99</v>
      </c>
      <c r="AH57" s="686"/>
      <c r="AI57" s="61">
        <v>6.5104975289629691E-2</v>
      </c>
      <c r="AJ57" s="98"/>
      <c r="AK57" s="686" t="s">
        <v>100</v>
      </c>
      <c r="AL57" s="686"/>
      <c r="AM57" s="61" t="s">
        <v>283</v>
      </c>
      <c r="AN57" s="62"/>
      <c r="AO57" s="685" t="s">
        <v>99</v>
      </c>
      <c r="AP57" s="685"/>
      <c r="AQ57" s="57">
        <f>AVERAGE(AQ54:AQ56)</f>
        <v>8.1640759193834664E-2</v>
      </c>
      <c r="AR57" s="97"/>
      <c r="AS57" s="685" t="s">
        <v>100</v>
      </c>
      <c r="AT57" s="685"/>
      <c r="AU57" s="57" t="s">
        <v>283</v>
      </c>
      <c r="AV57" s="58"/>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c r="IN57" s="20"/>
      <c r="IO57" s="20"/>
      <c r="IP57" s="20"/>
      <c r="IQ57" s="20"/>
      <c r="IR57" s="20"/>
      <c r="IS57" s="20"/>
      <c r="IT57" s="20"/>
      <c r="IU57" s="20"/>
      <c r="IV57" s="20"/>
      <c r="IW57" s="20"/>
      <c r="IX57" s="20"/>
      <c r="IY57" s="20"/>
      <c r="IZ57" s="20"/>
      <c r="JA57" s="20"/>
      <c r="JB57" s="20"/>
      <c r="JC57" s="20"/>
      <c r="JD57" s="20"/>
      <c r="JE57" s="20"/>
      <c r="JF57" s="20"/>
      <c r="JG57" s="20"/>
      <c r="JH57" s="20"/>
      <c r="JI57" s="20"/>
      <c r="JJ57" s="20"/>
      <c r="JK57" s="20"/>
      <c r="JL57" s="20"/>
      <c r="JM57" s="20"/>
      <c r="JN57" s="20"/>
      <c r="JO57" s="20"/>
      <c r="JP57" s="20"/>
      <c r="JQ57" s="20"/>
      <c r="JR57" s="20"/>
      <c r="JS57" s="20"/>
      <c r="JT57" s="20"/>
      <c r="JU57" s="20"/>
      <c r="JV57" s="20"/>
      <c r="JW57" s="20"/>
      <c r="JX57" s="20"/>
      <c r="JY57" s="20"/>
      <c r="JZ57" s="20"/>
      <c r="KA57" s="20"/>
      <c r="KB57" s="20"/>
      <c r="KC57" s="20"/>
      <c r="KD57" s="20"/>
      <c r="KE57" s="20"/>
      <c r="KF57" s="20"/>
      <c r="KG57" s="20"/>
      <c r="KH57" s="20"/>
      <c r="KI57" s="20"/>
      <c r="KJ57" s="20"/>
      <c r="KK57" s="20"/>
      <c r="KL57" s="20"/>
      <c r="KM57" s="20"/>
      <c r="KN57" s="20"/>
      <c r="KO57" s="20"/>
      <c r="KP57" s="20"/>
      <c r="KQ57" s="20"/>
      <c r="KR57" s="20"/>
      <c r="KS57" s="20"/>
      <c r="KT57" s="20"/>
      <c r="KU57" s="20"/>
      <c r="KV57" s="20"/>
      <c r="KW57" s="20"/>
      <c r="KX57" s="20"/>
      <c r="KY57" s="20"/>
      <c r="KZ57" s="20"/>
      <c r="LA57" s="20"/>
      <c r="LB57" s="20"/>
      <c r="LC57" s="20"/>
      <c r="LD57" s="20"/>
      <c r="LE57" s="20"/>
      <c r="LF57" s="20"/>
      <c r="LG57" s="20"/>
      <c r="LH57" s="20"/>
      <c r="LI57" s="20"/>
      <c r="LJ57" s="20"/>
      <c r="LK57" s="20"/>
      <c r="LL57" s="20"/>
      <c r="LM57" s="20"/>
      <c r="LN57" s="20"/>
      <c r="LO57" s="20"/>
      <c r="LP57" s="20"/>
      <c r="LQ57" s="20"/>
      <c r="LR57" s="20"/>
      <c r="LS57" s="20"/>
      <c r="LT57" s="20"/>
      <c r="LU57" s="20"/>
      <c r="LV57" s="20"/>
      <c r="LW57" s="20"/>
      <c r="LX57" s="20"/>
      <c r="LY57" s="20"/>
      <c r="LZ57" s="20"/>
      <c r="MA57" s="20"/>
      <c r="MB57" s="20"/>
      <c r="MC57" s="20"/>
      <c r="MD57" s="20"/>
      <c r="ME57" s="20"/>
      <c r="MF57" s="20"/>
      <c r="MG57" s="20"/>
      <c r="MH57" s="20"/>
      <c r="MI57" s="20"/>
      <c r="MJ57" s="20"/>
      <c r="MK57" s="20"/>
      <c r="ML57" s="20"/>
      <c r="MM57" s="20"/>
      <c r="MN57" s="20"/>
      <c r="MO57" s="20"/>
      <c r="MP57" s="20"/>
      <c r="MQ57" s="20"/>
      <c r="MR57" s="20"/>
      <c r="MS57" s="20"/>
      <c r="MT57" s="20"/>
      <c r="MU57" s="20"/>
      <c r="MV57" s="20"/>
      <c r="MW57" s="20"/>
      <c r="MX57" s="20"/>
      <c r="MY57" s="20"/>
      <c r="MZ57" s="20"/>
      <c r="NA57" s="20"/>
      <c r="NB57" s="20"/>
      <c r="NC57" s="20"/>
      <c r="ND57" s="20"/>
      <c r="NE57" s="20"/>
      <c r="NF57" s="20"/>
      <c r="NG57" s="20"/>
      <c r="NH57" s="20"/>
      <c r="NI57" s="20"/>
      <c r="NJ57" s="20"/>
      <c r="NK57" s="20"/>
      <c r="NL57" s="20"/>
      <c r="NM57" s="20"/>
      <c r="NN57" s="20"/>
      <c r="NO57" s="20"/>
      <c r="NP57" s="20"/>
      <c r="NQ57" s="20"/>
      <c r="NR57" s="20"/>
      <c r="NS57" s="20"/>
      <c r="NT57" s="20"/>
      <c r="NU57" s="20"/>
      <c r="NV57" s="20"/>
      <c r="NW57" s="20"/>
      <c r="NX57" s="20"/>
      <c r="NY57" s="20"/>
      <c r="NZ57" s="20"/>
      <c r="OA57" s="20"/>
      <c r="OB57" s="20"/>
      <c r="OC57" s="20"/>
      <c r="OD57" s="20"/>
      <c r="OE57" s="20"/>
      <c r="OF57" s="20"/>
      <c r="OG57" s="20"/>
      <c r="OH57" s="20"/>
      <c r="OI57" s="20"/>
      <c r="OJ57" s="20"/>
      <c r="OK57" s="20"/>
      <c r="OL57" s="20"/>
      <c r="OM57" s="20"/>
      <c r="ON57" s="20"/>
      <c r="OO57" s="20"/>
      <c r="OP57" s="20"/>
      <c r="OQ57" s="20"/>
      <c r="OR57" s="20"/>
      <c r="OS57" s="20"/>
      <c r="OT57" s="20"/>
      <c r="OU57" s="20"/>
      <c r="OV57" s="20"/>
      <c r="OW57" s="20"/>
      <c r="OX57" s="20"/>
      <c r="OY57" s="20"/>
      <c r="OZ57" s="20"/>
      <c r="PA57" s="20"/>
      <c r="PB57" s="20"/>
      <c r="PC57" s="20"/>
      <c r="PD57" s="20"/>
      <c r="PE57" s="20"/>
      <c r="PF57" s="20"/>
      <c r="PG57" s="20"/>
      <c r="PH57" s="20"/>
      <c r="PI57" s="20"/>
      <c r="PJ57" s="20"/>
      <c r="PK57" s="20"/>
      <c r="PL57" s="20"/>
      <c r="PM57" s="20"/>
      <c r="PN57" s="20"/>
      <c r="PO57" s="20"/>
      <c r="PP57" s="20"/>
      <c r="PQ57" s="20"/>
      <c r="PR57" s="20"/>
      <c r="PS57" s="20"/>
      <c r="PT57" s="20"/>
      <c r="PU57" s="20"/>
      <c r="PV57" s="20"/>
      <c r="PW57" s="20"/>
      <c r="PX57" s="20"/>
      <c r="PY57" s="20"/>
      <c r="PZ57" s="20"/>
      <c r="QA57" s="20"/>
      <c r="QB57" s="20"/>
      <c r="QC57" s="20"/>
      <c r="QD57" s="20"/>
      <c r="QE57" s="20"/>
      <c r="QF57" s="20"/>
      <c r="QG57" s="20"/>
      <c r="QH57" s="20"/>
      <c r="QI57" s="20"/>
      <c r="QJ57" s="20"/>
      <c r="QK57" s="20"/>
      <c r="QL57" s="20"/>
      <c r="QM57" s="20"/>
      <c r="QN57" s="20"/>
      <c r="QO57" s="20"/>
      <c r="QP57" s="20"/>
      <c r="QQ57" s="20"/>
      <c r="QR57" s="20"/>
      <c r="QS57" s="20"/>
      <c r="QT57" s="20"/>
      <c r="QU57" s="20"/>
      <c r="QV57" s="20"/>
      <c r="QW57" s="20"/>
      <c r="QX57" s="20"/>
      <c r="QY57" s="20"/>
      <c r="QZ57" s="20"/>
      <c r="RA57" s="20"/>
      <c r="RB57" s="20"/>
      <c r="RC57" s="20"/>
      <c r="RD57" s="20"/>
      <c r="RE57" s="20"/>
      <c r="RF57" s="20"/>
      <c r="RG57" s="20"/>
      <c r="RH57" s="20"/>
      <c r="RI57" s="20"/>
      <c r="RJ57" s="20"/>
      <c r="RK57" s="20"/>
      <c r="RL57" s="20"/>
      <c r="RM57" s="20"/>
      <c r="RN57" s="20"/>
      <c r="RO57" s="20"/>
      <c r="RP57" s="20"/>
      <c r="RQ57" s="20"/>
      <c r="RR57" s="20"/>
      <c r="RS57" s="20"/>
      <c r="RT57" s="20"/>
      <c r="RU57" s="20"/>
      <c r="RV57" s="20"/>
      <c r="RW57" s="20"/>
      <c r="RX57" s="20"/>
      <c r="RY57" s="20"/>
      <c r="RZ57" s="20"/>
      <c r="SA57" s="20"/>
      <c r="SB57" s="20"/>
      <c r="SC57" s="20"/>
      <c r="SD57" s="20"/>
      <c r="SE57" s="20"/>
      <c r="SF57" s="20"/>
      <c r="SG57" s="20"/>
      <c r="SH57" s="20"/>
      <c r="SI57" s="20"/>
      <c r="SJ57" s="20"/>
      <c r="SK57" s="20"/>
      <c r="SL57" s="20"/>
      <c r="SM57" s="20"/>
      <c r="SN57" s="20"/>
      <c r="SO57" s="20"/>
      <c r="SP57" s="20"/>
      <c r="SQ57" s="20"/>
      <c r="SR57" s="20"/>
      <c r="SS57" s="20"/>
      <c r="ST57" s="20"/>
      <c r="SU57" s="20"/>
      <c r="SV57" s="20"/>
      <c r="SW57" s="20"/>
      <c r="SX57" s="20"/>
      <c r="SY57" s="20"/>
      <c r="SZ57" s="20"/>
      <c r="TA57" s="20"/>
      <c r="TB57" s="20"/>
      <c r="TC57" s="20"/>
      <c r="TD57" s="20"/>
      <c r="TE57" s="20"/>
      <c r="TF57" s="20"/>
      <c r="TG57" s="20"/>
      <c r="TH57" s="20"/>
      <c r="TI57" s="20"/>
      <c r="TJ57" s="20"/>
      <c r="TK57" s="20"/>
      <c r="TL57" s="20"/>
      <c r="TM57" s="20"/>
      <c r="TN57" s="20"/>
      <c r="TO57" s="20"/>
      <c r="TP57" s="20"/>
      <c r="TQ57" s="20"/>
      <c r="TR57" s="20"/>
      <c r="TS57" s="20"/>
      <c r="TT57" s="20"/>
      <c r="TU57" s="20"/>
      <c r="TV57" s="20"/>
      <c r="TW57" s="20"/>
      <c r="TX57" s="20"/>
      <c r="TY57" s="20"/>
      <c r="TZ57" s="20"/>
      <c r="UA57" s="20"/>
      <c r="UB57" s="20"/>
      <c r="UC57" s="20"/>
      <c r="UD57" s="20"/>
      <c r="UE57" s="20"/>
      <c r="UF57" s="20"/>
      <c r="UG57" s="20"/>
      <c r="UH57" s="20"/>
      <c r="UI57" s="20"/>
      <c r="UJ57" s="20"/>
      <c r="UK57" s="20"/>
      <c r="UL57" s="20"/>
      <c r="UM57" s="20"/>
      <c r="UN57" s="20"/>
      <c r="UO57" s="20"/>
      <c r="UP57" s="20"/>
      <c r="UQ57" s="20"/>
      <c r="UR57" s="20"/>
      <c r="US57" s="20"/>
      <c r="UT57" s="20"/>
      <c r="UU57" s="20"/>
      <c r="UV57" s="20"/>
      <c r="UW57" s="20"/>
      <c r="UX57" s="20"/>
      <c r="UY57" s="20"/>
      <c r="UZ57" s="20"/>
      <c r="VA57" s="20"/>
      <c r="VB57" s="20"/>
      <c r="VC57" s="20"/>
      <c r="VD57" s="20"/>
      <c r="VE57" s="20"/>
      <c r="VF57" s="20"/>
      <c r="VG57" s="20"/>
      <c r="VH57" s="20"/>
      <c r="VI57" s="20"/>
      <c r="VJ57" s="20"/>
      <c r="VK57" s="20"/>
      <c r="VL57" s="20"/>
      <c r="VM57" s="20"/>
      <c r="VN57" s="20"/>
      <c r="VO57" s="20"/>
      <c r="VP57" s="20"/>
      <c r="VQ57" s="20"/>
      <c r="VR57" s="20"/>
      <c r="VS57" s="20"/>
      <c r="VT57" s="20"/>
      <c r="VU57" s="20"/>
      <c r="VV57" s="20"/>
      <c r="VW57" s="20"/>
      <c r="VX57" s="20"/>
      <c r="VY57" s="20"/>
      <c r="VZ57" s="20"/>
      <c r="WA57" s="20"/>
      <c r="WB57" s="20"/>
      <c r="WC57" s="20"/>
      <c r="WD57" s="20"/>
      <c r="WE57" s="20"/>
      <c r="WF57" s="20"/>
      <c r="WG57" s="20"/>
      <c r="WH57" s="20"/>
      <c r="WI57" s="20"/>
      <c r="WJ57" s="20"/>
      <c r="WK57" s="20"/>
      <c r="WL57" s="20"/>
      <c r="WM57" s="20"/>
      <c r="WN57" s="20"/>
      <c r="WO57" s="20"/>
      <c r="WP57" s="20"/>
      <c r="WQ57" s="20"/>
      <c r="WR57" s="20"/>
      <c r="WS57" s="20"/>
      <c r="WT57" s="20"/>
      <c r="WU57" s="20"/>
      <c r="WV57" s="20"/>
      <c r="WW57" s="20"/>
      <c r="WX57" s="20"/>
      <c r="WY57" s="20"/>
      <c r="WZ57" s="20"/>
      <c r="XA57" s="20"/>
      <c r="XB57" s="20"/>
      <c r="XC57" s="20"/>
      <c r="XD57" s="20"/>
      <c r="XE57" s="20"/>
      <c r="XF57" s="20"/>
      <c r="XG57" s="20"/>
      <c r="XH57" s="20"/>
      <c r="XI57" s="20"/>
      <c r="XJ57" s="20"/>
      <c r="XK57" s="20"/>
      <c r="XL57" s="20"/>
      <c r="XM57" s="20"/>
      <c r="XN57" s="20"/>
      <c r="XO57" s="20"/>
      <c r="XP57" s="20"/>
      <c r="XQ57" s="20"/>
      <c r="XR57" s="20"/>
      <c r="XS57" s="20"/>
      <c r="XT57" s="20"/>
      <c r="XU57" s="20"/>
      <c r="XV57" s="20"/>
      <c r="XW57" s="20"/>
      <c r="XX57" s="20"/>
      <c r="XY57" s="20"/>
      <c r="XZ57" s="20"/>
      <c r="YA57" s="20"/>
      <c r="YB57" s="20"/>
      <c r="YC57" s="20"/>
      <c r="YD57" s="20"/>
      <c r="YE57" s="20"/>
      <c r="YF57" s="20"/>
      <c r="YG57" s="20"/>
      <c r="YH57" s="20"/>
      <c r="YI57" s="20"/>
      <c r="YJ57" s="20"/>
      <c r="YK57" s="20"/>
      <c r="YL57" s="20"/>
      <c r="YM57" s="20"/>
      <c r="YN57" s="20"/>
      <c r="YO57" s="20"/>
      <c r="YP57" s="20"/>
      <c r="YQ57" s="20"/>
      <c r="YR57" s="20"/>
      <c r="YS57" s="20"/>
      <c r="YT57" s="20"/>
      <c r="YU57" s="20"/>
      <c r="YV57" s="20"/>
      <c r="YW57" s="20"/>
      <c r="YX57" s="20"/>
      <c r="YY57" s="20"/>
      <c r="YZ57" s="20"/>
      <c r="ZA57" s="20"/>
      <c r="ZB57" s="20"/>
      <c r="ZC57" s="20"/>
      <c r="ZD57" s="20"/>
      <c r="ZE57" s="20"/>
      <c r="ZF57" s="20"/>
      <c r="ZG57" s="20"/>
      <c r="ZH57" s="20"/>
      <c r="ZI57" s="20"/>
      <c r="ZJ57" s="20"/>
      <c r="ZK57" s="20"/>
      <c r="ZL57" s="20"/>
      <c r="ZM57" s="20"/>
      <c r="ZN57" s="20"/>
      <c r="ZO57" s="20"/>
      <c r="ZP57" s="20"/>
      <c r="ZQ57" s="20"/>
      <c r="ZR57" s="20"/>
      <c r="ZS57" s="20"/>
      <c r="ZT57" s="20"/>
      <c r="ZU57" s="20"/>
      <c r="ZV57" s="20"/>
      <c r="ZW57" s="20"/>
      <c r="ZX57" s="20"/>
      <c r="ZY57" s="20"/>
      <c r="ZZ57" s="20"/>
      <c r="AAA57" s="20"/>
      <c r="AAB57" s="20"/>
      <c r="AAC57" s="20"/>
      <c r="AAD57" s="20"/>
      <c r="AAE57" s="20"/>
      <c r="AAF57" s="20"/>
    </row>
    <row r="58" spans="1:708" ht="67.5" customHeight="1" x14ac:dyDescent="0.25">
      <c r="A58" s="93" t="s">
        <v>43</v>
      </c>
      <c r="B58" s="93" t="s">
        <v>44</v>
      </c>
      <c r="C58" s="93" t="s">
        <v>45</v>
      </c>
      <c r="D58" s="93" t="s">
        <v>46</v>
      </c>
      <c r="E58" s="93" t="s">
        <v>71</v>
      </c>
      <c r="F58" s="93" t="s">
        <v>48</v>
      </c>
      <c r="G58" s="93" t="s">
        <v>49</v>
      </c>
      <c r="H58" s="93" t="s">
        <v>50</v>
      </c>
      <c r="I58" s="93" t="s">
        <v>78</v>
      </c>
      <c r="J58" s="93" t="s">
        <v>52</v>
      </c>
      <c r="K58" s="93" t="s">
        <v>284</v>
      </c>
      <c r="L58" s="93" t="s">
        <v>285</v>
      </c>
      <c r="M58" s="93" t="s">
        <v>286</v>
      </c>
      <c r="N58" s="93" t="s">
        <v>56</v>
      </c>
      <c r="O58" s="93"/>
      <c r="P58" s="93">
        <v>100</v>
      </c>
      <c r="Q58" s="93" t="s">
        <v>287</v>
      </c>
      <c r="R58" s="93" t="s">
        <v>288</v>
      </c>
      <c r="S58" s="93" t="s">
        <v>56</v>
      </c>
      <c r="T58" s="93"/>
      <c r="U58" s="93">
        <v>359</v>
      </c>
      <c r="V58" s="720">
        <v>847458571</v>
      </c>
      <c r="W58" s="1009"/>
      <c r="X58" s="93" t="s">
        <v>289</v>
      </c>
      <c r="Y58" s="93">
        <v>0</v>
      </c>
      <c r="Z58" s="93">
        <f>+P58</f>
        <v>100</v>
      </c>
      <c r="AA58" s="93">
        <f>Y58/Z58</f>
        <v>0</v>
      </c>
      <c r="AB58" s="99" t="s">
        <v>290</v>
      </c>
      <c r="AC58" s="93">
        <v>0</v>
      </c>
      <c r="AD58" s="93">
        <f>+U58</f>
        <v>359</v>
      </c>
      <c r="AE58" s="100">
        <f>+AC58/AD58</f>
        <v>0</v>
      </c>
      <c r="AF58" s="93" t="s">
        <v>291</v>
      </c>
      <c r="AG58" s="101">
        <v>0</v>
      </c>
      <c r="AH58" s="101">
        <v>100</v>
      </c>
      <c r="AI58" s="102">
        <v>0</v>
      </c>
      <c r="AJ58" s="103" t="s">
        <v>292</v>
      </c>
      <c r="AK58" s="101">
        <v>17</v>
      </c>
      <c r="AL58" s="101">
        <v>359</v>
      </c>
      <c r="AM58" s="102">
        <v>4.7353760445682451E-2</v>
      </c>
      <c r="AN58" s="101" t="s">
        <v>293</v>
      </c>
      <c r="AO58" s="101">
        <v>0</v>
      </c>
      <c r="AP58" s="101">
        <f>+P58</f>
        <v>100</v>
      </c>
      <c r="AQ58" s="102">
        <f>AO58/AP58</f>
        <v>0</v>
      </c>
      <c r="AR58" s="103" t="s">
        <v>294</v>
      </c>
      <c r="AS58" s="101">
        <v>76</v>
      </c>
      <c r="AT58" s="101">
        <f>+U58</f>
        <v>359</v>
      </c>
      <c r="AU58" s="102">
        <f>+AS58/AT58</f>
        <v>0.2116991643454039</v>
      </c>
      <c r="AV58" s="101" t="s">
        <v>295</v>
      </c>
    </row>
    <row r="59" spans="1:708" ht="69" customHeight="1" x14ac:dyDescent="0.25">
      <c r="A59" s="90" t="s">
        <v>43</v>
      </c>
      <c r="B59" s="90" t="s">
        <v>44</v>
      </c>
      <c r="C59" s="90" t="s">
        <v>45</v>
      </c>
      <c r="D59" s="90" t="s">
        <v>46</v>
      </c>
      <c r="E59" s="90" t="s">
        <v>71</v>
      </c>
      <c r="F59" s="90" t="s">
        <v>48</v>
      </c>
      <c r="G59" s="90" t="s">
        <v>49</v>
      </c>
      <c r="H59" s="90" t="s">
        <v>50</v>
      </c>
      <c r="I59" s="90" t="s">
        <v>78</v>
      </c>
      <c r="J59" s="90" t="s">
        <v>52</v>
      </c>
      <c r="K59" s="90" t="s">
        <v>284</v>
      </c>
      <c r="L59" s="90" t="s">
        <v>296</v>
      </c>
      <c r="M59" s="90" t="s">
        <v>297</v>
      </c>
      <c r="N59" s="90" t="s">
        <v>74</v>
      </c>
      <c r="O59" s="90"/>
      <c r="P59" s="104">
        <v>1</v>
      </c>
      <c r="Q59" s="660"/>
      <c r="R59" s="661"/>
      <c r="S59" s="661"/>
      <c r="T59" s="661"/>
      <c r="U59" s="662"/>
      <c r="V59" s="1009"/>
      <c r="W59" s="1009"/>
      <c r="X59" s="90" t="s">
        <v>289</v>
      </c>
      <c r="Y59" s="106">
        <f>(2/27)</f>
        <v>7.407407407407407E-2</v>
      </c>
      <c r="Z59" s="106">
        <f>+P59</f>
        <v>1</v>
      </c>
      <c r="AA59" s="107">
        <f>Y59/Z59</f>
        <v>7.407407407407407E-2</v>
      </c>
      <c r="AB59" s="108" t="s">
        <v>298</v>
      </c>
      <c r="AC59" s="675"/>
      <c r="AD59" s="676"/>
      <c r="AE59" s="676"/>
      <c r="AF59" s="676"/>
      <c r="AG59" s="109">
        <v>0.61111111111111116</v>
      </c>
      <c r="AH59" s="109">
        <v>1</v>
      </c>
      <c r="AI59" s="110">
        <v>0.61111111111111116</v>
      </c>
      <c r="AJ59" s="111" t="s">
        <v>299</v>
      </c>
      <c r="AK59" s="677"/>
      <c r="AL59" s="678"/>
      <c r="AM59" s="678"/>
      <c r="AN59" s="678"/>
      <c r="AO59" s="109">
        <f>(16/23)</f>
        <v>0.69565217391304346</v>
      </c>
      <c r="AP59" s="109">
        <f>+P59</f>
        <v>1</v>
      </c>
      <c r="AQ59" s="110">
        <f>AO59/AP59</f>
        <v>0.69565217391304346</v>
      </c>
      <c r="AR59" s="111" t="s">
        <v>300</v>
      </c>
      <c r="AS59" s="677"/>
      <c r="AT59" s="678"/>
      <c r="AU59" s="678"/>
      <c r="AV59" s="678"/>
    </row>
    <row r="60" spans="1:708" ht="78" customHeight="1" x14ac:dyDescent="0.25">
      <c r="A60" s="93" t="s">
        <v>43</v>
      </c>
      <c r="B60" s="93" t="s">
        <v>44</v>
      </c>
      <c r="C60" s="93" t="s">
        <v>45</v>
      </c>
      <c r="D60" s="93" t="s">
        <v>46</v>
      </c>
      <c r="E60" s="93" t="s">
        <v>71</v>
      </c>
      <c r="F60" s="93" t="s">
        <v>48</v>
      </c>
      <c r="G60" s="93" t="s">
        <v>49</v>
      </c>
      <c r="H60" s="93" t="s">
        <v>50</v>
      </c>
      <c r="I60" s="93" t="s">
        <v>78</v>
      </c>
      <c r="J60" s="93" t="s">
        <v>52</v>
      </c>
      <c r="K60" s="93" t="s">
        <v>284</v>
      </c>
      <c r="L60" s="93" t="s">
        <v>301</v>
      </c>
      <c r="M60" s="93" t="s">
        <v>302</v>
      </c>
      <c r="N60" s="93" t="s">
        <v>56</v>
      </c>
      <c r="O60" s="93">
        <v>14</v>
      </c>
      <c r="P60" s="93">
        <v>14</v>
      </c>
      <c r="Q60" s="660"/>
      <c r="R60" s="661"/>
      <c r="S60" s="661"/>
      <c r="T60" s="661"/>
      <c r="U60" s="662"/>
      <c r="V60" s="1009"/>
      <c r="W60" s="1009"/>
      <c r="X60" s="93" t="s">
        <v>289</v>
      </c>
      <c r="Y60" s="93">
        <v>0</v>
      </c>
      <c r="Z60" s="93">
        <f>+P60</f>
        <v>14</v>
      </c>
      <c r="AA60" s="93">
        <f>Y60/Z60</f>
        <v>0</v>
      </c>
      <c r="AB60" s="99" t="s">
        <v>303</v>
      </c>
      <c r="AC60" s="679"/>
      <c r="AD60" s="680"/>
      <c r="AE60" s="680"/>
      <c r="AF60" s="681"/>
      <c r="AG60" s="101">
        <v>0</v>
      </c>
      <c r="AH60" s="101">
        <v>14</v>
      </c>
      <c r="AI60" s="102">
        <v>0</v>
      </c>
      <c r="AJ60" s="103" t="s">
        <v>304</v>
      </c>
      <c r="AK60" s="682"/>
      <c r="AL60" s="683"/>
      <c r="AM60" s="683"/>
      <c r="AN60" s="684"/>
      <c r="AO60" s="101">
        <v>0</v>
      </c>
      <c r="AP60" s="101">
        <f>+P60</f>
        <v>14</v>
      </c>
      <c r="AQ60" s="102">
        <f>AO60/AP60</f>
        <v>0</v>
      </c>
      <c r="AR60" s="103" t="s">
        <v>305</v>
      </c>
      <c r="AS60" s="682"/>
      <c r="AT60" s="683"/>
      <c r="AU60" s="683"/>
      <c r="AV60" s="684"/>
    </row>
    <row r="61" spans="1:708" s="21" customFormat="1" ht="70.5" customHeight="1" x14ac:dyDescent="0.25">
      <c r="A61" s="52"/>
      <c r="B61" s="52"/>
      <c r="C61" s="52"/>
      <c r="D61" s="52"/>
      <c r="E61" s="52"/>
      <c r="F61" s="52"/>
      <c r="G61" s="52"/>
      <c r="H61" s="52"/>
      <c r="I61" s="52"/>
      <c r="J61" s="52"/>
      <c r="K61" s="52"/>
      <c r="L61" s="52"/>
      <c r="M61" s="52"/>
      <c r="N61" s="52"/>
      <c r="O61" s="52"/>
      <c r="P61" s="53"/>
      <c r="Q61" s="52"/>
      <c r="R61" s="52"/>
      <c r="S61" s="53"/>
      <c r="T61" s="52"/>
      <c r="U61" s="52"/>
      <c r="V61" s="89"/>
      <c r="W61" s="1009"/>
      <c r="X61" s="52"/>
      <c r="Y61" s="657" t="s">
        <v>99</v>
      </c>
      <c r="Z61" s="657"/>
      <c r="AA61" s="55">
        <f>AVERAGE(AA58:AA60)</f>
        <v>2.4691358024691357E-2</v>
      </c>
      <c r="AB61" s="56"/>
      <c r="AC61" s="657" t="s">
        <v>100</v>
      </c>
      <c r="AD61" s="657"/>
      <c r="AE61" s="55">
        <f>AVERAGE(AE58)</f>
        <v>0</v>
      </c>
      <c r="AF61" s="58"/>
      <c r="AG61" s="658" t="s">
        <v>99</v>
      </c>
      <c r="AH61" s="658"/>
      <c r="AI61" s="59">
        <v>0.20370370370370372</v>
      </c>
      <c r="AJ61" s="60"/>
      <c r="AK61" s="658" t="s">
        <v>100</v>
      </c>
      <c r="AL61" s="658"/>
      <c r="AM61" s="59">
        <v>4.7353760445682451E-2</v>
      </c>
      <c r="AN61" s="62"/>
      <c r="AO61" s="657" t="s">
        <v>99</v>
      </c>
      <c r="AP61" s="657"/>
      <c r="AQ61" s="55">
        <f>AVERAGE(AQ58:AQ60)</f>
        <v>0.2318840579710145</v>
      </c>
      <c r="AR61" s="56"/>
      <c r="AS61" s="657" t="s">
        <v>100</v>
      </c>
      <c r="AT61" s="657"/>
      <c r="AU61" s="55">
        <f>AVERAGE(AU58)</f>
        <v>0.2116991643454039</v>
      </c>
      <c r="AV61" s="58"/>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c r="CN61" s="20"/>
      <c r="CO61" s="20"/>
      <c r="CP61" s="20"/>
      <c r="CQ61" s="20"/>
      <c r="CR61" s="20"/>
      <c r="CS61" s="20"/>
      <c r="CT61" s="20"/>
      <c r="CU61" s="20"/>
      <c r="CV61" s="20"/>
      <c r="CW61" s="20"/>
      <c r="CX61" s="20"/>
      <c r="CY61" s="20"/>
      <c r="CZ61" s="20"/>
      <c r="DA61" s="20"/>
      <c r="DB61" s="20"/>
      <c r="DC61" s="20"/>
      <c r="DD61" s="20"/>
      <c r="DE61" s="20"/>
      <c r="DF61" s="20"/>
      <c r="DG61" s="20"/>
      <c r="DH61" s="20"/>
      <c r="DI61" s="20"/>
      <c r="DJ61" s="20"/>
      <c r="DK61" s="20"/>
      <c r="DL61" s="20"/>
      <c r="DM61" s="20"/>
      <c r="DN61" s="20"/>
      <c r="DO61" s="20"/>
      <c r="DP61" s="20"/>
      <c r="DQ61" s="20"/>
      <c r="DR61" s="20"/>
      <c r="DS61" s="20"/>
      <c r="DT61" s="20"/>
      <c r="DU61" s="20"/>
      <c r="DV61" s="20"/>
      <c r="DW61" s="20"/>
      <c r="DX61" s="20"/>
      <c r="DY61" s="20"/>
      <c r="DZ61" s="20"/>
      <c r="EA61" s="20"/>
      <c r="EB61" s="20"/>
      <c r="EC61" s="20"/>
      <c r="ED61" s="20"/>
      <c r="EE61" s="20"/>
      <c r="EF61" s="20"/>
      <c r="EG61" s="20"/>
      <c r="EH61" s="20"/>
      <c r="EI61" s="20"/>
      <c r="EJ61" s="20"/>
      <c r="EK61" s="20"/>
      <c r="EL61" s="20"/>
      <c r="EM61" s="20"/>
      <c r="EN61" s="20"/>
      <c r="EO61" s="20"/>
      <c r="EP61" s="20"/>
      <c r="EQ61" s="20"/>
      <c r="ER61" s="20"/>
      <c r="ES61" s="20"/>
      <c r="ET61" s="20"/>
      <c r="EU61" s="20"/>
      <c r="EV61" s="20"/>
      <c r="EW61" s="20"/>
      <c r="EX61" s="20"/>
      <c r="EY61" s="20"/>
      <c r="EZ61" s="20"/>
      <c r="FA61" s="20"/>
      <c r="FB61" s="20"/>
      <c r="FC61" s="20"/>
      <c r="FD61" s="20"/>
      <c r="FE61" s="20"/>
      <c r="FF61" s="20"/>
      <c r="FG61" s="20"/>
      <c r="FH61" s="20"/>
      <c r="FI61" s="20"/>
      <c r="FJ61" s="20"/>
      <c r="FK61" s="20"/>
      <c r="FL61" s="20"/>
      <c r="FM61" s="20"/>
      <c r="FN61" s="20"/>
      <c r="FO61" s="20"/>
      <c r="FP61" s="20"/>
      <c r="FQ61" s="20"/>
      <c r="FR61" s="20"/>
      <c r="FS61" s="20"/>
      <c r="FT61" s="20"/>
      <c r="FU61" s="20"/>
      <c r="FV61" s="20"/>
      <c r="FW61" s="20"/>
      <c r="FX61" s="20"/>
      <c r="FY61" s="20"/>
      <c r="FZ61" s="20"/>
      <c r="GA61" s="20"/>
      <c r="GB61" s="20"/>
      <c r="GC61" s="20"/>
      <c r="GD61" s="20"/>
      <c r="GE61" s="20"/>
      <c r="GF61" s="20"/>
      <c r="GG61" s="20"/>
      <c r="GH61" s="20"/>
      <c r="GI61" s="20"/>
      <c r="GJ61" s="20"/>
      <c r="GK61" s="20"/>
      <c r="GL61" s="20"/>
      <c r="GM61" s="20"/>
      <c r="GN61" s="20"/>
      <c r="GO61" s="20"/>
      <c r="GP61" s="20"/>
      <c r="GQ61" s="20"/>
      <c r="GR61" s="20"/>
      <c r="GS61" s="20"/>
      <c r="GT61" s="20"/>
      <c r="GU61" s="20"/>
      <c r="GV61" s="20"/>
      <c r="GW61" s="20"/>
      <c r="GX61" s="20"/>
      <c r="GY61" s="20"/>
      <c r="GZ61" s="20"/>
      <c r="HA61" s="20"/>
      <c r="HB61" s="20"/>
      <c r="HC61" s="20"/>
      <c r="HD61" s="20"/>
      <c r="HE61" s="20"/>
      <c r="HF61" s="20"/>
      <c r="HG61" s="20"/>
      <c r="HH61" s="20"/>
      <c r="HI61" s="20"/>
      <c r="HJ61" s="20"/>
      <c r="HK61" s="20"/>
      <c r="HL61" s="20"/>
      <c r="HM61" s="20"/>
      <c r="HN61" s="20"/>
      <c r="HO61" s="20"/>
      <c r="HP61" s="20"/>
      <c r="HQ61" s="20"/>
      <c r="HR61" s="20"/>
      <c r="HS61" s="20"/>
      <c r="HT61" s="20"/>
      <c r="HU61" s="20"/>
      <c r="HV61" s="20"/>
      <c r="HW61" s="20"/>
      <c r="HX61" s="20"/>
      <c r="HY61" s="20"/>
      <c r="HZ61" s="20"/>
      <c r="IA61" s="20"/>
      <c r="IB61" s="20"/>
      <c r="IC61" s="20"/>
      <c r="ID61" s="20"/>
      <c r="IE61" s="20"/>
      <c r="IF61" s="20"/>
      <c r="IG61" s="20"/>
      <c r="IH61" s="20"/>
      <c r="II61" s="20"/>
      <c r="IJ61" s="20"/>
      <c r="IK61" s="20"/>
      <c r="IL61" s="20"/>
      <c r="IM61" s="20"/>
      <c r="IN61" s="20"/>
      <c r="IO61" s="20"/>
      <c r="IP61" s="20"/>
      <c r="IQ61" s="20"/>
      <c r="IR61" s="20"/>
      <c r="IS61" s="20"/>
      <c r="IT61" s="20"/>
      <c r="IU61" s="20"/>
      <c r="IV61" s="20"/>
      <c r="IW61" s="20"/>
      <c r="IX61" s="20"/>
      <c r="IY61" s="20"/>
      <c r="IZ61" s="20"/>
      <c r="JA61" s="20"/>
      <c r="JB61" s="20"/>
      <c r="JC61" s="20"/>
      <c r="JD61" s="20"/>
      <c r="JE61" s="20"/>
      <c r="JF61" s="20"/>
      <c r="JG61" s="20"/>
      <c r="JH61" s="20"/>
      <c r="JI61" s="20"/>
      <c r="JJ61" s="20"/>
      <c r="JK61" s="20"/>
      <c r="JL61" s="20"/>
      <c r="JM61" s="20"/>
      <c r="JN61" s="20"/>
      <c r="JO61" s="20"/>
      <c r="JP61" s="20"/>
      <c r="JQ61" s="20"/>
      <c r="JR61" s="20"/>
      <c r="JS61" s="20"/>
      <c r="JT61" s="20"/>
      <c r="JU61" s="20"/>
      <c r="JV61" s="20"/>
      <c r="JW61" s="20"/>
      <c r="JX61" s="20"/>
      <c r="JY61" s="20"/>
      <c r="JZ61" s="20"/>
      <c r="KA61" s="20"/>
      <c r="KB61" s="20"/>
      <c r="KC61" s="20"/>
      <c r="KD61" s="20"/>
      <c r="KE61" s="20"/>
      <c r="KF61" s="20"/>
      <c r="KG61" s="20"/>
      <c r="KH61" s="20"/>
      <c r="KI61" s="20"/>
      <c r="KJ61" s="20"/>
      <c r="KK61" s="20"/>
      <c r="KL61" s="20"/>
      <c r="KM61" s="20"/>
      <c r="KN61" s="20"/>
      <c r="KO61" s="20"/>
      <c r="KP61" s="20"/>
      <c r="KQ61" s="20"/>
      <c r="KR61" s="20"/>
      <c r="KS61" s="20"/>
      <c r="KT61" s="20"/>
      <c r="KU61" s="20"/>
      <c r="KV61" s="20"/>
      <c r="KW61" s="20"/>
      <c r="KX61" s="20"/>
      <c r="KY61" s="20"/>
      <c r="KZ61" s="20"/>
      <c r="LA61" s="20"/>
      <c r="LB61" s="20"/>
      <c r="LC61" s="20"/>
      <c r="LD61" s="20"/>
      <c r="LE61" s="20"/>
      <c r="LF61" s="20"/>
      <c r="LG61" s="20"/>
      <c r="LH61" s="20"/>
      <c r="LI61" s="20"/>
      <c r="LJ61" s="20"/>
      <c r="LK61" s="20"/>
      <c r="LL61" s="20"/>
      <c r="LM61" s="20"/>
      <c r="LN61" s="20"/>
      <c r="LO61" s="20"/>
      <c r="LP61" s="20"/>
      <c r="LQ61" s="20"/>
      <c r="LR61" s="20"/>
      <c r="LS61" s="20"/>
      <c r="LT61" s="20"/>
      <c r="LU61" s="20"/>
      <c r="LV61" s="20"/>
      <c r="LW61" s="20"/>
      <c r="LX61" s="20"/>
      <c r="LY61" s="20"/>
      <c r="LZ61" s="20"/>
      <c r="MA61" s="20"/>
      <c r="MB61" s="20"/>
      <c r="MC61" s="20"/>
      <c r="MD61" s="20"/>
      <c r="ME61" s="20"/>
      <c r="MF61" s="20"/>
      <c r="MG61" s="20"/>
      <c r="MH61" s="20"/>
      <c r="MI61" s="20"/>
      <c r="MJ61" s="20"/>
      <c r="MK61" s="20"/>
      <c r="ML61" s="20"/>
      <c r="MM61" s="20"/>
      <c r="MN61" s="20"/>
      <c r="MO61" s="20"/>
      <c r="MP61" s="20"/>
      <c r="MQ61" s="20"/>
      <c r="MR61" s="20"/>
      <c r="MS61" s="20"/>
      <c r="MT61" s="20"/>
      <c r="MU61" s="20"/>
      <c r="MV61" s="20"/>
      <c r="MW61" s="20"/>
      <c r="MX61" s="20"/>
      <c r="MY61" s="20"/>
      <c r="MZ61" s="20"/>
      <c r="NA61" s="20"/>
      <c r="NB61" s="20"/>
      <c r="NC61" s="20"/>
      <c r="ND61" s="20"/>
      <c r="NE61" s="20"/>
      <c r="NF61" s="20"/>
      <c r="NG61" s="20"/>
      <c r="NH61" s="20"/>
      <c r="NI61" s="20"/>
      <c r="NJ61" s="20"/>
      <c r="NK61" s="20"/>
      <c r="NL61" s="20"/>
      <c r="NM61" s="20"/>
      <c r="NN61" s="20"/>
      <c r="NO61" s="20"/>
      <c r="NP61" s="20"/>
      <c r="NQ61" s="20"/>
      <c r="NR61" s="20"/>
      <c r="NS61" s="20"/>
      <c r="NT61" s="20"/>
      <c r="NU61" s="20"/>
      <c r="NV61" s="20"/>
      <c r="NW61" s="20"/>
      <c r="NX61" s="20"/>
      <c r="NY61" s="20"/>
      <c r="NZ61" s="20"/>
      <c r="OA61" s="20"/>
      <c r="OB61" s="20"/>
      <c r="OC61" s="20"/>
      <c r="OD61" s="20"/>
      <c r="OE61" s="20"/>
      <c r="OF61" s="20"/>
      <c r="OG61" s="20"/>
      <c r="OH61" s="20"/>
      <c r="OI61" s="20"/>
      <c r="OJ61" s="20"/>
      <c r="OK61" s="20"/>
      <c r="OL61" s="20"/>
      <c r="OM61" s="20"/>
      <c r="ON61" s="20"/>
      <c r="OO61" s="20"/>
      <c r="OP61" s="20"/>
      <c r="OQ61" s="20"/>
      <c r="OR61" s="20"/>
      <c r="OS61" s="20"/>
      <c r="OT61" s="20"/>
      <c r="OU61" s="20"/>
      <c r="OV61" s="20"/>
      <c r="OW61" s="20"/>
      <c r="OX61" s="20"/>
      <c r="OY61" s="20"/>
      <c r="OZ61" s="20"/>
      <c r="PA61" s="20"/>
      <c r="PB61" s="20"/>
      <c r="PC61" s="20"/>
      <c r="PD61" s="20"/>
      <c r="PE61" s="20"/>
      <c r="PF61" s="20"/>
      <c r="PG61" s="20"/>
      <c r="PH61" s="20"/>
      <c r="PI61" s="20"/>
      <c r="PJ61" s="20"/>
      <c r="PK61" s="20"/>
      <c r="PL61" s="20"/>
      <c r="PM61" s="20"/>
      <c r="PN61" s="20"/>
      <c r="PO61" s="20"/>
      <c r="PP61" s="20"/>
      <c r="PQ61" s="20"/>
      <c r="PR61" s="20"/>
      <c r="PS61" s="20"/>
      <c r="PT61" s="20"/>
      <c r="PU61" s="20"/>
      <c r="PV61" s="20"/>
      <c r="PW61" s="20"/>
      <c r="PX61" s="20"/>
      <c r="PY61" s="20"/>
      <c r="PZ61" s="20"/>
      <c r="QA61" s="20"/>
      <c r="QB61" s="20"/>
      <c r="QC61" s="20"/>
      <c r="QD61" s="20"/>
      <c r="QE61" s="20"/>
      <c r="QF61" s="20"/>
      <c r="QG61" s="20"/>
      <c r="QH61" s="20"/>
      <c r="QI61" s="20"/>
      <c r="QJ61" s="20"/>
      <c r="QK61" s="20"/>
      <c r="QL61" s="20"/>
      <c r="QM61" s="20"/>
      <c r="QN61" s="20"/>
      <c r="QO61" s="20"/>
      <c r="QP61" s="20"/>
      <c r="QQ61" s="20"/>
      <c r="QR61" s="20"/>
      <c r="QS61" s="20"/>
      <c r="QT61" s="20"/>
      <c r="QU61" s="20"/>
      <c r="QV61" s="20"/>
      <c r="QW61" s="20"/>
      <c r="QX61" s="20"/>
      <c r="QY61" s="20"/>
      <c r="QZ61" s="20"/>
      <c r="RA61" s="20"/>
      <c r="RB61" s="20"/>
      <c r="RC61" s="20"/>
      <c r="RD61" s="20"/>
      <c r="RE61" s="20"/>
      <c r="RF61" s="20"/>
      <c r="RG61" s="20"/>
      <c r="RH61" s="20"/>
      <c r="RI61" s="20"/>
      <c r="RJ61" s="20"/>
      <c r="RK61" s="20"/>
      <c r="RL61" s="20"/>
      <c r="RM61" s="20"/>
      <c r="RN61" s="20"/>
      <c r="RO61" s="20"/>
      <c r="RP61" s="20"/>
      <c r="RQ61" s="20"/>
      <c r="RR61" s="20"/>
      <c r="RS61" s="20"/>
      <c r="RT61" s="20"/>
      <c r="RU61" s="20"/>
      <c r="RV61" s="20"/>
      <c r="RW61" s="20"/>
      <c r="RX61" s="20"/>
      <c r="RY61" s="20"/>
      <c r="RZ61" s="20"/>
      <c r="SA61" s="20"/>
      <c r="SB61" s="20"/>
      <c r="SC61" s="20"/>
      <c r="SD61" s="20"/>
      <c r="SE61" s="20"/>
      <c r="SF61" s="20"/>
      <c r="SG61" s="20"/>
      <c r="SH61" s="20"/>
      <c r="SI61" s="20"/>
      <c r="SJ61" s="20"/>
      <c r="SK61" s="20"/>
      <c r="SL61" s="20"/>
      <c r="SM61" s="20"/>
      <c r="SN61" s="20"/>
      <c r="SO61" s="20"/>
      <c r="SP61" s="20"/>
      <c r="SQ61" s="20"/>
      <c r="SR61" s="20"/>
      <c r="SS61" s="20"/>
      <c r="ST61" s="20"/>
      <c r="SU61" s="20"/>
      <c r="SV61" s="20"/>
      <c r="SW61" s="20"/>
      <c r="SX61" s="20"/>
      <c r="SY61" s="20"/>
      <c r="SZ61" s="20"/>
      <c r="TA61" s="20"/>
      <c r="TB61" s="20"/>
      <c r="TC61" s="20"/>
      <c r="TD61" s="20"/>
      <c r="TE61" s="20"/>
      <c r="TF61" s="20"/>
      <c r="TG61" s="20"/>
      <c r="TH61" s="20"/>
      <c r="TI61" s="20"/>
      <c r="TJ61" s="20"/>
      <c r="TK61" s="20"/>
      <c r="TL61" s="20"/>
      <c r="TM61" s="20"/>
      <c r="TN61" s="20"/>
      <c r="TO61" s="20"/>
      <c r="TP61" s="20"/>
      <c r="TQ61" s="20"/>
      <c r="TR61" s="20"/>
      <c r="TS61" s="20"/>
      <c r="TT61" s="20"/>
      <c r="TU61" s="20"/>
      <c r="TV61" s="20"/>
      <c r="TW61" s="20"/>
      <c r="TX61" s="20"/>
      <c r="TY61" s="20"/>
      <c r="TZ61" s="20"/>
      <c r="UA61" s="20"/>
      <c r="UB61" s="20"/>
      <c r="UC61" s="20"/>
      <c r="UD61" s="20"/>
      <c r="UE61" s="20"/>
      <c r="UF61" s="20"/>
      <c r="UG61" s="20"/>
      <c r="UH61" s="20"/>
      <c r="UI61" s="20"/>
      <c r="UJ61" s="20"/>
      <c r="UK61" s="20"/>
      <c r="UL61" s="20"/>
      <c r="UM61" s="20"/>
      <c r="UN61" s="20"/>
      <c r="UO61" s="20"/>
      <c r="UP61" s="20"/>
      <c r="UQ61" s="20"/>
      <c r="UR61" s="20"/>
      <c r="US61" s="20"/>
      <c r="UT61" s="20"/>
      <c r="UU61" s="20"/>
      <c r="UV61" s="20"/>
      <c r="UW61" s="20"/>
      <c r="UX61" s="20"/>
      <c r="UY61" s="20"/>
      <c r="UZ61" s="20"/>
      <c r="VA61" s="20"/>
      <c r="VB61" s="20"/>
      <c r="VC61" s="20"/>
      <c r="VD61" s="20"/>
      <c r="VE61" s="20"/>
      <c r="VF61" s="20"/>
      <c r="VG61" s="20"/>
      <c r="VH61" s="20"/>
      <c r="VI61" s="20"/>
      <c r="VJ61" s="20"/>
      <c r="VK61" s="20"/>
      <c r="VL61" s="20"/>
      <c r="VM61" s="20"/>
      <c r="VN61" s="20"/>
      <c r="VO61" s="20"/>
      <c r="VP61" s="20"/>
      <c r="VQ61" s="20"/>
      <c r="VR61" s="20"/>
      <c r="VS61" s="20"/>
      <c r="VT61" s="20"/>
      <c r="VU61" s="20"/>
      <c r="VV61" s="20"/>
      <c r="VW61" s="20"/>
      <c r="VX61" s="20"/>
      <c r="VY61" s="20"/>
      <c r="VZ61" s="20"/>
      <c r="WA61" s="20"/>
      <c r="WB61" s="20"/>
      <c r="WC61" s="20"/>
      <c r="WD61" s="20"/>
      <c r="WE61" s="20"/>
      <c r="WF61" s="20"/>
      <c r="WG61" s="20"/>
      <c r="WH61" s="20"/>
      <c r="WI61" s="20"/>
      <c r="WJ61" s="20"/>
      <c r="WK61" s="20"/>
      <c r="WL61" s="20"/>
      <c r="WM61" s="20"/>
      <c r="WN61" s="20"/>
      <c r="WO61" s="20"/>
      <c r="WP61" s="20"/>
      <c r="WQ61" s="20"/>
      <c r="WR61" s="20"/>
      <c r="WS61" s="20"/>
      <c r="WT61" s="20"/>
      <c r="WU61" s="20"/>
      <c r="WV61" s="20"/>
      <c r="WW61" s="20"/>
      <c r="WX61" s="20"/>
      <c r="WY61" s="20"/>
      <c r="WZ61" s="20"/>
      <c r="XA61" s="20"/>
      <c r="XB61" s="20"/>
      <c r="XC61" s="20"/>
      <c r="XD61" s="20"/>
      <c r="XE61" s="20"/>
      <c r="XF61" s="20"/>
      <c r="XG61" s="20"/>
      <c r="XH61" s="20"/>
      <c r="XI61" s="20"/>
      <c r="XJ61" s="20"/>
      <c r="XK61" s="20"/>
      <c r="XL61" s="20"/>
      <c r="XM61" s="20"/>
      <c r="XN61" s="20"/>
      <c r="XO61" s="20"/>
      <c r="XP61" s="20"/>
      <c r="XQ61" s="20"/>
      <c r="XR61" s="20"/>
      <c r="XS61" s="20"/>
      <c r="XT61" s="20"/>
      <c r="XU61" s="20"/>
      <c r="XV61" s="20"/>
      <c r="XW61" s="20"/>
      <c r="XX61" s="20"/>
      <c r="XY61" s="20"/>
      <c r="XZ61" s="20"/>
      <c r="YA61" s="20"/>
      <c r="YB61" s="20"/>
      <c r="YC61" s="20"/>
      <c r="YD61" s="20"/>
      <c r="YE61" s="20"/>
      <c r="YF61" s="20"/>
      <c r="YG61" s="20"/>
      <c r="YH61" s="20"/>
      <c r="YI61" s="20"/>
      <c r="YJ61" s="20"/>
      <c r="YK61" s="20"/>
      <c r="YL61" s="20"/>
      <c r="YM61" s="20"/>
      <c r="YN61" s="20"/>
      <c r="YO61" s="20"/>
      <c r="YP61" s="20"/>
      <c r="YQ61" s="20"/>
      <c r="YR61" s="20"/>
      <c r="YS61" s="20"/>
      <c r="YT61" s="20"/>
      <c r="YU61" s="20"/>
      <c r="YV61" s="20"/>
      <c r="YW61" s="20"/>
      <c r="YX61" s="20"/>
      <c r="YY61" s="20"/>
      <c r="YZ61" s="20"/>
      <c r="ZA61" s="20"/>
      <c r="ZB61" s="20"/>
      <c r="ZC61" s="20"/>
      <c r="ZD61" s="20"/>
      <c r="ZE61" s="20"/>
      <c r="ZF61" s="20"/>
      <c r="ZG61" s="20"/>
      <c r="ZH61" s="20"/>
      <c r="ZI61" s="20"/>
      <c r="ZJ61" s="20"/>
      <c r="ZK61" s="20"/>
      <c r="ZL61" s="20"/>
      <c r="ZM61" s="20"/>
      <c r="ZN61" s="20"/>
      <c r="ZO61" s="20"/>
      <c r="ZP61" s="20"/>
      <c r="ZQ61" s="20"/>
      <c r="ZR61" s="20"/>
      <c r="ZS61" s="20"/>
      <c r="ZT61" s="20"/>
      <c r="ZU61" s="20"/>
      <c r="ZV61" s="20"/>
      <c r="ZW61" s="20"/>
      <c r="ZX61" s="20"/>
      <c r="ZY61" s="20"/>
      <c r="ZZ61" s="20"/>
      <c r="AAA61" s="20"/>
      <c r="AAB61" s="20"/>
      <c r="AAC61" s="20"/>
      <c r="AAD61" s="20"/>
      <c r="AAE61" s="20"/>
      <c r="AAF61" s="20"/>
    </row>
    <row r="62" spans="1:708" ht="65.25" customHeight="1" x14ac:dyDescent="0.25">
      <c r="A62" s="64" t="s">
        <v>43</v>
      </c>
      <c r="B62" s="64" t="s">
        <v>44</v>
      </c>
      <c r="C62" s="64" t="s">
        <v>45</v>
      </c>
      <c r="D62" s="64" t="s">
        <v>306</v>
      </c>
      <c r="E62" s="64" t="s">
        <v>71</v>
      </c>
      <c r="F62" s="64" t="s">
        <v>48</v>
      </c>
      <c r="G62" s="64" t="s">
        <v>49</v>
      </c>
      <c r="H62" s="64" t="s">
        <v>50</v>
      </c>
      <c r="I62" s="64" t="s">
        <v>51</v>
      </c>
      <c r="J62" s="64" t="s">
        <v>52</v>
      </c>
      <c r="K62" s="64" t="s">
        <v>307</v>
      </c>
      <c r="L62" s="64" t="s">
        <v>308</v>
      </c>
      <c r="M62" s="64" t="s">
        <v>309</v>
      </c>
      <c r="N62" s="64" t="s">
        <v>56</v>
      </c>
      <c r="O62" s="64">
        <v>289</v>
      </c>
      <c r="P62" s="64">
        <v>260</v>
      </c>
      <c r="Q62" s="659"/>
      <c r="R62" s="659"/>
      <c r="S62" s="659"/>
      <c r="T62" s="659"/>
      <c r="U62" s="659"/>
      <c r="V62" s="985">
        <v>1556104552</v>
      </c>
      <c r="W62" s="1009"/>
      <c r="X62" s="64" t="s">
        <v>59</v>
      </c>
      <c r="Y62" s="83">
        <v>23</v>
      </c>
      <c r="Z62" s="83">
        <f>+P62</f>
        <v>260</v>
      </c>
      <c r="AA62" s="85">
        <f>+Y62/Z62</f>
        <v>8.8461538461538466E-2</v>
      </c>
      <c r="AB62" s="63" t="s">
        <v>310</v>
      </c>
      <c r="AC62" s="673"/>
      <c r="AD62" s="673"/>
      <c r="AE62" s="673"/>
      <c r="AF62" s="673"/>
      <c r="AG62" s="86">
        <v>43</v>
      </c>
      <c r="AH62" s="86">
        <v>260</v>
      </c>
      <c r="AI62" s="87">
        <v>0.16538461538461538</v>
      </c>
      <c r="AJ62" s="92" t="s">
        <v>311</v>
      </c>
      <c r="AK62" s="674"/>
      <c r="AL62" s="674"/>
      <c r="AM62" s="674"/>
      <c r="AN62" s="674"/>
      <c r="AO62" s="86">
        <v>55</v>
      </c>
      <c r="AP62" s="86">
        <f>+P62</f>
        <v>260</v>
      </c>
      <c r="AQ62" s="87">
        <f>+AO62/AP62</f>
        <v>0.21153846153846154</v>
      </c>
      <c r="AR62" s="92" t="s">
        <v>312</v>
      </c>
      <c r="AS62" s="673"/>
      <c r="AT62" s="673"/>
      <c r="AU62" s="673"/>
      <c r="AV62" s="673"/>
    </row>
    <row r="63" spans="1:708" ht="66.75" customHeight="1" x14ac:dyDescent="0.25">
      <c r="A63" s="71" t="s">
        <v>43</v>
      </c>
      <c r="B63" s="71" t="s">
        <v>44</v>
      </c>
      <c r="C63" s="71" t="s">
        <v>45</v>
      </c>
      <c r="D63" s="71" t="s">
        <v>306</v>
      </c>
      <c r="E63" s="71" t="s">
        <v>71</v>
      </c>
      <c r="F63" s="71" t="s">
        <v>48</v>
      </c>
      <c r="G63" s="71" t="s">
        <v>49</v>
      </c>
      <c r="H63" s="71" t="s">
        <v>50</v>
      </c>
      <c r="I63" s="71" t="s">
        <v>78</v>
      </c>
      <c r="J63" s="71" t="s">
        <v>52</v>
      </c>
      <c r="K63" s="71" t="s">
        <v>307</v>
      </c>
      <c r="L63" s="71" t="s">
        <v>313</v>
      </c>
      <c r="M63" s="71" t="s">
        <v>314</v>
      </c>
      <c r="N63" s="71" t="s">
        <v>56</v>
      </c>
      <c r="O63" s="71">
        <v>2800</v>
      </c>
      <c r="P63" s="71">
        <v>2800</v>
      </c>
      <c r="Q63" s="659"/>
      <c r="R63" s="659"/>
      <c r="S63" s="659"/>
      <c r="T63" s="659"/>
      <c r="U63" s="659"/>
      <c r="V63" s="1014"/>
      <c r="W63" s="1009"/>
      <c r="X63" s="71" t="s">
        <v>59</v>
      </c>
      <c r="Y63" s="71">
        <v>311</v>
      </c>
      <c r="Z63" s="71">
        <f>+P63</f>
        <v>2800</v>
      </c>
      <c r="AA63" s="73">
        <f>+Y63/Z63</f>
        <v>0.11107142857142857</v>
      </c>
      <c r="AB63" s="70" t="s">
        <v>315</v>
      </c>
      <c r="AC63" s="659"/>
      <c r="AD63" s="659"/>
      <c r="AE63" s="659"/>
      <c r="AF63" s="659"/>
      <c r="AG63" s="74">
        <v>752</v>
      </c>
      <c r="AH63" s="74">
        <v>2800</v>
      </c>
      <c r="AI63" s="75">
        <v>0.26857142857142857</v>
      </c>
      <c r="AJ63" s="96" t="s">
        <v>316</v>
      </c>
      <c r="AK63" s="672"/>
      <c r="AL63" s="672"/>
      <c r="AM63" s="672"/>
      <c r="AN63" s="672"/>
      <c r="AO63" s="74">
        <v>1207</v>
      </c>
      <c r="AP63" s="74">
        <f>+P63</f>
        <v>2800</v>
      </c>
      <c r="AQ63" s="75">
        <f>+AO63/AP63</f>
        <v>0.43107142857142855</v>
      </c>
      <c r="AR63" s="96" t="s">
        <v>317</v>
      </c>
      <c r="AS63" s="659"/>
      <c r="AT63" s="659"/>
      <c r="AU63" s="659"/>
      <c r="AV63" s="659"/>
    </row>
    <row r="64" spans="1:708" ht="36.75" customHeight="1" x14ac:dyDescent="0.25">
      <c r="A64" s="64" t="s">
        <v>43</v>
      </c>
      <c r="B64" s="64" t="s">
        <v>44</v>
      </c>
      <c r="C64" s="64" t="s">
        <v>45</v>
      </c>
      <c r="D64" s="64" t="s">
        <v>306</v>
      </c>
      <c r="E64" s="64" t="s">
        <v>71</v>
      </c>
      <c r="F64" s="64" t="s">
        <v>48</v>
      </c>
      <c r="G64" s="64" t="s">
        <v>49</v>
      </c>
      <c r="H64" s="64" t="s">
        <v>50</v>
      </c>
      <c r="I64" s="64" t="s">
        <v>51</v>
      </c>
      <c r="J64" s="64" t="s">
        <v>52</v>
      </c>
      <c r="K64" s="64" t="s">
        <v>307</v>
      </c>
      <c r="L64" s="64" t="s">
        <v>318</v>
      </c>
      <c r="M64" s="64" t="s">
        <v>319</v>
      </c>
      <c r="N64" s="64" t="s">
        <v>56</v>
      </c>
      <c r="O64" s="64"/>
      <c r="P64" s="64">
        <v>1365</v>
      </c>
      <c r="Q64" s="659"/>
      <c r="R64" s="659"/>
      <c r="S64" s="659"/>
      <c r="T64" s="659"/>
      <c r="U64" s="659"/>
      <c r="V64" s="1014"/>
      <c r="W64" s="1009"/>
      <c r="X64" s="64" t="s">
        <v>59</v>
      </c>
      <c r="Y64" s="83"/>
      <c r="Z64" s="83">
        <f>+P64</f>
        <v>1365</v>
      </c>
      <c r="AA64" s="85">
        <f>+Y64/Z64</f>
        <v>0</v>
      </c>
      <c r="AB64" s="63" t="s">
        <v>320</v>
      </c>
      <c r="AC64" s="673"/>
      <c r="AD64" s="673"/>
      <c r="AE64" s="673"/>
      <c r="AF64" s="673"/>
      <c r="AG64" s="86"/>
      <c r="AH64" s="86">
        <v>1365</v>
      </c>
      <c r="AI64" s="87">
        <v>0</v>
      </c>
      <c r="AJ64" s="92" t="s">
        <v>320</v>
      </c>
      <c r="AK64" s="674"/>
      <c r="AL64" s="674"/>
      <c r="AM64" s="674"/>
      <c r="AN64" s="674"/>
      <c r="AO64" s="86">
        <v>0</v>
      </c>
      <c r="AP64" s="86">
        <f>+P64</f>
        <v>1365</v>
      </c>
      <c r="AQ64" s="87">
        <f>+AO64/AP64</f>
        <v>0</v>
      </c>
      <c r="AR64" s="92" t="s">
        <v>320</v>
      </c>
      <c r="AS64" s="673"/>
      <c r="AT64" s="673"/>
      <c r="AU64" s="673"/>
      <c r="AV64" s="673"/>
    </row>
    <row r="65" spans="1:708" ht="66.75" customHeight="1" x14ac:dyDescent="0.25">
      <c r="A65" s="71" t="s">
        <v>43</v>
      </c>
      <c r="B65" s="71" t="s">
        <v>44</v>
      </c>
      <c r="C65" s="71" t="s">
        <v>45</v>
      </c>
      <c r="D65" s="71" t="s">
        <v>306</v>
      </c>
      <c r="E65" s="71" t="s">
        <v>71</v>
      </c>
      <c r="F65" s="71" t="s">
        <v>48</v>
      </c>
      <c r="G65" s="71" t="s">
        <v>49</v>
      </c>
      <c r="H65" s="71" t="s">
        <v>50</v>
      </c>
      <c r="I65" s="71" t="s">
        <v>78</v>
      </c>
      <c r="J65" s="71" t="s">
        <v>52</v>
      </c>
      <c r="K65" s="71" t="s">
        <v>307</v>
      </c>
      <c r="L65" s="71" t="s">
        <v>321</v>
      </c>
      <c r="M65" s="71" t="s">
        <v>322</v>
      </c>
      <c r="N65" s="71" t="s">
        <v>56</v>
      </c>
      <c r="O65" s="71"/>
      <c r="P65" s="71">
        <v>1365</v>
      </c>
      <c r="Q65" s="659"/>
      <c r="R65" s="659"/>
      <c r="S65" s="659"/>
      <c r="T65" s="659"/>
      <c r="U65" s="659"/>
      <c r="V65" s="986"/>
      <c r="W65" s="1009"/>
      <c r="X65" s="71" t="s">
        <v>59</v>
      </c>
      <c r="Y65" s="71">
        <v>23</v>
      </c>
      <c r="Z65" s="71">
        <f>+P65</f>
        <v>1365</v>
      </c>
      <c r="AA65" s="73">
        <f>+Y65/Z65</f>
        <v>1.6849816849816849E-2</v>
      </c>
      <c r="AB65" s="70" t="s">
        <v>323</v>
      </c>
      <c r="AC65" s="659"/>
      <c r="AD65" s="659"/>
      <c r="AE65" s="659"/>
      <c r="AF65" s="659"/>
      <c r="AG65" s="74">
        <v>70</v>
      </c>
      <c r="AH65" s="74">
        <v>1365</v>
      </c>
      <c r="AI65" s="75">
        <v>5.128205128205128E-2</v>
      </c>
      <c r="AJ65" s="96" t="s">
        <v>324</v>
      </c>
      <c r="AK65" s="672"/>
      <c r="AL65" s="672"/>
      <c r="AM65" s="672"/>
      <c r="AN65" s="672"/>
      <c r="AO65" s="74">
        <v>109</v>
      </c>
      <c r="AP65" s="74">
        <f>+P65</f>
        <v>1365</v>
      </c>
      <c r="AQ65" s="75">
        <f>+AO65/AP65</f>
        <v>7.9853479853479847E-2</v>
      </c>
      <c r="AR65" s="96" t="s">
        <v>325</v>
      </c>
      <c r="AS65" s="659"/>
      <c r="AT65" s="659"/>
      <c r="AU65" s="659"/>
      <c r="AV65" s="659"/>
    </row>
    <row r="66" spans="1:708" s="21" customFormat="1" ht="70.5" customHeight="1" x14ac:dyDescent="0.25">
      <c r="A66" s="52"/>
      <c r="B66" s="52"/>
      <c r="C66" s="52"/>
      <c r="D66" s="52"/>
      <c r="E66" s="52"/>
      <c r="F66" s="52"/>
      <c r="G66" s="52"/>
      <c r="H66" s="52"/>
      <c r="I66" s="52"/>
      <c r="J66" s="52"/>
      <c r="K66" s="52"/>
      <c r="L66" s="52"/>
      <c r="M66" s="52"/>
      <c r="N66" s="52"/>
      <c r="O66" s="52"/>
      <c r="P66" s="53"/>
      <c r="Q66" s="52"/>
      <c r="R66" s="52"/>
      <c r="S66" s="53"/>
      <c r="T66" s="52"/>
      <c r="U66" s="52"/>
      <c r="V66" s="89"/>
      <c r="W66" s="1009"/>
      <c r="X66" s="52"/>
      <c r="Y66" s="657" t="s">
        <v>99</v>
      </c>
      <c r="Z66" s="657"/>
      <c r="AA66" s="55">
        <f>AVERAGE(AA62,AA63,AA65)</f>
        <v>7.2127594627594618E-2</v>
      </c>
      <c r="AB66" s="56"/>
      <c r="AC66" s="657" t="s">
        <v>100</v>
      </c>
      <c r="AD66" s="657"/>
      <c r="AE66" s="57" t="s">
        <v>283</v>
      </c>
      <c r="AF66" s="58"/>
      <c r="AG66" s="658" t="s">
        <v>99</v>
      </c>
      <c r="AH66" s="658"/>
      <c r="AI66" s="59">
        <v>0.16174603174603172</v>
      </c>
      <c r="AJ66" s="60"/>
      <c r="AK66" s="658" t="s">
        <v>100</v>
      </c>
      <c r="AL66" s="658"/>
      <c r="AM66" s="61" t="s">
        <v>283</v>
      </c>
      <c r="AN66" s="62"/>
      <c r="AO66" s="657" t="s">
        <v>99</v>
      </c>
      <c r="AP66" s="657"/>
      <c r="AQ66" s="55">
        <f>AVERAGE(AQ62,AQ63,AQ65)</f>
        <v>0.24082112332112335</v>
      </c>
      <c r="AR66" s="56"/>
      <c r="AS66" s="657" t="s">
        <v>100</v>
      </c>
      <c r="AT66" s="657"/>
      <c r="AU66" s="57" t="s">
        <v>283</v>
      </c>
      <c r="AV66" s="58"/>
      <c r="AW66" s="20"/>
      <c r="AX66" s="20"/>
      <c r="AY66" s="20"/>
      <c r="AZ66" s="20"/>
      <c r="BA66" s="20"/>
      <c r="BB66" s="20"/>
      <c r="BC66" s="20"/>
      <c r="BD66" s="20"/>
      <c r="BE66" s="20"/>
      <c r="BF66" s="20"/>
      <c r="BG66" s="20"/>
      <c r="BH66" s="20"/>
      <c r="BI66" s="20"/>
      <c r="BJ66" s="20"/>
      <c r="BK66" s="20"/>
      <c r="BL66" s="20"/>
      <c r="BM66" s="20"/>
      <c r="BN66" s="20"/>
      <c r="BO66" s="20"/>
      <c r="BP66" s="20"/>
      <c r="BQ66" s="20"/>
      <c r="BR66" s="20"/>
      <c r="BS66" s="20"/>
      <c r="BT66" s="20"/>
      <c r="BU66" s="20"/>
      <c r="BV66" s="20"/>
      <c r="BW66" s="20"/>
      <c r="BX66" s="20"/>
      <c r="BY66" s="20"/>
      <c r="BZ66" s="20"/>
      <c r="CA66" s="20"/>
      <c r="CB66" s="20"/>
      <c r="CC66" s="20"/>
      <c r="CD66" s="20"/>
      <c r="CE66" s="20"/>
      <c r="CF66" s="20"/>
      <c r="CG66" s="20"/>
      <c r="CH66" s="20"/>
      <c r="CI66" s="20"/>
      <c r="CJ66" s="20"/>
      <c r="CK66" s="20"/>
      <c r="CL66" s="20"/>
      <c r="CM66" s="20"/>
      <c r="CN66" s="20"/>
      <c r="CO66" s="20"/>
      <c r="CP66" s="20"/>
      <c r="CQ66" s="20"/>
      <c r="CR66" s="20"/>
      <c r="CS66" s="20"/>
      <c r="CT66" s="20"/>
      <c r="CU66" s="20"/>
      <c r="CV66" s="20"/>
      <c r="CW66" s="20"/>
      <c r="CX66" s="20"/>
      <c r="CY66" s="20"/>
      <c r="CZ66" s="20"/>
      <c r="DA66" s="20"/>
      <c r="DB66" s="20"/>
      <c r="DC66" s="20"/>
      <c r="DD66" s="20"/>
      <c r="DE66" s="20"/>
      <c r="DF66" s="20"/>
      <c r="DG66" s="20"/>
      <c r="DH66" s="20"/>
      <c r="DI66" s="20"/>
      <c r="DJ66" s="20"/>
      <c r="DK66" s="20"/>
      <c r="DL66" s="20"/>
      <c r="DM66" s="20"/>
      <c r="DN66" s="20"/>
      <c r="DO66" s="20"/>
      <c r="DP66" s="20"/>
      <c r="DQ66" s="20"/>
      <c r="DR66" s="20"/>
      <c r="DS66" s="20"/>
      <c r="DT66" s="20"/>
      <c r="DU66" s="20"/>
      <c r="DV66" s="20"/>
      <c r="DW66" s="20"/>
      <c r="DX66" s="20"/>
      <c r="DY66" s="20"/>
      <c r="DZ66" s="20"/>
      <c r="EA66" s="20"/>
      <c r="EB66" s="20"/>
      <c r="EC66" s="20"/>
      <c r="ED66" s="20"/>
      <c r="EE66" s="20"/>
      <c r="EF66" s="20"/>
      <c r="EG66" s="20"/>
      <c r="EH66" s="20"/>
      <c r="EI66" s="20"/>
      <c r="EJ66" s="20"/>
      <c r="EK66" s="20"/>
      <c r="EL66" s="20"/>
      <c r="EM66" s="20"/>
      <c r="EN66" s="20"/>
      <c r="EO66" s="20"/>
      <c r="EP66" s="20"/>
      <c r="EQ66" s="20"/>
      <c r="ER66" s="20"/>
      <c r="ES66" s="20"/>
      <c r="ET66" s="20"/>
      <c r="EU66" s="20"/>
      <c r="EV66" s="20"/>
      <c r="EW66" s="20"/>
      <c r="EX66" s="20"/>
      <c r="EY66" s="20"/>
      <c r="EZ66" s="20"/>
      <c r="FA66" s="20"/>
      <c r="FB66" s="20"/>
      <c r="FC66" s="20"/>
      <c r="FD66" s="20"/>
      <c r="FE66" s="20"/>
      <c r="FF66" s="20"/>
      <c r="FG66" s="20"/>
      <c r="FH66" s="20"/>
      <c r="FI66" s="20"/>
      <c r="FJ66" s="20"/>
      <c r="FK66" s="20"/>
      <c r="FL66" s="20"/>
      <c r="FM66" s="20"/>
      <c r="FN66" s="20"/>
      <c r="FO66" s="20"/>
      <c r="FP66" s="20"/>
      <c r="FQ66" s="20"/>
      <c r="FR66" s="20"/>
      <c r="FS66" s="20"/>
      <c r="FT66" s="20"/>
      <c r="FU66" s="20"/>
      <c r="FV66" s="20"/>
      <c r="FW66" s="20"/>
      <c r="FX66" s="20"/>
      <c r="FY66" s="20"/>
      <c r="FZ66" s="20"/>
      <c r="GA66" s="20"/>
      <c r="GB66" s="20"/>
      <c r="GC66" s="20"/>
      <c r="GD66" s="20"/>
      <c r="GE66" s="20"/>
      <c r="GF66" s="20"/>
      <c r="GG66" s="20"/>
      <c r="GH66" s="20"/>
      <c r="GI66" s="20"/>
      <c r="GJ66" s="20"/>
      <c r="GK66" s="20"/>
      <c r="GL66" s="20"/>
      <c r="GM66" s="20"/>
      <c r="GN66" s="20"/>
      <c r="GO66" s="20"/>
      <c r="GP66" s="20"/>
      <c r="GQ66" s="20"/>
      <c r="GR66" s="20"/>
      <c r="GS66" s="20"/>
      <c r="GT66" s="20"/>
      <c r="GU66" s="20"/>
      <c r="GV66" s="20"/>
      <c r="GW66" s="20"/>
      <c r="GX66" s="20"/>
      <c r="GY66" s="20"/>
      <c r="GZ66" s="20"/>
      <c r="HA66" s="20"/>
      <c r="HB66" s="20"/>
      <c r="HC66" s="20"/>
      <c r="HD66" s="20"/>
      <c r="HE66" s="20"/>
      <c r="HF66" s="20"/>
      <c r="HG66" s="20"/>
      <c r="HH66" s="20"/>
      <c r="HI66" s="20"/>
      <c r="HJ66" s="20"/>
      <c r="HK66" s="20"/>
      <c r="HL66" s="20"/>
      <c r="HM66" s="20"/>
      <c r="HN66" s="20"/>
      <c r="HO66" s="20"/>
      <c r="HP66" s="20"/>
      <c r="HQ66" s="20"/>
      <c r="HR66" s="20"/>
      <c r="HS66" s="20"/>
      <c r="HT66" s="20"/>
      <c r="HU66" s="20"/>
      <c r="HV66" s="20"/>
      <c r="HW66" s="20"/>
      <c r="HX66" s="20"/>
      <c r="HY66" s="20"/>
      <c r="HZ66" s="20"/>
      <c r="IA66" s="20"/>
      <c r="IB66" s="20"/>
      <c r="IC66" s="20"/>
      <c r="ID66" s="20"/>
      <c r="IE66" s="20"/>
      <c r="IF66" s="20"/>
      <c r="IG66" s="20"/>
      <c r="IH66" s="20"/>
      <c r="II66" s="20"/>
      <c r="IJ66" s="20"/>
      <c r="IK66" s="20"/>
      <c r="IL66" s="20"/>
      <c r="IM66" s="20"/>
      <c r="IN66" s="20"/>
      <c r="IO66" s="20"/>
      <c r="IP66" s="20"/>
      <c r="IQ66" s="20"/>
      <c r="IR66" s="20"/>
      <c r="IS66" s="20"/>
      <c r="IT66" s="20"/>
      <c r="IU66" s="20"/>
      <c r="IV66" s="20"/>
      <c r="IW66" s="20"/>
      <c r="IX66" s="20"/>
      <c r="IY66" s="20"/>
      <c r="IZ66" s="20"/>
      <c r="JA66" s="20"/>
      <c r="JB66" s="20"/>
      <c r="JC66" s="20"/>
      <c r="JD66" s="20"/>
      <c r="JE66" s="20"/>
      <c r="JF66" s="20"/>
      <c r="JG66" s="20"/>
      <c r="JH66" s="20"/>
      <c r="JI66" s="20"/>
      <c r="JJ66" s="20"/>
      <c r="JK66" s="20"/>
      <c r="JL66" s="20"/>
      <c r="JM66" s="20"/>
      <c r="JN66" s="20"/>
      <c r="JO66" s="20"/>
      <c r="JP66" s="20"/>
      <c r="JQ66" s="20"/>
      <c r="JR66" s="20"/>
      <c r="JS66" s="20"/>
      <c r="JT66" s="20"/>
      <c r="JU66" s="20"/>
      <c r="JV66" s="20"/>
      <c r="JW66" s="20"/>
      <c r="JX66" s="20"/>
      <c r="JY66" s="20"/>
      <c r="JZ66" s="20"/>
      <c r="KA66" s="20"/>
      <c r="KB66" s="20"/>
      <c r="KC66" s="20"/>
      <c r="KD66" s="20"/>
      <c r="KE66" s="20"/>
      <c r="KF66" s="20"/>
      <c r="KG66" s="20"/>
      <c r="KH66" s="20"/>
      <c r="KI66" s="20"/>
      <c r="KJ66" s="20"/>
      <c r="KK66" s="20"/>
      <c r="KL66" s="20"/>
      <c r="KM66" s="20"/>
      <c r="KN66" s="20"/>
      <c r="KO66" s="20"/>
      <c r="KP66" s="20"/>
      <c r="KQ66" s="20"/>
      <c r="KR66" s="20"/>
      <c r="KS66" s="20"/>
      <c r="KT66" s="20"/>
      <c r="KU66" s="20"/>
      <c r="KV66" s="20"/>
      <c r="KW66" s="20"/>
      <c r="KX66" s="20"/>
      <c r="KY66" s="20"/>
      <c r="KZ66" s="20"/>
      <c r="LA66" s="20"/>
      <c r="LB66" s="20"/>
      <c r="LC66" s="20"/>
      <c r="LD66" s="20"/>
      <c r="LE66" s="20"/>
      <c r="LF66" s="20"/>
      <c r="LG66" s="20"/>
      <c r="LH66" s="20"/>
      <c r="LI66" s="20"/>
      <c r="LJ66" s="20"/>
      <c r="LK66" s="20"/>
      <c r="LL66" s="20"/>
      <c r="LM66" s="20"/>
      <c r="LN66" s="20"/>
      <c r="LO66" s="20"/>
      <c r="LP66" s="20"/>
      <c r="LQ66" s="20"/>
      <c r="LR66" s="20"/>
      <c r="LS66" s="20"/>
      <c r="LT66" s="20"/>
      <c r="LU66" s="20"/>
      <c r="LV66" s="20"/>
      <c r="LW66" s="20"/>
      <c r="LX66" s="20"/>
      <c r="LY66" s="20"/>
      <c r="LZ66" s="20"/>
      <c r="MA66" s="20"/>
      <c r="MB66" s="20"/>
      <c r="MC66" s="20"/>
      <c r="MD66" s="20"/>
      <c r="ME66" s="20"/>
      <c r="MF66" s="20"/>
      <c r="MG66" s="20"/>
      <c r="MH66" s="20"/>
      <c r="MI66" s="20"/>
      <c r="MJ66" s="20"/>
      <c r="MK66" s="20"/>
      <c r="ML66" s="20"/>
      <c r="MM66" s="20"/>
      <c r="MN66" s="20"/>
      <c r="MO66" s="20"/>
      <c r="MP66" s="20"/>
      <c r="MQ66" s="20"/>
      <c r="MR66" s="20"/>
      <c r="MS66" s="20"/>
      <c r="MT66" s="20"/>
      <c r="MU66" s="20"/>
      <c r="MV66" s="20"/>
      <c r="MW66" s="20"/>
      <c r="MX66" s="20"/>
      <c r="MY66" s="20"/>
      <c r="MZ66" s="20"/>
      <c r="NA66" s="20"/>
      <c r="NB66" s="20"/>
      <c r="NC66" s="20"/>
      <c r="ND66" s="20"/>
      <c r="NE66" s="20"/>
      <c r="NF66" s="20"/>
      <c r="NG66" s="20"/>
      <c r="NH66" s="20"/>
      <c r="NI66" s="20"/>
      <c r="NJ66" s="20"/>
      <c r="NK66" s="20"/>
      <c r="NL66" s="20"/>
      <c r="NM66" s="20"/>
      <c r="NN66" s="20"/>
      <c r="NO66" s="20"/>
      <c r="NP66" s="20"/>
      <c r="NQ66" s="20"/>
      <c r="NR66" s="20"/>
      <c r="NS66" s="20"/>
      <c r="NT66" s="20"/>
      <c r="NU66" s="20"/>
      <c r="NV66" s="20"/>
      <c r="NW66" s="20"/>
      <c r="NX66" s="20"/>
      <c r="NY66" s="20"/>
      <c r="NZ66" s="20"/>
      <c r="OA66" s="20"/>
      <c r="OB66" s="20"/>
      <c r="OC66" s="20"/>
      <c r="OD66" s="20"/>
      <c r="OE66" s="20"/>
      <c r="OF66" s="20"/>
      <c r="OG66" s="20"/>
      <c r="OH66" s="20"/>
      <c r="OI66" s="20"/>
      <c r="OJ66" s="20"/>
      <c r="OK66" s="20"/>
      <c r="OL66" s="20"/>
      <c r="OM66" s="20"/>
      <c r="ON66" s="20"/>
      <c r="OO66" s="20"/>
      <c r="OP66" s="20"/>
      <c r="OQ66" s="20"/>
      <c r="OR66" s="20"/>
      <c r="OS66" s="20"/>
      <c r="OT66" s="20"/>
      <c r="OU66" s="20"/>
      <c r="OV66" s="20"/>
      <c r="OW66" s="20"/>
      <c r="OX66" s="20"/>
      <c r="OY66" s="20"/>
      <c r="OZ66" s="20"/>
      <c r="PA66" s="20"/>
      <c r="PB66" s="20"/>
      <c r="PC66" s="20"/>
      <c r="PD66" s="20"/>
      <c r="PE66" s="20"/>
      <c r="PF66" s="20"/>
      <c r="PG66" s="20"/>
      <c r="PH66" s="20"/>
      <c r="PI66" s="20"/>
      <c r="PJ66" s="20"/>
      <c r="PK66" s="20"/>
      <c r="PL66" s="20"/>
      <c r="PM66" s="20"/>
      <c r="PN66" s="20"/>
      <c r="PO66" s="20"/>
      <c r="PP66" s="20"/>
      <c r="PQ66" s="20"/>
      <c r="PR66" s="20"/>
      <c r="PS66" s="20"/>
      <c r="PT66" s="20"/>
      <c r="PU66" s="20"/>
      <c r="PV66" s="20"/>
      <c r="PW66" s="20"/>
      <c r="PX66" s="20"/>
      <c r="PY66" s="20"/>
      <c r="PZ66" s="20"/>
      <c r="QA66" s="20"/>
      <c r="QB66" s="20"/>
      <c r="QC66" s="20"/>
      <c r="QD66" s="20"/>
      <c r="QE66" s="20"/>
      <c r="QF66" s="20"/>
      <c r="QG66" s="20"/>
      <c r="QH66" s="20"/>
      <c r="QI66" s="20"/>
      <c r="QJ66" s="20"/>
      <c r="QK66" s="20"/>
      <c r="QL66" s="20"/>
      <c r="QM66" s="20"/>
      <c r="QN66" s="20"/>
      <c r="QO66" s="20"/>
      <c r="QP66" s="20"/>
      <c r="QQ66" s="20"/>
      <c r="QR66" s="20"/>
      <c r="QS66" s="20"/>
      <c r="QT66" s="20"/>
      <c r="QU66" s="20"/>
      <c r="QV66" s="20"/>
      <c r="QW66" s="20"/>
      <c r="QX66" s="20"/>
      <c r="QY66" s="20"/>
      <c r="QZ66" s="20"/>
      <c r="RA66" s="20"/>
      <c r="RB66" s="20"/>
      <c r="RC66" s="20"/>
      <c r="RD66" s="20"/>
      <c r="RE66" s="20"/>
      <c r="RF66" s="20"/>
      <c r="RG66" s="20"/>
      <c r="RH66" s="20"/>
      <c r="RI66" s="20"/>
      <c r="RJ66" s="20"/>
      <c r="RK66" s="20"/>
      <c r="RL66" s="20"/>
      <c r="RM66" s="20"/>
      <c r="RN66" s="20"/>
      <c r="RO66" s="20"/>
      <c r="RP66" s="20"/>
      <c r="RQ66" s="20"/>
      <c r="RR66" s="20"/>
      <c r="RS66" s="20"/>
      <c r="RT66" s="20"/>
      <c r="RU66" s="20"/>
      <c r="RV66" s="20"/>
      <c r="RW66" s="20"/>
      <c r="RX66" s="20"/>
      <c r="RY66" s="20"/>
      <c r="RZ66" s="20"/>
      <c r="SA66" s="20"/>
      <c r="SB66" s="20"/>
      <c r="SC66" s="20"/>
      <c r="SD66" s="20"/>
      <c r="SE66" s="20"/>
      <c r="SF66" s="20"/>
      <c r="SG66" s="20"/>
      <c r="SH66" s="20"/>
      <c r="SI66" s="20"/>
      <c r="SJ66" s="20"/>
      <c r="SK66" s="20"/>
      <c r="SL66" s="20"/>
      <c r="SM66" s="20"/>
      <c r="SN66" s="20"/>
      <c r="SO66" s="20"/>
      <c r="SP66" s="20"/>
      <c r="SQ66" s="20"/>
      <c r="SR66" s="20"/>
      <c r="SS66" s="20"/>
      <c r="ST66" s="20"/>
      <c r="SU66" s="20"/>
      <c r="SV66" s="20"/>
      <c r="SW66" s="20"/>
      <c r="SX66" s="20"/>
      <c r="SY66" s="20"/>
      <c r="SZ66" s="20"/>
      <c r="TA66" s="20"/>
      <c r="TB66" s="20"/>
      <c r="TC66" s="20"/>
      <c r="TD66" s="20"/>
      <c r="TE66" s="20"/>
      <c r="TF66" s="20"/>
      <c r="TG66" s="20"/>
      <c r="TH66" s="20"/>
      <c r="TI66" s="20"/>
      <c r="TJ66" s="20"/>
      <c r="TK66" s="20"/>
      <c r="TL66" s="20"/>
      <c r="TM66" s="20"/>
      <c r="TN66" s="20"/>
      <c r="TO66" s="20"/>
      <c r="TP66" s="20"/>
      <c r="TQ66" s="20"/>
      <c r="TR66" s="20"/>
      <c r="TS66" s="20"/>
      <c r="TT66" s="20"/>
      <c r="TU66" s="20"/>
      <c r="TV66" s="20"/>
      <c r="TW66" s="20"/>
      <c r="TX66" s="20"/>
      <c r="TY66" s="20"/>
      <c r="TZ66" s="20"/>
      <c r="UA66" s="20"/>
      <c r="UB66" s="20"/>
      <c r="UC66" s="20"/>
      <c r="UD66" s="20"/>
      <c r="UE66" s="20"/>
      <c r="UF66" s="20"/>
      <c r="UG66" s="20"/>
      <c r="UH66" s="20"/>
      <c r="UI66" s="20"/>
      <c r="UJ66" s="20"/>
      <c r="UK66" s="20"/>
      <c r="UL66" s="20"/>
      <c r="UM66" s="20"/>
      <c r="UN66" s="20"/>
      <c r="UO66" s="20"/>
      <c r="UP66" s="20"/>
      <c r="UQ66" s="20"/>
      <c r="UR66" s="20"/>
      <c r="US66" s="20"/>
      <c r="UT66" s="20"/>
      <c r="UU66" s="20"/>
      <c r="UV66" s="20"/>
      <c r="UW66" s="20"/>
      <c r="UX66" s="20"/>
      <c r="UY66" s="20"/>
      <c r="UZ66" s="20"/>
      <c r="VA66" s="20"/>
      <c r="VB66" s="20"/>
      <c r="VC66" s="20"/>
      <c r="VD66" s="20"/>
      <c r="VE66" s="20"/>
      <c r="VF66" s="20"/>
      <c r="VG66" s="20"/>
      <c r="VH66" s="20"/>
      <c r="VI66" s="20"/>
      <c r="VJ66" s="20"/>
      <c r="VK66" s="20"/>
      <c r="VL66" s="20"/>
      <c r="VM66" s="20"/>
      <c r="VN66" s="20"/>
      <c r="VO66" s="20"/>
      <c r="VP66" s="20"/>
      <c r="VQ66" s="20"/>
      <c r="VR66" s="20"/>
      <c r="VS66" s="20"/>
      <c r="VT66" s="20"/>
      <c r="VU66" s="20"/>
      <c r="VV66" s="20"/>
      <c r="VW66" s="20"/>
      <c r="VX66" s="20"/>
      <c r="VY66" s="20"/>
      <c r="VZ66" s="20"/>
      <c r="WA66" s="20"/>
      <c r="WB66" s="20"/>
      <c r="WC66" s="20"/>
      <c r="WD66" s="20"/>
      <c r="WE66" s="20"/>
      <c r="WF66" s="20"/>
      <c r="WG66" s="20"/>
      <c r="WH66" s="20"/>
      <c r="WI66" s="20"/>
      <c r="WJ66" s="20"/>
      <c r="WK66" s="20"/>
      <c r="WL66" s="20"/>
      <c r="WM66" s="20"/>
      <c r="WN66" s="20"/>
      <c r="WO66" s="20"/>
      <c r="WP66" s="20"/>
      <c r="WQ66" s="20"/>
      <c r="WR66" s="20"/>
      <c r="WS66" s="20"/>
      <c r="WT66" s="20"/>
      <c r="WU66" s="20"/>
      <c r="WV66" s="20"/>
      <c r="WW66" s="20"/>
      <c r="WX66" s="20"/>
      <c r="WY66" s="20"/>
      <c r="WZ66" s="20"/>
      <c r="XA66" s="20"/>
      <c r="XB66" s="20"/>
      <c r="XC66" s="20"/>
      <c r="XD66" s="20"/>
      <c r="XE66" s="20"/>
      <c r="XF66" s="20"/>
      <c r="XG66" s="20"/>
      <c r="XH66" s="20"/>
      <c r="XI66" s="20"/>
      <c r="XJ66" s="20"/>
      <c r="XK66" s="20"/>
      <c r="XL66" s="20"/>
      <c r="XM66" s="20"/>
      <c r="XN66" s="20"/>
      <c r="XO66" s="20"/>
      <c r="XP66" s="20"/>
      <c r="XQ66" s="20"/>
      <c r="XR66" s="20"/>
      <c r="XS66" s="20"/>
      <c r="XT66" s="20"/>
      <c r="XU66" s="20"/>
      <c r="XV66" s="20"/>
      <c r="XW66" s="20"/>
      <c r="XX66" s="20"/>
      <c r="XY66" s="20"/>
      <c r="XZ66" s="20"/>
      <c r="YA66" s="20"/>
      <c r="YB66" s="20"/>
      <c r="YC66" s="20"/>
      <c r="YD66" s="20"/>
      <c r="YE66" s="20"/>
      <c r="YF66" s="20"/>
      <c r="YG66" s="20"/>
      <c r="YH66" s="20"/>
      <c r="YI66" s="20"/>
      <c r="YJ66" s="20"/>
      <c r="YK66" s="20"/>
      <c r="YL66" s="20"/>
      <c r="YM66" s="20"/>
      <c r="YN66" s="20"/>
      <c r="YO66" s="20"/>
      <c r="YP66" s="20"/>
      <c r="YQ66" s="20"/>
      <c r="YR66" s="20"/>
      <c r="YS66" s="20"/>
      <c r="YT66" s="20"/>
      <c r="YU66" s="20"/>
      <c r="YV66" s="20"/>
      <c r="YW66" s="20"/>
      <c r="YX66" s="20"/>
      <c r="YY66" s="20"/>
      <c r="YZ66" s="20"/>
      <c r="ZA66" s="20"/>
      <c r="ZB66" s="20"/>
      <c r="ZC66" s="20"/>
      <c r="ZD66" s="20"/>
      <c r="ZE66" s="20"/>
      <c r="ZF66" s="20"/>
      <c r="ZG66" s="20"/>
      <c r="ZH66" s="20"/>
      <c r="ZI66" s="20"/>
      <c r="ZJ66" s="20"/>
      <c r="ZK66" s="20"/>
      <c r="ZL66" s="20"/>
      <c r="ZM66" s="20"/>
      <c r="ZN66" s="20"/>
      <c r="ZO66" s="20"/>
      <c r="ZP66" s="20"/>
      <c r="ZQ66" s="20"/>
      <c r="ZR66" s="20"/>
      <c r="ZS66" s="20"/>
      <c r="ZT66" s="20"/>
      <c r="ZU66" s="20"/>
      <c r="ZV66" s="20"/>
      <c r="ZW66" s="20"/>
      <c r="ZX66" s="20"/>
      <c r="ZY66" s="20"/>
      <c r="ZZ66" s="20"/>
      <c r="AAA66" s="20"/>
      <c r="AAB66" s="20"/>
      <c r="AAC66" s="20"/>
      <c r="AAD66" s="20"/>
      <c r="AAE66" s="20"/>
      <c r="AAF66" s="20"/>
    </row>
    <row r="67" spans="1:708" ht="72.75" customHeight="1" x14ac:dyDescent="0.25">
      <c r="A67" s="93" t="s">
        <v>43</v>
      </c>
      <c r="B67" s="93" t="s">
        <v>44</v>
      </c>
      <c r="C67" s="93" t="s">
        <v>45</v>
      </c>
      <c r="D67" s="93" t="s">
        <v>46</v>
      </c>
      <c r="E67" s="93" t="s">
        <v>47</v>
      </c>
      <c r="F67" s="93" t="s">
        <v>326</v>
      </c>
      <c r="G67" s="93" t="s">
        <v>49</v>
      </c>
      <c r="H67" s="93" t="s">
        <v>50</v>
      </c>
      <c r="I67" s="94" t="s">
        <v>51</v>
      </c>
      <c r="J67" s="112" t="s">
        <v>52</v>
      </c>
      <c r="K67" s="112" t="s">
        <v>327</v>
      </c>
      <c r="L67" s="112" t="s">
        <v>328</v>
      </c>
      <c r="M67" s="112" t="s">
        <v>329</v>
      </c>
      <c r="N67" s="112" t="s">
        <v>74</v>
      </c>
      <c r="O67" s="112"/>
      <c r="P67" s="113">
        <v>0.65</v>
      </c>
      <c r="Q67" s="660"/>
      <c r="R67" s="661"/>
      <c r="S67" s="661"/>
      <c r="T67" s="661"/>
      <c r="U67" s="662"/>
      <c r="V67" s="1004">
        <v>2896815490</v>
      </c>
      <c r="W67" s="1009"/>
      <c r="X67" s="71" t="s">
        <v>330</v>
      </c>
      <c r="Y67" s="73">
        <f>(50/53)</f>
        <v>0.94339622641509435</v>
      </c>
      <c r="Z67" s="81">
        <f t="shared" ref="Z67:Z72" si="14">+P67</f>
        <v>0.65</v>
      </c>
      <c r="AA67" s="73">
        <f t="shared" ref="AA67:AA72" si="15">+Y67/Z67</f>
        <v>1.4513788098693758</v>
      </c>
      <c r="AB67" s="71" t="s">
        <v>331</v>
      </c>
      <c r="AC67" s="659"/>
      <c r="AD67" s="659"/>
      <c r="AE67" s="659"/>
      <c r="AF67" s="659"/>
      <c r="AG67" s="75">
        <v>0.97029702970297027</v>
      </c>
      <c r="AH67" s="82">
        <v>0.65</v>
      </c>
      <c r="AI67" s="75">
        <v>1.4927646610814926</v>
      </c>
      <c r="AJ67" s="74" t="s">
        <v>332</v>
      </c>
      <c r="AK67" s="672"/>
      <c r="AL67" s="672"/>
      <c r="AM67" s="672"/>
      <c r="AN67" s="672"/>
      <c r="AO67" s="114">
        <v>0.95</v>
      </c>
      <c r="AP67" s="113">
        <f t="shared" ref="AP67:AP72" si="16">+P67</f>
        <v>0.65</v>
      </c>
      <c r="AQ67" s="115">
        <f t="shared" ref="AQ67:AQ72" si="17">+AO67/AP67</f>
        <v>1.4615384615384615</v>
      </c>
      <c r="AR67" s="116" t="s">
        <v>333</v>
      </c>
      <c r="AS67" s="659"/>
      <c r="AT67" s="659"/>
      <c r="AU67" s="659"/>
      <c r="AV67" s="659"/>
    </row>
    <row r="68" spans="1:708" ht="56.25" customHeight="1" x14ac:dyDescent="0.25">
      <c r="A68" s="90" t="s">
        <v>43</v>
      </c>
      <c r="B68" s="90" t="s">
        <v>44</v>
      </c>
      <c r="C68" s="90" t="s">
        <v>45</v>
      </c>
      <c r="D68" s="90" t="s">
        <v>46</v>
      </c>
      <c r="E68" s="90" t="s">
        <v>71</v>
      </c>
      <c r="F68" s="90" t="s">
        <v>48</v>
      </c>
      <c r="G68" s="90" t="s">
        <v>49</v>
      </c>
      <c r="H68" s="90" t="s">
        <v>50</v>
      </c>
      <c r="I68" s="90" t="s">
        <v>51</v>
      </c>
      <c r="J68" s="112" t="s">
        <v>52</v>
      </c>
      <c r="K68" s="112" t="s">
        <v>327</v>
      </c>
      <c r="L68" s="112" t="s">
        <v>334</v>
      </c>
      <c r="M68" s="112" t="s">
        <v>335</v>
      </c>
      <c r="N68" s="112" t="s">
        <v>74</v>
      </c>
      <c r="O68" s="112"/>
      <c r="P68" s="113">
        <v>0.65</v>
      </c>
      <c r="Q68" s="660"/>
      <c r="R68" s="661"/>
      <c r="S68" s="661"/>
      <c r="T68" s="661"/>
      <c r="U68" s="662"/>
      <c r="V68" s="1005"/>
      <c r="W68" s="1009"/>
      <c r="X68" s="64" t="s">
        <v>330</v>
      </c>
      <c r="Y68" s="85">
        <f>(115/182)</f>
        <v>0.63186813186813184</v>
      </c>
      <c r="Z68" s="117">
        <f t="shared" si="14"/>
        <v>0.65</v>
      </c>
      <c r="AA68" s="85">
        <f t="shared" si="15"/>
        <v>0.97210481825866435</v>
      </c>
      <c r="AB68" s="64" t="s">
        <v>336</v>
      </c>
      <c r="AC68" s="673"/>
      <c r="AD68" s="673"/>
      <c r="AE68" s="673"/>
      <c r="AF68" s="673"/>
      <c r="AG68" s="87">
        <v>0.66343825665859568</v>
      </c>
      <c r="AH68" s="118">
        <v>0.65</v>
      </c>
      <c r="AI68" s="87">
        <v>1.0206742410132241</v>
      </c>
      <c r="AJ68" s="66" t="s">
        <v>337</v>
      </c>
      <c r="AK68" s="674"/>
      <c r="AL68" s="674"/>
      <c r="AM68" s="674"/>
      <c r="AN68" s="674"/>
      <c r="AO68" s="119">
        <v>0.73</v>
      </c>
      <c r="AP68" s="120">
        <f t="shared" si="16"/>
        <v>0.65</v>
      </c>
      <c r="AQ68" s="121">
        <f t="shared" si="17"/>
        <v>1.1230769230769231</v>
      </c>
      <c r="AR68" s="116" t="s">
        <v>338</v>
      </c>
      <c r="AS68" s="673"/>
      <c r="AT68" s="673"/>
      <c r="AU68" s="673"/>
      <c r="AV68" s="673"/>
    </row>
    <row r="69" spans="1:708" ht="78" customHeight="1" x14ac:dyDescent="0.25">
      <c r="A69" s="93" t="s">
        <v>43</v>
      </c>
      <c r="B69" s="93" t="s">
        <v>44</v>
      </c>
      <c r="C69" s="93" t="s">
        <v>45</v>
      </c>
      <c r="D69" s="93" t="s">
        <v>46</v>
      </c>
      <c r="E69" s="93" t="s">
        <v>71</v>
      </c>
      <c r="F69" s="93" t="s">
        <v>48</v>
      </c>
      <c r="G69" s="93" t="s">
        <v>49</v>
      </c>
      <c r="H69" s="93" t="s">
        <v>50</v>
      </c>
      <c r="I69" s="94" t="s">
        <v>51</v>
      </c>
      <c r="J69" s="112" t="s">
        <v>52</v>
      </c>
      <c r="K69" s="112" t="s">
        <v>327</v>
      </c>
      <c r="L69" s="112" t="s">
        <v>339</v>
      </c>
      <c r="M69" s="112" t="s">
        <v>340</v>
      </c>
      <c r="N69" s="112" t="s">
        <v>74</v>
      </c>
      <c r="O69" s="112"/>
      <c r="P69" s="113">
        <v>0.5</v>
      </c>
      <c r="Q69" s="660"/>
      <c r="R69" s="661"/>
      <c r="S69" s="661"/>
      <c r="T69" s="661"/>
      <c r="U69" s="662"/>
      <c r="V69" s="1005"/>
      <c r="W69" s="1009"/>
      <c r="X69" s="71" t="s">
        <v>330</v>
      </c>
      <c r="Y69" s="73">
        <v>0.2727</v>
      </c>
      <c r="Z69" s="81">
        <f t="shared" si="14"/>
        <v>0.5</v>
      </c>
      <c r="AA69" s="73">
        <f t="shared" si="15"/>
        <v>0.5454</v>
      </c>
      <c r="AB69" s="71" t="s">
        <v>341</v>
      </c>
      <c r="AC69" s="659"/>
      <c r="AD69" s="659"/>
      <c r="AE69" s="659"/>
      <c r="AF69" s="659"/>
      <c r="AG69" s="75">
        <v>0.41176470588235292</v>
      </c>
      <c r="AH69" s="82">
        <v>0.5</v>
      </c>
      <c r="AI69" s="75">
        <v>0.82352941176470584</v>
      </c>
      <c r="AJ69" s="74" t="s">
        <v>342</v>
      </c>
      <c r="AK69" s="672"/>
      <c r="AL69" s="672"/>
      <c r="AM69" s="672"/>
      <c r="AN69" s="672"/>
      <c r="AO69" s="114">
        <v>0.54</v>
      </c>
      <c r="AP69" s="113">
        <f t="shared" si="16"/>
        <v>0.5</v>
      </c>
      <c r="AQ69" s="115">
        <f t="shared" si="17"/>
        <v>1.08</v>
      </c>
      <c r="AR69" s="116" t="s">
        <v>343</v>
      </c>
      <c r="AS69" s="659"/>
      <c r="AT69" s="659"/>
      <c r="AU69" s="659"/>
      <c r="AV69" s="659"/>
    </row>
    <row r="70" spans="1:708" ht="90.75" customHeight="1" x14ac:dyDescent="0.25">
      <c r="A70" s="90" t="s">
        <v>43</v>
      </c>
      <c r="B70" s="90" t="s">
        <v>44</v>
      </c>
      <c r="C70" s="90" t="s">
        <v>45</v>
      </c>
      <c r="D70" s="90" t="s">
        <v>46</v>
      </c>
      <c r="E70" s="90" t="s">
        <v>71</v>
      </c>
      <c r="F70" s="90" t="s">
        <v>48</v>
      </c>
      <c r="G70" s="90" t="s">
        <v>49</v>
      </c>
      <c r="H70" s="90" t="s">
        <v>50</v>
      </c>
      <c r="I70" s="90" t="s">
        <v>51</v>
      </c>
      <c r="J70" s="112" t="s">
        <v>52</v>
      </c>
      <c r="K70" s="112" t="s">
        <v>327</v>
      </c>
      <c r="L70" s="112" t="s">
        <v>344</v>
      </c>
      <c r="M70" s="112" t="s">
        <v>345</v>
      </c>
      <c r="N70" s="112" t="s">
        <v>74</v>
      </c>
      <c r="O70" s="112"/>
      <c r="P70" s="113">
        <v>0.65</v>
      </c>
      <c r="Q70" s="660"/>
      <c r="R70" s="661"/>
      <c r="S70" s="661"/>
      <c r="T70" s="661"/>
      <c r="U70" s="662"/>
      <c r="V70" s="1005"/>
      <c r="W70" s="1009"/>
      <c r="X70" s="64" t="s">
        <v>330</v>
      </c>
      <c r="Y70" s="85">
        <v>0.68179999999999996</v>
      </c>
      <c r="Z70" s="117">
        <f t="shared" si="14"/>
        <v>0.65</v>
      </c>
      <c r="AA70" s="85">
        <f t="shared" si="15"/>
        <v>1.0489230769230768</v>
      </c>
      <c r="AB70" s="64" t="s">
        <v>346</v>
      </c>
      <c r="AC70" s="673"/>
      <c r="AD70" s="673"/>
      <c r="AE70" s="673"/>
      <c r="AF70" s="673"/>
      <c r="AG70" s="87">
        <v>0.75</v>
      </c>
      <c r="AH70" s="118">
        <v>0.65</v>
      </c>
      <c r="AI70" s="87">
        <v>1.1538461538461537</v>
      </c>
      <c r="AJ70" s="66" t="s">
        <v>347</v>
      </c>
      <c r="AK70" s="674"/>
      <c r="AL70" s="674"/>
      <c r="AM70" s="674"/>
      <c r="AN70" s="674"/>
      <c r="AO70" s="119">
        <v>0.82</v>
      </c>
      <c r="AP70" s="120">
        <f t="shared" si="16"/>
        <v>0.65</v>
      </c>
      <c r="AQ70" s="121">
        <f t="shared" si="17"/>
        <v>1.2615384615384615</v>
      </c>
      <c r="AR70" s="116" t="s">
        <v>348</v>
      </c>
      <c r="AS70" s="673"/>
      <c r="AT70" s="673"/>
      <c r="AU70" s="673"/>
      <c r="AV70" s="673"/>
    </row>
    <row r="71" spans="1:708" ht="72" customHeight="1" x14ac:dyDescent="0.25">
      <c r="A71" s="93" t="s">
        <v>43</v>
      </c>
      <c r="B71" s="93" t="s">
        <v>44</v>
      </c>
      <c r="C71" s="93" t="s">
        <v>45</v>
      </c>
      <c r="D71" s="93" t="s">
        <v>349</v>
      </c>
      <c r="E71" s="93" t="s">
        <v>47</v>
      </c>
      <c r="F71" s="93" t="s">
        <v>350</v>
      </c>
      <c r="G71" s="93" t="s">
        <v>49</v>
      </c>
      <c r="H71" s="93" t="s">
        <v>50</v>
      </c>
      <c r="I71" s="94" t="s">
        <v>51</v>
      </c>
      <c r="J71" s="112" t="s">
        <v>52</v>
      </c>
      <c r="K71" s="112" t="s">
        <v>327</v>
      </c>
      <c r="L71" s="112" t="s">
        <v>351</v>
      </c>
      <c r="M71" s="112" t="s">
        <v>352</v>
      </c>
      <c r="N71" s="112" t="s">
        <v>74</v>
      </c>
      <c r="O71" s="112"/>
      <c r="P71" s="113">
        <v>0.8</v>
      </c>
      <c r="Q71" s="660"/>
      <c r="R71" s="661"/>
      <c r="S71" s="661"/>
      <c r="T71" s="661"/>
      <c r="U71" s="662"/>
      <c r="V71" s="1005"/>
      <c r="W71" s="1009"/>
      <c r="X71" s="71" t="s">
        <v>330</v>
      </c>
      <c r="Y71" s="122">
        <f>(42/43)</f>
        <v>0.97674418604651159</v>
      </c>
      <c r="Z71" s="81">
        <f t="shared" si="14"/>
        <v>0.8</v>
      </c>
      <c r="AA71" s="73">
        <f t="shared" si="15"/>
        <v>1.2209302325581395</v>
      </c>
      <c r="AB71" s="71" t="s">
        <v>353</v>
      </c>
      <c r="AC71" s="659"/>
      <c r="AD71" s="659"/>
      <c r="AE71" s="659"/>
      <c r="AF71" s="659"/>
      <c r="AG71" s="123">
        <v>1</v>
      </c>
      <c r="AH71" s="82">
        <v>0.8</v>
      </c>
      <c r="AI71" s="75">
        <v>1.25</v>
      </c>
      <c r="AJ71" s="74" t="s">
        <v>354</v>
      </c>
      <c r="AK71" s="672"/>
      <c r="AL71" s="672"/>
      <c r="AM71" s="672"/>
      <c r="AN71" s="672"/>
      <c r="AO71" s="124">
        <v>0.99</v>
      </c>
      <c r="AP71" s="113">
        <f t="shared" si="16"/>
        <v>0.8</v>
      </c>
      <c r="AQ71" s="115">
        <f>+AO71/AP71</f>
        <v>1.2374999999999998</v>
      </c>
      <c r="AR71" s="116" t="s">
        <v>355</v>
      </c>
      <c r="AS71" s="659"/>
      <c r="AT71" s="659"/>
      <c r="AU71" s="659"/>
      <c r="AV71" s="659"/>
    </row>
    <row r="72" spans="1:708" ht="72" customHeight="1" x14ac:dyDescent="0.25">
      <c r="A72" s="90" t="s">
        <v>43</v>
      </c>
      <c r="B72" s="90" t="s">
        <v>44</v>
      </c>
      <c r="C72" s="90" t="s">
        <v>45</v>
      </c>
      <c r="D72" s="90" t="s">
        <v>349</v>
      </c>
      <c r="E72" s="90" t="s">
        <v>71</v>
      </c>
      <c r="F72" s="90" t="s">
        <v>48</v>
      </c>
      <c r="G72" s="90" t="s">
        <v>49</v>
      </c>
      <c r="H72" s="90" t="s">
        <v>50</v>
      </c>
      <c r="I72" s="90" t="s">
        <v>51</v>
      </c>
      <c r="J72" s="112" t="s">
        <v>52</v>
      </c>
      <c r="K72" s="112" t="s">
        <v>327</v>
      </c>
      <c r="L72" s="112" t="s">
        <v>356</v>
      </c>
      <c r="M72" s="112" t="s">
        <v>357</v>
      </c>
      <c r="N72" s="112" t="s">
        <v>74</v>
      </c>
      <c r="O72" s="112"/>
      <c r="P72" s="113">
        <v>0.8</v>
      </c>
      <c r="Q72" s="660"/>
      <c r="R72" s="661"/>
      <c r="S72" s="661"/>
      <c r="T72" s="661"/>
      <c r="U72" s="662"/>
      <c r="V72" s="1015"/>
      <c r="W72" s="1009"/>
      <c r="X72" s="64" t="s">
        <v>330</v>
      </c>
      <c r="Y72" s="85">
        <f>(68/68)</f>
        <v>1</v>
      </c>
      <c r="Z72" s="117">
        <f t="shared" si="14"/>
        <v>0.8</v>
      </c>
      <c r="AA72" s="85">
        <f t="shared" si="15"/>
        <v>1.25</v>
      </c>
      <c r="AB72" s="64" t="s">
        <v>358</v>
      </c>
      <c r="AC72" s="673"/>
      <c r="AD72" s="673"/>
      <c r="AE72" s="673"/>
      <c r="AF72" s="673"/>
      <c r="AG72" s="125">
        <v>0.9719626168224299</v>
      </c>
      <c r="AH72" s="118">
        <v>0.8</v>
      </c>
      <c r="AI72" s="87">
        <v>1.2149532710280373</v>
      </c>
      <c r="AJ72" s="66" t="s">
        <v>359</v>
      </c>
      <c r="AK72" s="674"/>
      <c r="AL72" s="674"/>
      <c r="AM72" s="674"/>
      <c r="AN72" s="674"/>
      <c r="AO72" s="119">
        <v>0.98</v>
      </c>
      <c r="AP72" s="120">
        <f t="shared" si="16"/>
        <v>0.8</v>
      </c>
      <c r="AQ72" s="121">
        <f t="shared" si="17"/>
        <v>1.2249999999999999</v>
      </c>
      <c r="AR72" s="116" t="s">
        <v>360</v>
      </c>
      <c r="AS72" s="673"/>
      <c r="AT72" s="673"/>
      <c r="AU72" s="673"/>
      <c r="AV72" s="673"/>
      <c r="AX72" s="126"/>
    </row>
    <row r="73" spans="1:708" s="21" customFormat="1" ht="70.5" customHeight="1" x14ac:dyDescent="0.25">
      <c r="A73" s="52"/>
      <c r="B73" s="52"/>
      <c r="C73" s="52"/>
      <c r="D73" s="52"/>
      <c r="E73" s="52"/>
      <c r="F73" s="52"/>
      <c r="G73" s="52"/>
      <c r="H73" s="52"/>
      <c r="I73" s="52"/>
      <c r="J73" s="52"/>
      <c r="K73" s="52"/>
      <c r="L73" s="52"/>
      <c r="M73" s="52"/>
      <c r="N73" s="52"/>
      <c r="O73" s="52"/>
      <c r="P73" s="53"/>
      <c r="Q73" s="52"/>
      <c r="R73" s="52"/>
      <c r="S73" s="53"/>
      <c r="T73" s="52"/>
      <c r="U73" s="52"/>
      <c r="V73" s="89"/>
      <c r="W73" s="1009"/>
      <c r="X73" s="52"/>
      <c r="Y73" s="657" t="s">
        <v>99</v>
      </c>
      <c r="Z73" s="657"/>
      <c r="AA73" s="55">
        <f>AVERAGE(AA67:AA72)</f>
        <v>1.0814561562682095</v>
      </c>
      <c r="AB73" s="56"/>
      <c r="AC73" s="657" t="s">
        <v>100</v>
      </c>
      <c r="AD73" s="657"/>
      <c r="AE73" s="57" t="s">
        <v>283</v>
      </c>
      <c r="AF73" s="58"/>
      <c r="AG73" s="658" t="s">
        <v>99</v>
      </c>
      <c r="AH73" s="658"/>
      <c r="AI73" s="59">
        <v>1.1592946231222687</v>
      </c>
      <c r="AJ73" s="60"/>
      <c r="AK73" s="658" t="s">
        <v>100</v>
      </c>
      <c r="AL73" s="658"/>
      <c r="AM73" s="61" t="s">
        <v>283</v>
      </c>
      <c r="AN73" s="62"/>
      <c r="AO73" s="657" t="s">
        <v>99</v>
      </c>
      <c r="AP73" s="657"/>
      <c r="AQ73" s="55">
        <f>AVERAGE(AQ67:AQ72)</f>
        <v>1.2314423076923076</v>
      </c>
      <c r="AR73" s="56"/>
      <c r="AS73" s="657" t="s">
        <v>100</v>
      </c>
      <c r="AT73" s="657"/>
      <c r="AU73" s="57" t="s">
        <v>283</v>
      </c>
      <c r="AV73" s="58"/>
      <c r="AW73" s="20"/>
      <c r="AX73" s="20"/>
      <c r="AY73" s="20"/>
      <c r="AZ73" s="20"/>
      <c r="BA73" s="20"/>
      <c r="BB73" s="20"/>
      <c r="BC73" s="20"/>
      <c r="BD73" s="20"/>
      <c r="BE73" s="20"/>
      <c r="BF73" s="20"/>
      <c r="BG73" s="20"/>
      <c r="BH73" s="20"/>
      <c r="BI73" s="20"/>
      <c r="BJ73" s="20"/>
      <c r="BK73" s="20"/>
      <c r="BL73" s="20"/>
      <c r="BM73" s="20"/>
      <c r="BN73" s="20"/>
      <c r="BO73" s="20"/>
      <c r="BP73" s="20"/>
      <c r="BQ73" s="20"/>
      <c r="BR73" s="20"/>
      <c r="BS73" s="20"/>
      <c r="BT73" s="20"/>
      <c r="BU73" s="20"/>
      <c r="BV73" s="20"/>
      <c r="BW73" s="20"/>
      <c r="BX73" s="20"/>
      <c r="BY73" s="20"/>
      <c r="BZ73" s="20"/>
      <c r="CA73" s="20"/>
      <c r="CB73" s="20"/>
      <c r="CC73" s="20"/>
      <c r="CD73" s="20"/>
      <c r="CE73" s="20"/>
      <c r="CF73" s="20"/>
      <c r="CG73" s="20"/>
      <c r="CH73" s="20"/>
      <c r="CI73" s="20"/>
      <c r="CJ73" s="20"/>
      <c r="CK73" s="20"/>
      <c r="CL73" s="20"/>
      <c r="CM73" s="20"/>
      <c r="CN73" s="20"/>
      <c r="CO73" s="20"/>
      <c r="CP73" s="20"/>
      <c r="CQ73" s="20"/>
      <c r="CR73" s="20"/>
      <c r="CS73" s="20"/>
      <c r="CT73" s="20"/>
      <c r="CU73" s="20"/>
      <c r="CV73" s="20"/>
      <c r="CW73" s="20"/>
      <c r="CX73" s="20"/>
      <c r="CY73" s="20"/>
      <c r="CZ73" s="20"/>
      <c r="DA73" s="20"/>
      <c r="DB73" s="20"/>
      <c r="DC73" s="20"/>
      <c r="DD73" s="20"/>
      <c r="DE73" s="20"/>
      <c r="DF73" s="20"/>
      <c r="DG73" s="20"/>
      <c r="DH73" s="20"/>
      <c r="DI73" s="20"/>
      <c r="DJ73" s="20"/>
      <c r="DK73" s="20"/>
      <c r="DL73" s="20"/>
      <c r="DM73" s="20"/>
      <c r="DN73" s="20"/>
      <c r="DO73" s="20"/>
      <c r="DP73" s="20"/>
      <c r="DQ73" s="20"/>
      <c r="DR73" s="20"/>
      <c r="DS73" s="20"/>
      <c r="DT73" s="20"/>
      <c r="DU73" s="20"/>
      <c r="DV73" s="20"/>
      <c r="DW73" s="20"/>
      <c r="DX73" s="20"/>
      <c r="DY73" s="20"/>
      <c r="DZ73" s="20"/>
      <c r="EA73" s="20"/>
      <c r="EB73" s="20"/>
      <c r="EC73" s="20"/>
      <c r="ED73" s="20"/>
      <c r="EE73" s="20"/>
      <c r="EF73" s="20"/>
      <c r="EG73" s="20"/>
      <c r="EH73" s="20"/>
      <c r="EI73" s="20"/>
      <c r="EJ73" s="20"/>
      <c r="EK73" s="20"/>
      <c r="EL73" s="20"/>
      <c r="EM73" s="20"/>
      <c r="EN73" s="20"/>
      <c r="EO73" s="20"/>
      <c r="EP73" s="20"/>
      <c r="EQ73" s="20"/>
      <c r="ER73" s="20"/>
      <c r="ES73" s="20"/>
      <c r="ET73" s="20"/>
      <c r="EU73" s="20"/>
      <c r="EV73" s="20"/>
      <c r="EW73" s="20"/>
      <c r="EX73" s="20"/>
      <c r="EY73" s="20"/>
      <c r="EZ73" s="20"/>
      <c r="FA73" s="20"/>
      <c r="FB73" s="20"/>
      <c r="FC73" s="20"/>
      <c r="FD73" s="20"/>
      <c r="FE73" s="20"/>
      <c r="FF73" s="20"/>
      <c r="FG73" s="20"/>
      <c r="FH73" s="20"/>
      <c r="FI73" s="20"/>
      <c r="FJ73" s="20"/>
      <c r="FK73" s="20"/>
      <c r="FL73" s="20"/>
      <c r="FM73" s="20"/>
      <c r="FN73" s="20"/>
      <c r="FO73" s="20"/>
      <c r="FP73" s="20"/>
      <c r="FQ73" s="20"/>
      <c r="FR73" s="20"/>
      <c r="FS73" s="20"/>
      <c r="FT73" s="20"/>
      <c r="FU73" s="20"/>
      <c r="FV73" s="20"/>
      <c r="FW73" s="20"/>
      <c r="FX73" s="20"/>
      <c r="FY73" s="20"/>
      <c r="FZ73" s="20"/>
      <c r="GA73" s="20"/>
      <c r="GB73" s="20"/>
      <c r="GC73" s="20"/>
      <c r="GD73" s="20"/>
      <c r="GE73" s="20"/>
      <c r="GF73" s="20"/>
      <c r="GG73" s="20"/>
      <c r="GH73" s="20"/>
      <c r="GI73" s="20"/>
      <c r="GJ73" s="20"/>
      <c r="GK73" s="20"/>
      <c r="GL73" s="20"/>
      <c r="GM73" s="20"/>
      <c r="GN73" s="20"/>
      <c r="GO73" s="20"/>
      <c r="GP73" s="20"/>
      <c r="GQ73" s="20"/>
      <c r="GR73" s="20"/>
      <c r="GS73" s="20"/>
      <c r="GT73" s="20"/>
      <c r="GU73" s="20"/>
      <c r="GV73" s="20"/>
      <c r="GW73" s="20"/>
      <c r="GX73" s="20"/>
      <c r="GY73" s="20"/>
      <c r="GZ73" s="20"/>
      <c r="HA73" s="20"/>
      <c r="HB73" s="20"/>
      <c r="HC73" s="20"/>
      <c r="HD73" s="20"/>
      <c r="HE73" s="20"/>
      <c r="HF73" s="20"/>
      <c r="HG73" s="20"/>
      <c r="HH73" s="20"/>
      <c r="HI73" s="20"/>
      <c r="HJ73" s="20"/>
      <c r="HK73" s="20"/>
      <c r="HL73" s="20"/>
      <c r="HM73" s="20"/>
      <c r="HN73" s="20"/>
      <c r="HO73" s="20"/>
      <c r="HP73" s="20"/>
      <c r="HQ73" s="20"/>
      <c r="HR73" s="20"/>
      <c r="HS73" s="20"/>
      <c r="HT73" s="20"/>
      <c r="HU73" s="20"/>
      <c r="HV73" s="20"/>
      <c r="HW73" s="20"/>
      <c r="HX73" s="20"/>
      <c r="HY73" s="20"/>
      <c r="HZ73" s="20"/>
      <c r="IA73" s="20"/>
      <c r="IB73" s="20"/>
      <c r="IC73" s="20"/>
      <c r="ID73" s="20"/>
      <c r="IE73" s="20"/>
      <c r="IF73" s="20"/>
      <c r="IG73" s="20"/>
      <c r="IH73" s="20"/>
      <c r="II73" s="20"/>
      <c r="IJ73" s="20"/>
      <c r="IK73" s="20"/>
      <c r="IL73" s="20"/>
      <c r="IM73" s="20"/>
      <c r="IN73" s="20"/>
      <c r="IO73" s="20"/>
      <c r="IP73" s="20"/>
      <c r="IQ73" s="20"/>
      <c r="IR73" s="20"/>
      <c r="IS73" s="20"/>
      <c r="IT73" s="20"/>
      <c r="IU73" s="20"/>
      <c r="IV73" s="20"/>
      <c r="IW73" s="20"/>
      <c r="IX73" s="20"/>
      <c r="IY73" s="20"/>
      <c r="IZ73" s="20"/>
      <c r="JA73" s="20"/>
      <c r="JB73" s="20"/>
      <c r="JC73" s="20"/>
      <c r="JD73" s="20"/>
      <c r="JE73" s="20"/>
      <c r="JF73" s="20"/>
      <c r="JG73" s="20"/>
      <c r="JH73" s="20"/>
      <c r="JI73" s="20"/>
      <c r="JJ73" s="20"/>
      <c r="JK73" s="20"/>
      <c r="JL73" s="20"/>
      <c r="JM73" s="20"/>
      <c r="JN73" s="20"/>
      <c r="JO73" s="20"/>
      <c r="JP73" s="20"/>
      <c r="JQ73" s="20"/>
      <c r="JR73" s="20"/>
      <c r="JS73" s="20"/>
      <c r="JT73" s="20"/>
      <c r="JU73" s="20"/>
      <c r="JV73" s="20"/>
      <c r="JW73" s="20"/>
      <c r="JX73" s="20"/>
      <c r="JY73" s="20"/>
      <c r="JZ73" s="20"/>
      <c r="KA73" s="20"/>
      <c r="KB73" s="20"/>
      <c r="KC73" s="20"/>
      <c r="KD73" s="20"/>
      <c r="KE73" s="20"/>
      <c r="KF73" s="20"/>
      <c r="KG73" s="20"/>
      <c r="KH73" s="20"/>
      <c r="KI73" s="20"/>
      <c r="KJ73" s="20"/>
      <c r="KK73" s="20"/>
      <c r="KL73" s="20"/>
      <c r="KM73" s="20"/>
      <c r="KN73" s="20"/>
      <c r="KO73" s="20"/>
      <c r="KP73" s="20"/>
      <c r="KQ73" s="20"/>
      <c r="KR73" s="20"/>
      <c r="KS73" s="20"/>
      <c r="KT73" s="20"/>
      <c r="KU73" s="20"/>
      <c r="KV73" s="20"/>
      <c r="KW73" s="20"/>
      <c r="KX73" s="20"/>
      <c r="KY73" s="20"/>
      <c r="KZ73" s="20"/>
      <c r="LA73" s="20"/>
      <c r="LB73" s="20"/>
      <c r="LC73" s="20"/>
      <c r="LD73" s="20"/>
      <c r="LE73" s="20"/>
      <c r="LF73" s="20"/>
      <c r="LG73" s="20"/>
      <c r="LH73" s="20"/>
      <c r="LI73" s="20"/>
      <c r="LJ73" s="20"/>
      <c r="LK73" s="20"/>
      <c r="LL73" s="20"/>
      <c r="LM73" s="20"/>
      <c r="LN73" s="20"/>
      <c r="LO73" s="20"/>
      <c r="LP73" s="20"/>
      <c r="LQ73" s="20"/>
      <c r="LR73" s="20"/>
      <c r="LS73" s="20"/>
      <c r="LT73" s="20"/>
      <c r="LU73" s="20"/>
      <c r="LV73" s="20"/>
      <c r="LW73" s="20"/>
      <c r="LX73" s="20"/>
      <c r="LY73" s="20"/>
      <c r="LZ73" s="20"/>
      <c r="MA73" s="20"/>
      <c r="MB73" s="20"/>
      <c r="MC73" s="20"/>
      <c r="MD73" s="20"/>
      <c r="ME73" s="20"/>
      <c r="MF73" s="20"/>
      <c r="MG73" s="20"/>
      <c r="MH73" s="20"/>
      <c r="MI73" s="20"/>
      <c r="MJ73" s="20"/>
      <c r="MK73" s="20"/>
      <c r="ML73" s="20"/>
      <c r="MM73" s="20"/>
      <c r="MN73" s="20"/>
      <c r="MO73" s="20"/>
      <c r="MP73" s="20"/>
      <c r="MQ73" s="20"/>
      <c r="MR73" s="20"/>
      <c r="MS73" s="20"/>
      <c r="MT73" s="20"/>
      <c r="MU73" s="20"/>
      <c r="MV73" s="20"/>
      <c r="MW73" s="20"/>
      <c r="MX73" s="20"/>
      <c r="MY73" s="20"/>
      <c r="MZ73" s="20"/>
      <c r="NA73" s="20"/>
      <c r="NB73" s="20"/>
      <c r="NC73" s="20"/>
      <c r="ND73" s="20"/>
      <c r="NE73" s="20"/>
      <c r="NF73" s="20"/>
      <c r="NG73" s="20"/>
      <c r="NH73" s="20"/>
      <c r="NI73" s="20"/>
      <c r="NJ73" s="20"/>
      <c r="NK73" s="20"/>
      <c r="NL73" s="20"/>
      <c r="NM73" s="20"/>
      <c r="NN73" s="20"/>
      <c r="NO73" s="20"/>
      <c r="NP73" s="20"/>
      <c r="NQ73" s="20"/>
      <c r="NR73" s="20"/>
      <c r="NS73" s="20"/>
      <c r="NT73" s="20"/>
      <c r="NU73" s="20"/>
      <c r="NV73" s="20"/>
      <c r="NW73" s="20"/>
      <c r="NX73" s="20"/>
      <c r="NY73" s="20"/>
      <c r="NZ73" s="20"/>
      <c r="OA73" s="20"/>
      <c r="OB73" s="20"/>
      <c r="OC73" s="20"/>
      <c r="OD73" s="20"/>
      <c r="OE73" s="20"/>
      <c r="OF73" s="20"/>
      <c r="OG73" s="20"/>
      <c r="OH73" s="20"/>
      <c r="OI73" s="20"/>
      <c r="OJ73" s="20"/>
      <c r="OK73" s="20"/>
      <c r="OL73" s="20"/>
      <c r="OM73" s="20"/>
      <c r="ON73" s="20"/>
      <c r="OO73" s="20"/>
      <c r="OP73" s="20"/>
      <c r="OQ73" s="20"/>
      <c r="OR73" s="20"/>
      <c r="OS73" s="20"/>
      <c r="OT73" s="20"/>
      <c r="OU73" s="20"/>
      <c r="OV73" s="20"/>
      <c r="OW73" s="20"/>
      <c r="OX73" s="20"/>
      <c r="OY73" s="20"/>
      <c r="OZ73" s="20"/>
      <c r="PA73" s="20"/>
      <c r="PB73" s="20"/>
      <c r="PC73" s="20"/>
      <c r="PD73" s="20"/>
      <c r="PE73" s="20"/>
      <c r="PF73" s="20"/>
      <c r="PG73" s="20"/>
      <c r="PH73" s="20"/>
      <c r="PI73" s="20"/>
      <c r="PJ73" s="20"/>
      <c r="PK73" s="20"/>
      <c r="PL73" s="20"/>
      <c r="PM73" s="20"/>
      <c r="PN73" s="20"/>
      <c r="PO73" s="20"/>
      <c r="PP73" s="20"/>
      <c r="PQ73" s="20"/>
      <c r="PR73" s="20"/>
      <c r="PS73" s="20"/>
      <c r="PT73" s="20"/>
      <c r="PU73" s="20"/>
      <c r="PV73" s="20"/>
      <c r="PW73" s="20"/>
      <c r="PX73" s="20"/>
      <c r="PY73" s="20"/>
      <c r="PZ73" s="20"/>
      <c r="QA73" s="20"/>
      <c r="QB73" s="20"/>
      <c r="QC73" s="20"/>
      <c r="QD73" s="20"/>
      <c r="QE73" s="20"/>
      <c r="QF73" s="20"/>
      <c r="QG73" s="20"/>
      <c r="QH73" s="20"/>
      <c r="QI73" s="20"/>
      <c r="QJ73" s="20"/>
      <c r="QK73" s="20"/>
      <c r="QL73" s="20"/>
      <c r="QM73" s="20"/>
      <c r="QN73" s="20"/>
      <c r="QO73" s="20"/>
      <c r="QP73" s="20"/>
      <c r="QQ73" s="20"/>
      <c r="QR73" s="20"/>
      <c r="QS73" s="20"/>
      <c r="QT73" s="20"/>
      <c r="QU73" s="20"/>
      <c r="QV73" s="20"/>
      <c r="QW73" s="20"/>
      <c r="QX73" s="20"/>
      <c r="QY73" s="20"/>
      <c r="QZ73" s="20"/>
      <c r="RA73" s="20"/>
      <c r="RB73" s="20"/>
      <c r="RC73" s="20"/>
      <c r="RD73" s="20"/>
      <c r="RE73" s="20"/>
      <c r="RF73" s="20"/>
      <c r="RG73" s="20"/>
      <c r="RH73" s="20"/>
      <c r="RI73" s="20"/>
      <c r="RJ73" s="20"/>
      <c r="RK73" s="20"/>
      <c r="RL73" s="20"/>
      <c r="RM73" s="20"/>
      <c r="RN73" s="20"/>
      <c r="RO73" s="20"/>
      <c r="RP73" s="20"/>
      <c r="RQ73" s="20"/>
      <c r="RR73" s="20"/>
      <c r="RS73" s="20"/>
      <c r="RT73" s="20"/>
      <c r="RU73" s="20"/>
      <c r="RV73" s="20"/>
      <c r="RW73" s="20"/>
      <c r="RX73" s="20"/>
      <c r="RY73" s="20"/>
      <c r="RZ73" s="20"/>
      <c r="SA73" s="20"/>
      <c r="SB73" s="20"/>
      <c r="SC73" s="20"/>
      <c r="SD73" s="20"/>
      <c r="SE73" s="20"/>
      <c r="SF73" s="20"/>
      <c r="SG73" s="20"/>
      <c r="SH73" s="20"/>
      <c r="SI73" s="20"/>
      <c r="SJ73" s="20"/>
      <c r="SK73" s="20"/>
      <c r="SL73" s="20"/>
      <c r="SM73" s="20"/>
      <c r="SN73" s="20"/>
      <c r="SO73" s="20"/>
      <c r="SP73" s="20"/>
      <c r="SQ73" s="20"/>
      <c r="SR73" s="20"/>
      <c r="SS73" s="20"/>
      <c r="ST73" s="20"/>
      <c r="SU73" s="20"/>
      <c r="SV73" s="20"/>
      <c r="SW73" s="20"/>
      <c r="SX73" s="20"/>
      <c r="SY73" s="20"/>
      <c r="SZ73" s="20"/>
      <c r="TA73" s="20"/>
      <c r="TB73" s="20"/>
      <c r="TC73" s="20"/>
      <c r="TD73" s="20"/>
      <c r="TE73" s="20"/>
      <c r="TF73" s="20"/>
      <c r="TG73" s="20"/>
      <c r="TH73" s="20"/>
      <c r="TI73" s="20"/>
      <c r="TJ73" s="20"/>
      <c r="TK73" s="20"/>
      <c r="TL73" s="20"/>
      <c r="TM73" s="20"/>
      <c r="TN73" s="20"/>
      <c r="TO73" s="20"/>
      <c r="TP73" s="20"/>
      <c r="TQ73" s="20"/>
      <c r="TR73" s="20"/>
      <c r="TS73" s="20"/>
      <c r="TT73" s="20"/>
      <c r="TU73" s="20"/>
      <c r="TV73" s="20"/>
      <c r="TW73" s="20"/>
      <c r="TX73" s="20"/>
      <c r="TY73" s="20"/>
      <c r="TZ73" s="20"/>
      <c r="UA73" s="20"/>
      <c r="UB73" s="20"/>
      <c r="UC73" s="20"/>
      <c r="UD73" s="20"/>
      <c r="UE73" s="20"/>
      <c r="UF73" s="20"/>
      <c r="UG73" s="20"/>
      <c r="UH73" s="20"/>
      <c r="UI73" s="20"/>
      <c r="UJ73" s="20"/>
      <c r="UK73" s="20"/>
      <c r="UL73" s="20"/>
      <c r="UM73" s="20"/>
      <c r="UN73" s="20"/>
      <c r="UO73" s="20"/>
      <c r="UP73" s="20"/>
      <c r="UQ73" s="20"/>
      <c r="UR73" s="20"/>
      <c r="US73" s="20"/>
      <c r="UT73" s="20"/>
      <c r="UU73" s="20"/>
      <c r="UV73" s="20"/>
      <c r="UW73" s="20"/>
      <c r="UX73" s="20"/>
      <c r="UY73" s="20"/>
      <c r="UZ73" s="20"/>
      <c r="VA73" s="20"/>
      <c r="VB73" s="20"/>
      <c r="VC73" s="20"/>
      <c r="VD73" s="20"/>
      <c r="VE73" s="20"/>
      <c r="VF73" s="20"/>
      <c r="VG73" s="20"/>
      <c r="VH73" s="20"/>
      <c r="VI73" s="20"/>
      <c r="VJ73" s="20"/>
      <c r="VK73" s="20"/>
      <c r="VL73" s="20"/>
      <c r="VM73" s="20"/>
      <c r="VN73" s="20"/>
      <c r="VO73" s="20"/>
      <c r="VP73" s="20"/>
      <c r="VQ73" s="20"/>
      <c r="VR73" s="20"/>
      <c r="VS73" s="20"/>
      <c r="VT73" s="20"/>
      <c r="VU73" s="20"/>
      <c r="VV73" s="20"/>
      <c r="VW73" s="20"/>
      <c r="VX73" s="20"/>
      <c r="VY73" s="20"/>
      <c r="VZ73" s="20"/>
      <c r="WA73" s="20"/>
      <c r="WB73" s="20"/>
      <c r="WC73" s="20"/>
      <c r="WD73" s="20"/>
      <c r="WE73" s="20"/>
      <c r="WF73" s="20"/>
      <c r="WG73" s="20"/>
      <c r="WH73" s="20"/>
      <c r="WI73" s="20"/>
      <c r="WJ73" s="20"/>
      <c r="WK73" s="20"/>
      <c r="WL73" s="20"/>
      <c r="WM73" s="20"/>
      <c r="WN73" s="20"/>
      <c r="WO73" s="20"/>
      <c r="WP73" s="20"/>
      <c r="WQ73" s="20"/>
      <c r="WR73" s="20"/>
      <c r="WS73" s="20"/>
      <c r="WT73" s="20"/>
      <c r="WU73" s="20"/>
      <c r="WV73" s="20"/>
      <c r="WW73" s="20"/>
      <c r="WX73" s="20"/>
      <c r="WY73" s="20"/>
      <c r="WZ73" s="20"/>
      <c r="XA73" s="20"/>
      <c r="XB73" s="20"/>
      <c r="XC73" s="20"/>
      <c r="XD73" s="20"/>
      <c r="XE73" s="20"/>
      <c r="XF73" s="20"/>
      <c r="XG73" s="20"/>
      <c r="XH73" s="20"/>
      <c r="XI73" s="20"/>
      <c r="XJ73" s="20"/>
      <c r="XK73" s="20"/>
      <c r="XL73" s="20"/>
      <c r="XM73" s="20"/>
      <c r="XN73" s="20"/>
      <c r="XO73" s="20"/>
      <c r="XP73" s="20"/>
      <c r="XQ73" s="20"/>
      <c r="XR73" s="20"/>
      <c r="XS73" s="20"/>
      <c r="XT73" s="20"/>
      <c r="XU73" s="20"/>
      <c r="XV73" s="20"/>
      <c r="XW73" s="20"/>
      <c r="XX73" s="20"/>
      <c r="XY73" s="20"/>
      <c r="XZ73" s="20"/>
      <c r="YA73" s="20"/>
      <c r="YB73" s="20"/>
      <c r="YC73" s="20"/>
      <c r="YD73" s="20"/>
      <c r="YE73" s="20"/>
      <c r="YF73" s="20"/>
      <c r="YG73" s="20"/>
      <c r="YH73" s="20"/>
      <c r="YI73" s="20"/>
      <c r="YJ73" s="20"/>
      <c r="YK73" s="20"/>
      <c r="YL73" s="20"/>
      <c r="YM73" s="20"/>
      <c r="YN73" s="20"/>
      <c r="YO73" s="20"/>
      <c r="YP73" s="20"/>
      <c r="YQ73" s="20"/>
      <c r="YR73" s="20"/>
      <c r="YS73" s="20"/>
      <c r="YT73" s="20"/>
      <c r="YU73" s="20"/>
      <c r="YV73" s="20"/>
      <c r="YW73" s="20"/>
      <c r="YX73" s="20"/>
      <c r="YY73" s="20"/>
      <c r="YZ73" s="20"/>
      <c r="ZA73" s="20"/>
      <c r="ZB73" s="20"/>
      <c r="ZC73" s="20"/>
      <c r="ZD73" s="20"/>
      <c r="ZE73" s="20"/>
      <c r="ZF73" s="20"/>
      <c r="ZG73" s="20"/>
      <c r="ZH73" s="20"/>
      <c r="ZI73" s="20"/>
      <c r="ZJ73" s="20"/>
      <c r="ZK73" s="20"/>
      <c r="ZL73" s="20"/>
      <c r="ZM73" s="20"/>
      <c r="ZN73" s="20"/>
      <c r="ZO73" s="20"/>
      <c r="ZP73" s="20"/>
      <c r="ZQ73" s="20"/>
      <c r="ZR73" s="20"/>
      <c r="ZS73" s="20"/>
      <c r="ZT73" s="20"/>
      <c r="ZU73" s="20"/>
      <c r="ZV73" s="20"/>
      <c r="ZW73" s="20"/>
      <c r="ZX73" s="20"/>
      <c r="ZY73" s="20"/>
      <c r="ZZ73" s="20"/>
      <c r="AAA73" s="20"/>
      <c r="AAB73" s="20"/>
      <c r="AAC73" s="20"/>
      <c r="AAD73" s="20"/>
      <c r="AAE73" s="20"/>
      <c r="AAF73" s="20"/>
    </row>
    <row r="74" spans="1:708" ht="81.75" customHeight="1" x14ac:dyDescent="0.25">
      <c r="A74" s="93" t="s">
        <v>43</v>
      </c>
      <c r="B74" s="93" t="s">
        <v>44</v>
      </c>
      <c r="C74" s="93" t="s">
        <v>45</v>
      </c>
      <c r="D74" s="93" t="s">
        <v>46</v>
      </c>
      <c r="E74" s="93" t="s">
        <v>71</v>
      </c>
      <c r="F74" s="93" t="s">
        <v>48</v>
      </c>
      <c r="G74" s="93" t="s">
        <v>49</v>
      </c>
      <c r="H74" s="93" t="s">
        <v>50</v>
      </c>
      <c r="I74" s="94" t="s">
        <v>51</v>
      </c>
      <c r="J74" s="71" t="s">
        <v>52</v>
      </c>
      <c r="K74" s="71" t="s">
        <v>361</v>
      </c>
      <c r="L74" s="71" t="s">
        <v>362</v>
      </c>
      <c r="M74" s="71" t="s">
        <v>363</v>
      </c>
      <c r="N74" s="71" t="s">
        <v>74</v>
      </c>
      <c r="O74" s="71"/>
      <c r="P74" s="81">
        <v>0.95</v>
      </c>
      <c r="Q74" s="659"/>
      <c r="R74" s="659"/>
      <c r="S74" s="659"/>
      <c r="T74" s="659"/>
      <c r="U74" s="659"/>
      <c r="V74" s="1004">
        <v>583668666</v>
      </c>
      <c r="W74" s="1009"/>
      <c r="X74" s="71" t="s">
        <v>364</v>
      </c>
      <c r="Y74" s="73">
        <f>2/23</f>
        <v>8.6956521739130432E-2</v>
      </c>
      <c r="Z74" s="81">
        <f>+P74</f>
        <v>0.95</v>
      </c>
      <c r="AA74" s="73">
        <f>+Y74/Z74</f>
        <v>9.1533180778032033E-2</v>
      </c>
      <c r="AB74" s="71" t="s">
        <v>365</v>
      </c>
      <c r="AC74" s="660"/>
      <c r="AD74" s="661"/>
      <c r="AE74" s="661"/>
      <c r="AF74" s="662"/>
      <c r="AG74" s="75">
        <v>0.76923076923076927</v>
      </c>
      <c r="AH74" s="82">
        <v>0.95</v>
      </c>
      <c r="AI74" s="75">
        <v>0.80971659919028349</v>
      </c>
      <c r="AJ74" s="74" t="s">
        <v>366</v>
      </c>
      <c r="AK74" s="663"/>
      <c r="AL74" s="664"/>
      <c r="AM74" s="664"/>
      <c r="AN74" s="665"/>
      <c r="AO74" s="75">
        <f>(35/47)</f>
        <v>0.74468085106382975</v>
      </c>
      <c r="AP74" s="82">
        <v>0.95</v>
      </c>
      <c r="AQ74" s="75">
        <f>+AO74/AP74</f>
        <v>0.78387458006718924</v>
      </c>
      <c r="AR74" s="74" t="s">
        <v>367</v>
      </c>
      <c r="AS74" s="660"/>
      <c r="AT74" s="661"/>
      <c r="AU74" s="661"/>
      <c r="AV74" s="662"/>
    </row>
    <row r="75" spans="1:708" ht="73.5" customHeight="1" x14ac:dyDescent="0.25">
      <c r="A75" s="90" t="s">
        <v>43</v>
      </c>
      <c r="B75" s="90" t="s">
        <v>44</v>
      </c>
      <c r="C75" s="90" t="s">
        <v>45</v>
      </c>
      <c r="D75" s="90" t="s">
        <v>46</v>
      </c>
      <c r="E75" s="90" t="s">
        <v>71</v>
      </c>
      <c r="F75" s="90" t="s">
        <v>48</v>
      </c>
      <c r="G75" s="90" t="s">
        <v>49</v>
      </c>
      <c r="H75" s="90" t="s">
        <v>50</v>
      </c>
      <c r="I75" s="90" t="s">
        <v>51</v>
      </c>
      <c r="J75" s="64" t="s">
        <v>52</v>
      </c>
      <c r="K75" s="64" t="s">
        <v>361</v>
      </c>
      <c r="L75" s="64" t="s">
        <v>368</v>
      </c>
      <c r="M75" s="64" t="s">
        <v>369</v>
      </c>
      <c r="N75" s="64" t="s">
        <v>74</v>
      </c>
      <c r="O75" s="64"/>
      <c r="P75" s="79">
        <v>0.95</v>
      </c>
      <c r="Q75" s="659"/>
      <c r="R75" s="659"/>
      <c r="S75" s="659"/>
      <c r="T75" s="659"/>
      <c r="U75" s="659"/>
      <c r="V75" s="1015"/>
      <c r="W75" s="1010"/>
      <c r="X75" s="64" t="s">
        <v>364</v>
      </c>
      <c r="Y75" s="85">
        <f>5/30</f>
        <v>0.16666666666666666</v>
      </c>
      <c r="Z75" s="117">
        <f>+P75</f>
        <v>0.95</v>
      </c>
      <c r="AA75" s="85">
        <f>+Y75/Z75</f>
        <v>0.17543859649122806</v>
      </c>
      <c r="AB75" s="64" t="s">
        <v>370</v>
      </c>
      <c r="AC75" s="666"/>
      <c r="AD75" s="667"/>
      <c r="AE75" s="667"/>
      <c r="AF75" s="668"/>
      <c r="AG75" s="87">
        <v>0.66666666666666663</v>
      </c>
      <c r="AH75" s="118">
        <v>0.95</v>
      </c>
      <c r="AI75" s="87">
        <v>0.70175438596491224</v>
      </c>
      <c r="AJ75" s="66" t="s">
        <v>371</v>
      </c>
      <c r="AK75" s="669"/>
      <c r="AL75" s="670"/>
      <c r="AM75" s="670"/>
      <c r="AN75" s="671"/>
      <c r="AO75" s="87">
        <f>(14/18)</f>
        <v>0.77777777777777779</v>
      </c>
      <c r="AP75" s="118">
        <v>0.95</v>
      </c>
      <c r="AQ75" s="87">
        <f>+AO75/AP75</f>
        <v>0.81871345029239773</v>
      </c>
      <c r="AR75" s="66" t="s">
        <v>372</v>
      </c>
      <c r="AS75" s="666"/>
      <c r="AT75" s="667"/>
      <c r="AU75" s="667"/>
      <c r="AV75" s="668"/>
    </row>
    <row r="76" spans="1:708" s="21" customFormat="1" ht="70.5" customHeight="1" x14ac:dyDescent="0.25">
      <c r="A76" s="52"/>
      <c r="B76" s="52"/>
      <c r="C76" s="52"/>
      <c r="D76" s="52"/>
      <c r="E76" s="52"/>
      <c r="F76" s="52"/>
      <c r="G76" s="52"/>
      <c r="H76" s="52"/>
      <c r="I76" s="52"/>
      <c r="J76" s="52"/>
      <c r="K76" s="52"/>
      <c r="L76" s="52"/>
      <c r="M76" s="52"/>
      <c r="N76" s="52"/>
      <c r="O76" s="52"/>
      <c r="P76" s="53"/>
      <c r="Q76" s="52"/>
      <c r="R76" s="52"/>
      <c r="S76" s="53"/>
      <c r="T76" s="52"/>
      <c r="U76" s="52"/>
      <c r="V76" s="89"/>
      <c r="W76" s="89"/>
      <c r="X76" s="52"/>
      <c r="Y76" s="657" t="s">
        <v>99</v>
      </c>
      <c r="Z76" s="657"/>
      <c r="AA76" s="55">
        <f>AVERAGE(AA74:AA75)</f>
        <v>0.13348588863463004</v>
      </c>
      <c r="AB76" s="56"/>
      <c r="AC76" s="657" t="s">
        <v>100</v>
      </c>
      <c r="AD76" s="657"/>
      <c r="AE76" s="57" t="s">
        <v>283</v>
      </c>
      <c r="AF76" s="53"/>
      <c r="AG76" s="658" t="s">
        <v>99</v>
      </c>
      <c r="AH76" s="658"/>
      <c r="AI76" s="59">
        <v>0.75573549257759787</v>
      </c>
      <c r="AJ76" s="60"/>
      <c r="AK76" s="658" t="s">
        <v>100</v>
      </c>
      <c r="AL76" s="658"/>
      <c r="AM76" s="61" t="s">
        <v>283</v>
      </c>
      <c r="AN76" s="127"/>
      <c r="AO76" s="657" t="s">
        <v>99</v>
      </c>
      <c r="AP76" s="657"/>
      <c r="AQ76" s="55">
        <f>AVERAGE(AQ74:AQ75)</f>
        <v>0.80129401517979348</v>
      </c>
      <c r="AR76" s="56"/>
      <c r="AS76" s="657" t="s">
        <v>100</v>
      </c>
      <c r="AT76" s="657"/>
      <c r="AU76" s="57" t="s">
        <v>283</v>
      </c>
      <c r="AV76" s="53"/>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c r="BZ76" s="20"/>
      <c r="CA76" s="20"/>
      <c r="CB76" s="20"/>
      <c r="CC76" s="20"/>
      <c r="CD76" s="20"/>
      <c r="CE76" s="20"/>
      <c r="CF76" s="20"/>
      <c r="CG76" s="20"/>
      <c r="CH76" s="20"/>
      <c r="CI76" s="20"/>
      <c r="CJ76" s="20"/>
      <c r="CK76" s="20"/>
      <c r="CL76" s="20"/>
      <c r="CM76" s="20"/>
      <c r="CN76" s="20"/>
      <c r="CO76" s="20"/>
      <c r="CP76" s="20"/>
      <c r="CQ76" s="20"/>
      <c r="CR76" s="20"/>
      <c r="CS76" s="20"/>
      <c r="CT76" s="20"/>
      <c r="CU76" s="20"/>
      <c r="CV76" s="20"/>
      <c r="CW76" s="20"/>
      <c r="CX76" s="20"/>
      <c r="CY76" s="20"/>
      <c r="CZ76" s="20"/>
      <c r="DA76" s="20"/>
      <c r="DB76" s="20"/>
      <c r="DC76" s="20"/>
      <c r="DD76" s="20"/>
      <c r="DE76" s="20"/>
      <c r="DF76" s="20"/>
      <c r="DG76" s="20"/>
      <c r="DH76" s="20"/>
      <c r="DI76" s="20"/>
      <c r="DJ76" s="20"/>
      <c r="DK76" s="20"/>
      <c r="DL76" s="20"/>
      <c r="DM76" s="20"/>
      <c r="DN76" s="20"/>
      <c r="DO76" s="20"/>
      <c r="DP76" s="20"/>
      <c r="DQ76" s="20"/>
      <c r="DR76" s="20"/>
      <c r="DS76" s="20"/>
      <c r="DT76" s="20"/>
      <c r="DU76" s="20"/>
      <c r="DV76" s="20"/>
      <c r="DW76" s="20"/>
      <c r="DX76" s="20"/>
      <c r="DY76" s="20"/>
      <c r="DZ76" s="20"/>
      <c r="EA76" s="20"/>
      <c r="EB76" s="20"/>
      <c r="EC76" s="20"/>
      <c r="ED76" s="20"/>
      <c r="EE76" s="20"/>
      <c r="EF76" s="20"/>
      <c r="EG76" s="20"/>
      <c r="EH76" s="20"/>
      <c r="EI76" s="20"/>
      <c r="EJ76" s="20"/>
      <c r="EK76" s="20"/>
      <c r="EL76" s="20"/>
      <c r="EM76" s="20"/>
      <c r="EN76" s="20"/>
      <c r="EO76" s="20"/>
      <c r="EP76" s="20"/>
      <c r="EQ76" s="20"/>
      <c r="ER76" s="20"/>
      <c r="ES76" s="20"/>
      <c r="ET76" s="20"/>
      <c r="EU76" s="20"/>
      <c r="EV76" s="20"/>
      <c r="EW76" s="20"/>
      <c r="EX76" s="20"/>
      <c r="EY76" s="20"/>
      <c r="EZ76" s="20"/>
      <c r="FA76" s="20"/>
      <c r="FB76" s="20"/>
      <c r="FC76" s="20"/>
      <c r="FD76" s="20"/>
      <c r="FE76" s="20"/>
      <c r="FF76" s="20"/>
      <c r="FG76" s="20"/>
      <c r="FH76" s="20"/>
      <c r="FI76" s="20"/>
      <c r="FJ76" s="20"/>
      <c r="FK76" s="20"/>
      <c r="FL76" s="20"/>
      <c r="FM76" s="20"/>
      <c r="FN76" s="20"/>
      <c r="FO76" s="20"/>
      <c r="FP76" s="20"/>
      <c r="FQ76" s="20"/>
      <c r="FR76" s="20"/>
      <c r="FS76" s="20"/>
      <c r="FT76" s="20"/>
      <c r="FU76" s="20"/>
      <c r="FV76" s="20"/>
      <c r="FW76" s="20"/>
      <c r="FX76" s="20"/>
      <c r="FY76" s="20"/>
      <c r="FZ76" s="20"/>
      <c r="GA76" s="20"/>
      <c r="GB76" s="20"/>
      <c r="GC76" s="20"/>
      <c r="GD76" s="20"/>
      <c r="GE76" s="20"/>
      <c r="GF76" s="20"/>
      <c r="GG76" s="20"/>
      <c r="GH76" s="20"/>
      <c r="GI76" s="20"/>
      <c r="GJ76" s="20"/>
      <c r="GK76" s="20"/>
      <c r="GL76" s="20"/>
      <c r="GM76" s="20"/>
      <c r="GN76" s="20"/>
      <c r="GO76" s="20"/>
      <c r="GP76" s="20"/>
      <c r="GQ76" s="20"/>
      <c r="GR76" s="20"/>
      <c r="GS76" s="20"/>
      <c r="GT76" s="20"/>
      <c r="GU76" s="20"/>
      <c r="GV76" s="20"/>
      <c r="GW76" s="20"/>
      <c r="GX76" s="20"/>
      <c r="GY76" s="20"/>
      <c r="GZ76" s="20"/>
      <c r="HA76" s="20"/>
      <c r="HB76" s="20"/>
      <c r="HC76" s="20"/>
      <c r="HD76" s="20"/>
      <c r="HE76" s="20"/>
      <c r="HF76" s="20"/>
      <c r="HG76" s="20"/>
      <c r="HH76" s="20"/>
      <c r="HI76" s="20"/>
      <c r="HJ76" s="20"/>
      <c r="HK76" s="20"/>
      <c r="HL76" s="20"/>
      <c r="HM76" s="20"/>
      <c r="HN76" s="20"/>
      <c r="HO76" s="20"/>
      <c r="HP76" s="20"/>
      <c r="HQ76" s="20"/>
      <c r="HR76" s="20"/>
      <c r="HS76" s="20"/>
      <c r="HT76" s="20"/>
      <c r="HU76" s="20"/>
      <c r="HV76" s="20"/>
      <c r="HW76" s="20"/>
      <c r="HX76" s="20"/>
      <c r="HY76" s="20"/>
      <c r="HZ76" s="20"/>
      <c r="IA76" s="20"/>
      <c r="IB76" s="20"/>
      <c r="IC76" s="20"/>
      <c r="ID76" s="20"/>
      <c r="IE76" s="20"/>
      <c r="IF76" s="20"/>
      <c r="IG76" s="20"/>
      <c r="IH76" s="20"/>
      <c r="II76" s="20"/>
      <c r="IJ76" s="20"/>
      <c r="IK76" s="20"/>
      <c r="IL76" s="20"/>
      <c r="IM76" s="20"/>
      <c r="IN76" s="20"/>
      <c r="IO76" s="20"/>
      <c r="IP76" s="20"/>
      <c r="IQ76" s="20"/>
      <c r="IR76" s="20"/>
      <c r="IS76" s="20"/>
      <c r="IT76" s="20"/>
      <c r="IU76" s="20"/>
      <c r="IV76" s="20"/>
      <c r="IW76" s="20"/>
      <c r="IX76" s="20"/>
      <c r="IY76" s="20"/>
      <c r="IZ76" s="20"/>
      <c r="JA76" s="20"/>
      <c r="JB76" s="20"/>
      <c r="JC76" s="20"/>
      <c r="JD76" s="20"/>
      <c r="JE76" s="20"/>
      <c r="JF76" s="20"/>
      <c r="JG76" s="20"/>
      <c r="JH76" s="20"/>
      <c r="JI76" s="20"/>
      <c r="JJ76" s="20"/>
      <c r="JK76" s="20"/>
      <c r="JL76" s="20"/>
      <c r="JM76" s="20"/>
      <c r="JN76" s="20"/>
      <c r="JO76" s="20"/>
      <c r="JP76" s="20"/>
      <c r="JQ76" s="20"/>
      <c r="JR76" s="20"/>
      <c r="JS76" s="20"/>
      <c r="JT76" s="20"/>
      <c r="JU76" s="20"/>
      <c r="JV76" s="20"/>
      <c r="JW76" s="20"/>
      <c r="JX76" s="20"/>
      <c r="JY76" s="20"/>
      <c r="JZ76" s="20"/>
      <c r="KA76" s="20"/>
      <c r="KB76" s="20"/>
      <c r="KC76" s="20"/>
      <c r="KD76" s="20"/>
      <c r="KE76" s="20"/>
      <c r="KF76" s="20"/>
      <c r="KG76" s="20"/>
      <c r="KH76" s="20"/>
      <c r="KI76" s="20"/>
      <c r="KJ76" s="20"/>
      <c r="KK76" s="20"/>
      <c r="KL76" s="20"/>
      <c r="KM76" s="20"/>
      <c r="KN76" s="20"/>
      <c r="KO76" s="20"/>
      <c r="KP76" s="20"/>
      <c r="KQ76" s="20"/>
      <c r="KR76" s="20"/>
      <c r="KS76" s="20"/>
      <c r="KT76" s="20"/>
      <c r="KU76" s="20"/>
      <c r="KV76" s="20"/>
      <c r="KW76" s="20"/>
      <c r="KX76" s="20"/>
      <c r="KY76" s="20"/>
      <c r="KZ76" s="20"/>
      <c r="LA76" s="20"/>
      <c r="LB76" s="20"/>
      <c r="LC76" s="20"/>
      <c r="LD76" s="20"/>
      <c r="LE76" s="20"/>
      <c r="LF76" s="20"/>
      <c r="LG76" s="20"/>
      <c r="LH76" s="20"/>
      <c r="LI76" s="20"/>
      <c r="LJ76" s="20"/>
      <c r="LK76" s="20"/>
      <c r="LL76" s="20"/>
      <c r="LM76" s="20"/>
      <c r="LN76" s="20"/>
      <c r="LO76" s="20"/>
      <c r="LP76" s="20"/>
      <c r="LQ76" s="20"/>
      <c r="LR76" s="20"/>
      <c r="LS76" s="20"/>
      <c r="LT76" s="20"/>
      <c r="LU76" s="20"/>
      <c r="LV76" s="20"/>
      <c r="LW76" s="20"/>
      <c r="LX76" s="20"/>
      <c r="LY76" s="20"/>
      <c r="LZ76" s="20"/>
      <c r="MA76" s="20"/>
      <c r="MB76" s="20"/>
      <c r="MC76" s="20"/>
      <c r="MD76" s="20"/>
      <c r="ME76" s="20"/>
      <c r="MF76" s="20"/>
      <c r="MG76" s="20"/>
      <c r="MH76" s="20"/>
      <c r="MI76" s="20"/>
      <c r="MJ76" s="20"/>
      <c r="MK76" s="20"/>
      <c r="ML76" s="20"/>
      <c r="MM76" s="20"/>
      <c r="MN76" s="20"/>
      <c r="MO76" s="20"/>
      <c r="MP76" s="20"/>
      <c r="MQ76" s="20"/>
      <c r="MR76" s="20"/>
      <c r="MS76" s="20"/>
      <c r="MT76" s="20"/>
      <c r="MU76" s="20"/>
      <c r="MV76" s="20"/>
      <c r="MW76" s="20"/>
      <c r="MX76" s="20"/>
      <c r="MY76" s="20"/>
      <c r="MZ76" s="20"/>
      <c r="NA76" s="20"/>
      <c r="NB76" s="20"/>
      <c r="NC76" s="20"/>
      <c r="ND76" s="20"/>
      <c r="NE76" s="20"/>
      <c r="NF76" s="20"/>
      <c r="NG76" s="20"/>
      <c r="NH76" s="20"/>
      <c r="NI76" s="20"/>
      <c r="NJ76" s="20"/>
      <c r="NK76" s="20"/>
      <c r="NL76" s="20"/>
      <c r="NM76" s="20"/>
      <c r="NN76" s="20"/>
      <c r="NO76" s="20"/>
      <c r="NP76" s="20"/>
      <c r="NQ76" s="20"/>
      <c r="NR76" s="20"/>
      <c r="NS76" s="20"/>
      <c r="NT76" s="20"/>
      <c r="NU76" s="20"/>
      <c r="NV76" s="20"/>
      <c r="NW76" s="20"/>
      <c r="NX76" s="20"/>
      <c r="NY76" s="20"/>
      <c r="NZ76" s="20"/>
      <c r="OA76" s="20"/>
      <c r="OB76" s="20"/>
      <c r="OC76" s="20"/>
      <c r="OD76" s="20"/>
      <c r="OE76" s="20"/>
      <c r="OF76" s="20"/>
      <c r="OG76" s="20"/>
      <c r="OH76" s="20"/>
      <c r="OI76" s="20"/>
      <c r="OJ76" s="20"/>
      <c r="OK76" s="20"/>
      <c r="OL76" s="20"/>
      <c r="OM76" s="20"/>
      <c r="ON76" s="20"/>
      <c r="OO76" s="20"/>
      <c r="OP76" s="20"/>
      <c r="OQ76" s="20"/>
      <c r="OR76" s="20"/>
      <c r="OS76" s="20"/>
      <c r="OT76" s="20"/>
      <c r="OU76" s="20"/>
      <c r="OV76" s="20"/>
      <c r="OW76" s="20"/>
      <c r="OX76" s="20"/>
      <c r="OY76" s="20"/>
      <c r="OZ76" s="20"/>
      <c r="PA76" s="20"/>
      <c r="PB76" s="20"/>
      <c r="PC76" s="20"/>
      <c r="PD76" s="20"/>
      <c r="PE76" s="20"/>
      <c r="PF76" s="20"/>
      <c r="PG76" s="20"/>
      <c r="PH76" s="20"/>
      <c r="PI76" s="20"/>
      <c r="PJ76" s="20"/>
      <c r="PK76" s="20"/>
      <c r="PL76" s="20"/>
      <c r="PM76" s="20"/>
      <c r="PN76" s="20"/>
      <c r="PO76" s="20"/>
      <c r="PP76" s="20"/>
      <c r="PQ76" s="20"/>
      <c r="PR76" s="20"/>
      <c r="PS76" s="20"/>
      <c r="PT76" s="20"/>
      <c r="PU76" s="20"/>
      <c r="PV76" s="20"/>
      <c r="PW76" s="20"/>
      <c r="PX76" s="20"/>
      <c r="PY76" s="20"/>
      <c r="PZ76" s="20"/>
      <c r="QA76" s="20"/>
      <c r="QB76" s="20"/>
      <c r="QC76" s="20"/>
      <c r="QD76" s="20"/>
      <c r="QE76" s="20"/>
      <c r="QF76" s="20"/>
      <c r="QG76" s="20"/>
      <c r="QH76" s="20"/>
      <c r="QI76" s="20"/>
      <c r="QJ76" s="20"/>
      <c r="QK76" s="20"/>
      <c r="QL76" s="20"/>
      <c r="QM76" s="20"/>
      <c r="QN76" s="20"/>
      <c r="QO76" s="20"/>
      <c r="QP76" s="20"/>
      <c r="QQ76" s="20"/>
      <c r="QR76" s="20"/>
      <c r="QS76" s="20"/>
      <c r="QT76" s="20"/>
      <c r="QU76" s="20"/>
      <c r="QV76" s="20"/>
      <c r="QW76" s="20"/>
      <c r="QX76" s="20"/>
      <c r="QY76" s="20"/>
      <c r="QZ76" s="20"/>
      <c r="RA76" s="20"/>
      <c r="RB76" s="20"/>
      <c r="RC76" s="20"/>
      <c r="RD76" s="20"/>
      <c r="RE76" s="20"/>
      <c r="RF76" s="20"/>
      <c r="RG76" s="20"/>
      <c r="RH76" s="20"/>
      <c r="RI76" s="20"/>
      <c r="RJ76" s="20"/>
      <c r="RK76" s="20"/>
      <c r="RL76" s="20"/>
      <c r="RM76" s="20"/>
      <c r="RN76" s="20"/>
      <c r="RO76" s="20"/>
      <c r="RP76" s="20"/>
      <c r="RQ76" s="20"/>
      <c r="RR76" s="20"/>
      <c r="RS76" s="20"/>
      <c r="RT76" s="20"/>
      <c r="RU76" s="20"/>
      <c r="RV76" s="20"/>
      <c r="RW76" s="20"/>
      <c r="RX76" s="20"/>
      <c r="RY76" s="20"/>
      <c r="RZ76" s="20"/>
      <c r="SA76" s="20"/>
      <c r="SB76" s="20"/>
      <c r="SC76" s="20"/>
      <c r="SD76" s="20"/>
      <c r="SE76" s="20"/>
      <c r="SF76" s="20"/>
      <c r="SG76" s="20"/>
      <c r="SH76" s="20"/>
      <c r="SI76" s="20"/>
      <c r="SJ76" s="20"/>
      <c r="SK76" s="20"/>
      <c r="SL76" s="20"/>
      <c r="SM76" s="20"/>
      <c r="SN76" s="20"/>
      <c r="SO76" s="20"/>
      <c r="SP76" s="20"/>
      <c r="SQ76" s="20"/>
      <c r="SR76" s="20"/>
      <c r="SS76" s="20"/>
      <c r="ST76" s="20"/>
      <c r="SU76" s="20"/>
      <c r="SV76" s="20"/>
      <c r="SW76" s="20"/>
      <c r="SX76" s="20"/>
      <c r="SY76" s="20"/>
      <c r="SZ76" s="20"/>
      <c r="TA76" s="20"/>
      <c r="TB76" s="20"/>
      <c r="TC76" s="20"/>
      <c r="TD76" s="20"/>
      <c r="TE76" s="20"/>
      <c r="TF76" s="20"/>
      <c r="TG76" s="20"/>
      <c r="TH76" s="20"/>
      <c r="TI76" s="20"/>
      <c r="TJ76" s="20"/>
      <c r="TK76" s="20"/>
      <c r="TL76" s="20"/>
      <c r="TM76" s="20"/>
      <c r="TN76" s="20"/>
      <c r="TO76" s="20"/>
      <c r="TP76" s="20"/>
      <c r="TQ76" s="20"/>
      <c r="TR76" s="20"/>
      <c r="TS76" s="20"/>
      <c r="TT76" s="20"/>
      <c r="TU76" s="20"/>
      <c r="TV76" s="20"/>
      <c r="TW76" s="20"/>
      <c r="TX76" s="20"/>
      <c r="TY76" s="20"/>
      <c r="TZ76" s="20"/>
      <c r="UA76" s="20"/>
      <c r="UB76" s="20"/>
      <c r="UC76" s="20"/>
      <c r="UD76" s="20"/>
      <c r="UE76" s="20"/>
      <c r="UF76" s="20"/>
      <c r="UG76" s="20"/>
      <c r="UH76" s="20"/>
      <c r="UI76" s="20"/>
      <c r="UJ76" s="20"/>
      <c r="UK76" s="20"/>
      <c r="UL76" s="20"/>
      <c r="UM76" s="20"/>
      <c r="UN76" s="20"/>
      <c r="UO76" s="20"/>
      <c r="UP76" s="20"/>
      <c r="UQ76" s="20"/>
      <c r="UR76" s="20"/>
      <c r="US76" s="20"/>
      <c r="UT76" s="20"/>
      <c r="UU76" s="20"/>
      <c r="UV76" s="20"/>
      <c r="UW76" s="20"/>
      <c r="UX76" s="20"/>
      <c r="UY76" s="20"/>
      <c r="UZ76" s="20"/>
      <c r="VA76" s="20"/>
      <c r="VB76" s="20"/>
      <c r="VC76" s="20"/>
      <c r="VD76" s="20"/>
      <c r="VE76" s="20"/>
      <c r="VF76" s="20"/>
      <c r="VG76" s="20"/>
      <c r="VH76" s="20"/>
      <c r="VI76" s="20"/>
      <c r="VJ76" s="20"/>
      <c r="VK76" s="20"/>
      <c r="VL76" s="20"/>
      <c r="VM76" s="20"/>
      <c r="VN76" s="20"/>
      <c r="VO76" s="20"/>
      <c r="VP76" s="20"/>
      <c r="VQ76" s="20"/>
      <c r="VR76" s="20"/>
      <c r="VS76" s="20"/>
      <c r="VT76" s="20"/>
      <c r="VU76" s="20"/>
      <c r="VV76" s="20"/>
      <c r="VW76" s="20"/>
      <c r="VX76" s="20"/>
      <c r="VY76" s="20"/>
      <c r="VZ76" s="20"/>
      <c r="WA76" s="20"/>
      <c r="WB76" s="20"/>
      <c r="WC76" s="20"/>
      <c r="WD76" s="20"/>
      <c r="WE76" s="20"/>
      <c r="WF76" s="20"/>
      <c r="WG76" s="20"/>
      <c r="WH76" s="20"/>
      <c r="WI76" s="20"/>
      <c r="WJ76" s="20"/>
      <c r="WK76" s="20"/>
      <c r="WL76" s="20"/>
      <c r="WM76" s="20"/>
      <c r="WN76" s="20"/>
      <c r="WO76" s="20"/>
      <c r="WP76" s="20"/>
      <c r="WQ76" s="20"/>
      <c r="WR76" s="20"/>
      <c r="WS76" s="20"/>
      <c r="WT76" s="20"/>
      <c r="WU76" s="20"/>
      <c r="WV76" s="20"/>
      <c r="WW76" s="20"/>
      <c r="WX76" s="20"/>
      <c r="WY76" s="20"/>
      <c r="WZ76" s="20"/>
      <c r="XA76" s="20"/>
      <c r="XB76" s="20"/>
      <c r="XC76" s="20"/>
      <c r="XD76" s="20"/>
      <c r="XE76" s="20"/>
      <c r="XF76" s="20"/>
      <c r="XG76" s="20"/>
      <c r="XH76" s="20"/>
      <c r="XI76" s="20"/>
      <c r="XJ76" s="20"/>
      <c r="XK76" s="20"/>
      <c r="XL76" s="20"/>
      <c r="XM76" s="20"/>
      <c r="XN76" s="20"/>
      <c r="XO76" s="20"/>
      <c r="XP76" s="20"/>
      <c r="XQ76" s="20"/>
      <c r="XR76" s="20"/>
      <c r="XS76" s="20"/>
      <c r="XT76" s="20"/>
      <c r="XU76" s="20"/>
      <c r="XV76" s="20"/>
      <c r="XW76" s="20"/>
      <c r="XX76" s="20"/>
      <c r="XY76" s="20"/>
      <c r="XZ76" s="20"/>
      <c r="YA76" s="20"/>
      <c r="YB76" s="20"/>
      <c r="YC76" s="20"/>
      <c r="YD76" s="20"/>
      <c r="YE76" s="20"/>
      <c r="YF76" s="20"/>
      <c r="YG76" s="20"/>
      <c r="YH76" s="20"/>
      <c r="YI76" s="20"/>
      <c r="YJ76" s="20"/>
      <c r="YK76" s="20"/>
      <c r="YL76" s="20"/>
      <c r="YM76" s="20"/>
      <c r="YN76" s="20"/>
      <c r="YO76" s="20"/>
      <c r="YP76" s="20"/>
      <c r="YQ76" s="20"/>
      <c r="YR76" s="20"/>
      <c r="YS76" s="20"/>
      <c r="YT76" s="20"/>
      <c r="YU76" s="20"/>
      <c r="YV76" s="20"/>
      <c r="YW76" s="20"/>
      <c r="YX76" s="20"/>
      <c r="YY76" s="20"/>
      <c r="YZ76" s="20"/>
      <c r="ZA76" s="20"/>
      <c r="ZB76" s="20"/>
      <c r="ZC76" s="20"/>
      <c r="ZD76" s="20"/>
      <c r="ZE76" s="20"/>
      <c r="ZF76" s="20"/>
      <c r="ZG76" s="20"/>
      <c r="ZH76" s="20"/>
      <c r="ZI76" s="20"/>
      <c r="ZJ76" s="20"/>
      <c r="ZK76" s="20"/>
      <c r="ZL76" s="20"/>
      <c r="ZM76" s="20"/>
      <c r="ZN76" s="20"/>
      <c r="ZO76" s="20"/>
      <c r="ZP76" s="20"/>
      <c r="ZQ76" s="20"/>
      <c r="ZR76" s="20"/>
      <c r="ZS76" s="20"/>
      <c r="ZT76" s="20"/>
      <c r="ZU76" s="20"/>
      <c r="ZV76" s="20"/>
      <c r="ZW76" s="20"/>
      <c r="ZX76" s="20"/>
      <c r="ZY76" s="20"/>
      <c r="ZZ76" s="20"/>
      <c r="AAA76" s="20"/>
      <c r="AAB76" s="20"/>
      <c r="AAC76" s="20"/>
      <c r="AAD76" s="20"/>
      <c r="AAE76" s="20"/>
      <c r="AAF76" s="20"/>
    </row>
    <row r="77" spans="1:708" ht="22.5" customHeight="1" x14ac:dyDescent="0.25">
      <c r="A77" s="128"/>
      <c r="B77" s="128"/>
      <c r="C77" s="128"/>
      <c r="D77" s="128"/>
      <c r="E77" s="128"/>
      <c r="F77" s="128"/>
      <c r="G77" s="128"/>
      <c r="H77" s="128"/>
      <c r="I77" s="128"/>
      <c r="J77" s="128"/>
      <c r="K77" s="128"/>
      <c r="L77" s="128"/>
      <c r="M77" s="128"/>
      <c r="N77" s="128"/>
      <c r="O77" s="128"/>
      <c r="P77" s="128"/>
      <c r="Q77" s="128"/>
      <c r="R77" s="128"/>
      <c r="S77" s="129"/>
      <c r="T77" s="128"/>
      <c r="U77" s="128"/>
      <c r="V77" s="130"/>
      <c r="W77" s="130"/>
      <c r="X77" s="128"/>
      <c r="Y77" s="128"/>
      <c r="Z77" s="128"/>
      <c r="AA77" s="128"/>
      <c r="AB77" s="128"/>
      <c r="AC77" s="128"/>
      <c r="AD77" s="128"/>
      <c r="AE77" s="128"/>
      <c r="AF77" s="129"/>
      <c r="AG77" s="131"/>
      <c r="AH77" s="131"/>
      <c r="AI77" s="131"/>
      <c r="AJ77" s="131"/>
      <c r="AK77" s="131"/>
      <c r="AL77" s="131"/>
      <c r="AM77" s="131"/>
      <c r="AN77" s="132"/>
      <c r="AO77" s="128"/>
      <c r="AP77" s="128"/>
      <c r="AQ77" s="128"/>
      <c r="AR77" s="128"/>
      <c r="AS77" s="128"/>
      <c r="AT77" s="128"/>
      <c r="AU77" s="128"/>
      <c r="AV77" s="129"/>
    </row>
    <row r="78" spans="1:708" ht="22.5" customHeight="1" x14ac:dyDescent="0.25">
      <c r="A78" s="128"/>
      <c r="B78" s="128"/>
      <c r="C78" s="128"/>
      <c r="D78" s="128"/>
      <c r="E78" s="128"/>
      <c r="F78" s="128"/>
      <c r="G78" s="128"/>
      <c r="H78" s="128"/>
      <c r="I78" s="128"/>
      <c r="J78" s="128"/>
      <c r="K78" s="128"/>
      <c r="L78" s="128"/>
      <c r="M78" s="128"/>
      <c r="N78" s="128"/>
      <c r="O78" s="128"/>
      <c r="P78" s="128"/>
      <c r="Q78" s="128"/>
      <c r="R78" s="128"/>
      <c r="S78" s="129"/>
      <c r="T78" s="128"/>
      <c r="U78" s="128"/>
      <c r="V78" s="130"/>
      <c r="W78" s="130"/>
      <c r="X78" s="128"/>
      <c r="Y78" s="128"/>
      <c r="Z78" s="128"/>
      <c r="AA78" s="128"/>
      <c r="AB78" s="128"/>
      <c r="AC78" s="128"/>
      <c r="AD78" s="128"/>
      <c r="AE78" s="128"/>
      <c r="AF78" s="129"/>
      <c r="AG78" s="131"/>
      <c r="AH78" s="131"/>
      <c r="AI78" s="131"/>
      <c r="AJ78" s="131"/>
      <c r="AK78" s="131"/>
      <c r="AL78" s="131"/>
      <c r="AM78" s="131"/>
      <c r="AN78" s="132"/>
      <c r="AO78" s="128"/>
      <c r="AP78" s="128"/>
      <c r="AQ78" s="128"/>
      <c r="AR78" s="128"/>
      <c r="AS78" s="128"/>
      <c r="AT78" s="128"/>
      <c r="AU78" s="128"/>
      <c r="AV78" s="129"/>
    </row>
    <row r="79" spans="1:708" ht="69.75" customHeight="1" x14ac:dyDescent="0.25">
      <c r="A79" s="20"/>
      <c r="B79" s="20"/>
      <c r="C79" s="20"/>
      <c r="D79" s="20"/>
      <c r="E79" s="20"/>
      <c r="F79" s="20"/>
      <c r="G79" s="20"/>
      <c r="H79" s="20"/>
      <c r="I79" s="20"/>
      <c r="J79" s="20"/>
      <c r="K79" s="20"/>
      <c r="L79" s="20"/>
      <c r="M79" s="20"/>
      <c r="N79" s="20"/>
      <c r="O79" s="20"/>
      <c r="P79" s="20"/>
      <c r="Q79" s="20"/>
      <c r="R79" s="20"/>
      <c r="S79" s="1"/>
      <c r="T79" s="20"/>
      <c r="U79" s="20"/>
      <c r="V79" s="133"/>
      <c r="W79" s="133"/>
      <c r="Y79" s="657" t="s">
        <v>373</v>
      </c>
      <c r="Z79" s="657"/>
      <c r="AA79" s="55">
        <f>AVERAGE(AA13,AA21,AA29,AA37,AA45,AA53,AA57,AA61,AA66,AA73,AA76)</f>
        <v>0.3467038214310238</v>
      </c>
      <c r="AC79" s="657" t="s">
        <v>374</v>
      </c>
      <c r="AD79" s="657"/>
      <c r="AE79" s="55">
        <f>AVERAGE(AE13,AE21,AE29,AE37,AE45,AE53,AE61)</f>
        <v>0.13148004977188851</v>
      </c>
      <c r="AG79" s="658" t="s">
        <v>373</v>
      </c>
      <c r="AH79" s="658"/>
      <c r="AI79" s="59">
        <v>0.456136371625182</v>
      </c>
      <c r="AJ79" s="135"/>
      <c r="AK79" s="658" t="s">
        <v>374</v>
      </c>
      <c r="AL79" s="658"/>
      <c r="AM79" s="59">
        <v>0.22042592560201521</v>
      </c>
      <c r="AN79" s="136"/>
      <c r="AO79" s="657" t="s">
        <v>373</v>
      </c>
      <c r="AP79" s="657"/>
      <c r="AQ79" s="55">
        <f>AVERAGE(AQ13,AQ21,AQ29,AQ37,AQ45,AQ53,AQ57,AQ61,AQ66,AQ76)</f>
        <v>0.42512732934605307</v>
      </c>
      <c r="AS79" s="657" t="s">
        <v>374</v>
      </c>
      <c r="AT79" s="657"/>
      <c r="AU79" s="55">
        <f>AVERAGE(AU13,AU21,AU29,AU37,AU45,AU53,AU61)</f>
        <v>0.2746603768438084</v>
      </c>
    </row>
    <row r="80" spans="1:708" s="20" customFormat="1" ht="22.5" customHeight="1" x14ac:dyDescent="0.25">
      <c r="S80" s="1"/>
      <c r="V80" s="133"/>
      <c r="W80" s="133"/>
      <c r="AF80" s="1"/>
      <c r="AN80" s="1"/>
      <c r="AV80" s="1"/>
    </row>
    <row r="81" spans="19:48" s="20" customFormat="1" ht="22.5" customHeight="1" x14ac:dyDescent="0.25">
      <c r="S81" s="1"/>
      <c r="V81" s="133"/>
      <c r="W81" s="133"/>
      <c r="AF81" s="1"/>
      <c r="AN81" s="1"/>
      <c r="AV81" s="1"/>
    </row>
    <row r="82" spans="19:48" s="20" customFormat="1" ht="22.5" customHeight="1" x14ac:dyDescent="0.25">
      <c r="S82" s="1"/>
      <c r="V82" s="133"/>
      <c r="W82" s="133"/>
      <c r="AF82" s="1"/>
      <c r="AN82" s="1"/>
      <c r="AV82" s="1"/>
    </row>
    <row r="83" spans="19:48" s="20" customFormat="1" ht="22.5" customHeight="1" x14ac:dyDescent="0.25">
      <c r="S83" s="1"/>
      <c r="V83" s="133"/>
      <c r="W83" s="133"/>
      <c r="AF83" s="1"/>
      <c r="AN83" s="1"/>
      <c r="AV83" s="1"/>
    </row>
    <row r="84" spans="19:48" s="20" customFormat="1" ht="22.5" customHeight="1" x14ac:dyDescent="0.25">
      <c r="S84" s="1"/>
      <c r="V84" s="133"/>
      <c r="W84" s="133"/>
      <c r="AF84" s="1"/>
      <c r="AN84" s="1"/>
      <c r="AV84" s="1"/>
    </row>
    <row r="85" spans="19:48" s="20" customFormat="1" ht="22.5" customHeight="1" x14ac:dyDescent="0.25">
      <c r="S85" s="1"/>
      <c r="V85" s="133"/>
      <c r="W85" s="133"/>
      <c r="AF85" s="1"/>
      <c r="AN85" s="1"/>
      <c r="AV85" s="1"/>
    </row>
    <row r="86" spans="19:48" s="20" customFormat="1" ht="22.5" customHeight="1" x14ac:dyDescent="0.25">
      <c r="S86" s="1"/>
      <c r="V86" s="133"/>
      <c r="W86" s="133"/>
      <c r="AF86" s="1"/>
      <c r="AN86" s="1"/>
      <c r="AV86" s="1"/>
    </row>
    <row r="87" spans="19:48" s="20" customFormat="1" ht="22.5" customHeight="1" x14ac:dyDescent="0.25">
      <c r="S87" s="1"/>
      <c r="V87" s="133"/>
      <c r="W87" s="133"/>
      <c r="AF87" s="1"/>
      <c r="AN87" s="1"/>
      <c r="AV87" s="1"/>
    </row>
    <row r="88" spans="19:48" s="20" customFormat="1" ht="22.5" customHeight="1" x14ac:dyDescent="0.25">
      <c r="S88" s="1"/>
      <c r="V88" s="133"/>
      <c r="W88" s="133"/>
      <c r="AF88" s="1"/>
      <c r="AN88" s="1"/>
      <c r="AV88" s="1"/>
    </row>
    <row r="89" spans="19:48" s="20" customFormat="1" ht="22.5" customHeight="1" x14ac:dyDescent="0.25">
      <c r="S89" s="1"/>
      <c r="V89" s="133"/>
      <c r="W89" s="133"/>
      <c r="AF89" s="1"/>
      <c r="AN89" s="1"/>
      <c r="AV89" s="1"/>
    </row>
    <row r="90" spans="19:48" s="20" customFormat="1" ht="22.5" customHeight="1" x14ac:dyDescent="0.25">
      <c r="S90" s="1"/>
      <c r="V90" s="133"/>
      <c r="W90" s="133"/>
      <c r="AF90" s="1"/>
      <c r="AN90" s="1"/>
      <c r="AV90" s="1"/>
    </row>
    <row r="91" spans="19:48" s="20" customFormat="1" ht="22.5" customHeight="1" x14ac:dyDescent="0.25">
      <c r="S91" s="1"/>
      <c r="V91" s="133"/>
      <c r="W91" s="133"/>
      <c r="AF91" s="1"/>
      <c r="AN91" s="1"/>
      <c r="AV91" s="1"/>
    </row>
    <row r="92" spans="19:48" s="20" customFormat="1" ht="22.5" customHeight="1" x14ac:dyDescent="0.25">
      <c r="S92" s="1"/>
      <c r="V92" s="133"/>
      <c r="W92" s="133"/>
      <c r="AF92" s="1"/>
      <c r="AN92" s="1"/>
      <c r="AV92" s="1"/>
    </row>
    <row r="93" spans="19:48" s="20" customFormat="1" ht="22.5" customHeight="1" x14ac:dyDescent="0.25">
      <c r="S93" s="1"/>
      <c r="V93" s="133"/>
      <c r="W93" s="133"/>
      <c r="AF93" s="1"/>
      <c r="AN93" s="1"/>
      <c r="AV93" s="1"/>
    </row>
    <row r="94" spans="19:48" s="20" customFormat="1" ht="22.5" customHeight="1" x14ac:dyDescent="0.25">
      <c r="S94" s="1"/>
      <c r="V94" s="133"/>
      <c r="W94" s="133"/>
      <c r="AF94" s="1"/>
      <c r="AN94" s="1"/>
      <c r="AV94" s="1"/>
    </row>
    <row r="95" spans="19:48" s="20" customFormat="1" ht="22.5" customHeight="1" x14ac:dyDescent="0.25">
      <c r="S95" s="1"/>
      <c r="V95" s="133"/>
      <c r="W95" s="133"/>
      <c r="AF95" s="1"/>
      <c r="AN95" s="1"/>
      <c r="AV95" s="1"/>
    </row>
    <row r="96" spans="19:48" s="20" customFormat="1" ht="22.5" customHeight="1" x14ac:dyDescent="0.25">
      <c r="S96" s="1"/>
      <c r="V96" s="133"/>
      <c r="W96" s="133"/>
      <c r="AF96" s="1"/>
      <c r="AN96" s="1"/>
      <c r="AV96" s="1"/>
    </row>
    <row r="97" spans="19:48" s="20" customFormat="1" ht="22.5" customHeight="1" x14ac:dyDescent="0.25">
      <c r="S97" s="1"/>
      <c r="V97" s="133"/>
      <c r="W97" s="133"/>
      <c r="AF97" s="1"/>
      <c r="AN97" s="1"/>
      <c r="AV97" s="1"/>
    </row>
    <row r="98" spans="19:48" s="20" customFormat="1" ht="22.5" customHeight="1" x14ac:dyDescent="0.25">
      <c r="S98" s="1"/>
      <c r="V98" s="133"/>
      <c r="W98" s="133"/>
      <c r="AF98" s="1"/>
      <c r="AN98" s="1"/>
      <c r="AV98" s="1"/>
    </row>
    <row r="99" spans="19:48" s="20" customFormat="1" ht="22.5" customHeight="1" x14ac:dyDescent="0.25">
      <c r="S99" s="1"/>
      <c r="V99" s="133"/>
      <c r="W99" s="133"/>
      <c r="AF99" s="1"/>
      <c r="AN99" s="1"/>
      <c r="AV99" s="1"/>
    </row>
    <row r="100" spans="19:48" s="20" customFormat="1" ht="22.5" customHeight="1" x14ac:dyDescent="0.25">
      <c r="S100" s="1"/>
      <c r="V100" s="133"/>
      <c r="W100" s="133"/>
      <c r="AF100" s="1"/>
      <c r="AN100" s="1"/>
      <c r="AV100" s="1"/>
    </row>
    <row r="101" spans="19:48" s="20" customFormat="1" ht="22.5" customHeight="1" x14ac:dyDescent="0.25">
      <c r="S101" s="1"/>
      <c r="V101" s="133"/>
      <c r="W101" s="133"/>
      <c r="AF101" s="1"/>
      <c r="AN101" s="1"/>
      <c r="AV101" s="1"/>
    </row>
    <row r="102" spans="19:48" s="20" customFormat="1" ht="22.5" customHeight="1" x14ac:dyDescent="0.25">
      <c r="S102" s="1"/>
      <c r="V102" s="133"/>
      <c r="W102" s="133"/>
      <c r="AF102" s="1"/>
      <c r="AN102" s="1"/>
      <c r="AV102" s="1"/>
    </row>
    <row r="103" spans="19:48" s="20" customFormat="1" ht="22.5" customHeight="1" x14ac:dyDescent="0.25">
      <c r="S103" s="1"/>
      <c r="V103" s="133"/>
      <c r="W103" s="133"/>
      <c r="AF103" s="1"/>
      <c r="AN103" s="1"/>
      <c r="AV103" s="1"/>
    </row>
    <row r="104" spans="19:48" s="20" customFormat="1" ht="22.5" customHeight="1" x14ac:dyDescent="0.25">
      <c r="S104" s="1"/>
      <c r="V104" s="133"/>
      <c r="W104" s="133"/>
      <c r="AF104" s="1"/>
      <c r="AN104" s="1"/>
      <c r="AV104" s="1"/>
    </row>
    <row r="105" spans="19:48" s="20" customFormat="1" ht="22.5" customHeight="1" x14ac:dyDescent="0.25">
      <c r="S105" s="1"/>
      <c r="V105" s="133"/>
      <c r="W105" s="133"/>
      <c r="AF105" s="1"/>
      <c r="AN105" s="1"/>
      <c r="AV105" s="1"/>
    </row>
    <row r="106" spans="19:48" s="20" customFormat="1" ht="22.5" customHeight="1" x14ac:dyDescent="0.25">
      <c r="S106" s="1"/>
      <c r="V106" s="133"/>
      <c r="W106" s="133"/>
      <c r="AF106" s="1"/>
      <c r="AN106" s="1"/>
      <c r="AV106" s="1"/>
    </row>
    <row r="107" spans="19:48" s="20" customFormat="1" ht="22.5" customHeight="1" x14ac:dyDescent="0.25">
      <c r="S107" s="1"/>
      <c r="V107" s="133"/>
      <c r="W107" s="133"/>
      <c r="AF107" s="1"/>
      <c r="AN107" s="1"/>
      <c r="AV107" s="1"/>
    </row>
    <row r="108" spans="19:48" s="20" customFormat="1" ht="22.5" customHeight="1" x14ac:dyDescent="0.25">
      <c r="S108" s="1"/>
      <c r="V108" s="133"/>
      <c r="W108" s="133"/>
      <c r="AF108" s="1"/>
      <c r="AN108" s="1"/>
      <c r="AV108" s="1"/>
    </row>
    <row r="109" spans="19:48" s="20" customFormat="1" ht="22.5" customHeight="1" x14ac:dyDescent="0.25">
      <c r="S109" s="1"/>
      <c r="V109" s="133"/>
      <c r="W109" s="133"/>
      <c r="AF109" s="1"/>
      <c r="AN109" s="1"/>
      <c r="AV109" s="1"/>
    </row>
    <row r="110" spans="19:48" s="20" customFormat="1" ht="22.5" customHeight="1" x14ac:dyDescent="0.25">
      <c r="S110" s="1"/>
      <c r="V110" s="133"/>
      <c r="W110" s="133"/>
      <c r="AF110" s="1"/>
      <c r="AN110" s="1"/>
      <c r="AV110" s="1"/>
    </row>
    <row r="111" spans="19:48" s="20" customFormat="1" ht="22.5" customHeight="1" x14ac:dyDescent="0.25">
      <c r="S111" s="1"/>
      <c r="V111" s="133"/>
      <c r="W111" s="133"/>
      <c r="AF111" s="1"/>
      <c r="AN111" s="1"/>
      <c r="AV111" s="1"/>
    </row>
    <row r="112" spans="19:48" s="20" customFormat="1" ht="22.5" customHeight="1" x14ac:dyDescent="0.25">
      <c r="S112" s="1"/>
      <c r="V112" s="133"/>
      <c r="W112" s="133"/>
      <c r="AF112" s="1"/>
      <c r="AN112" s="1"/>
      <c r="AV112" s="1"/>
    </row>
    <row r="113" spans="19:48" s="20" customFormat="1" ht="22.5" customHeight="1" x14ac:dyDescent="0.25">
      <c r="S113" s="1"/>
      <c r="V113" s="133"/>
      <c r="W113" s="133"/>
      <c r="AF113" s="1"/>
      <c r="AN113" s="1"/>
      <c r="AV113" s="1"/>
    </row>
    <row r="114" spans="19:48" s="20" customFormat="1" ht="22.5" customHeight="1" x14ac:dyDescent="0.25">
      <c r="S114" s="1"/>
      <c r="V114" s="133"/>
      <c r="W114" s="133"/>
      <c r="AF114" s="1"/>
      <c r="AN114" s="1"/>
      <c r="AV114" s="1"/>
    </row>
    <row r="115" spans="19:48" s="20" customFormat="1" ht="22.5" customHeight="1" x14ac:dyDescent="0.25">
      <c r="S115" s="1"/>
      <c r="V115" s="133"/>
      <c r="W115" s="133"/>
      <c r="AF115" s="1"/>
      <c r="AN115" s="1"/>
      <c r="AV115" s="1"/>
    </row>
    <row r="116" spans="19:48" s="20" customFormat="1" ht="22.5" customHeight="1" x14ac:dyDescent="0.25">
      <c r="S116" s="1"/>
      <c r="V116" s="133"/>
      <c r="W116" s="133"/>
      <c r="AF116" s="1"/>
      <c r="AN116" s="1"/>
      <c r="AV116" s="1"/>
    </row>
    <row r="117" spans="19:48" s="20" customFormat="1" ht="22.5" customHeight="1" x14ac:dyDescent="0.25">
      <c r="S117" s="1"/>
      <c r="V117" s="133"/>
      <c r="W117" s="133"/>
      <c r="AF117" s="1"/>
      <c r="AN117" s="1"/>
      <c r="AV117" s="1"/>
    </row>
    <row r="118" spans="19:48" s="20" customFormat="1" ht="22.5" customHeight="1" x14ac:dyDescent="0.25">
      <c r="S118" s="1"/>
      <c r="V118" s="133"/>
      <c r="W118" s="133"/>
      <c r="AF118" s="1"/>
      <c r="AN118" s="1"/>
      <c r="AV118" s="1"/>
    </row>
    <row r="119" spans="19:48" s="20" customFormat="1" ht="22.5" customHeight="1" x14ac:dyDescent="0.25">
      <c r="S119" s="1"/>
      <c r="V119" s="133"/>
      <c r="W119" s="133"/>
      <c r="AF119" s="1"/>
      <c r="AN119" s="1"/>
      <c r="AV119" s="1"/>
    </row>
    <row r="120" spans="19:48" s="20" customFormat="1" ht="22.5" customHeight="1" x14ac:dyDescent="0.25">
      <c r="S120" s="1"/>
      <c r="V120" s="133"/>
      <c r="W120" s="133"/>
      <c r="AF120" s="1"/>
      <c r="AN120" s="1"/>
      <c r="AV120" s="1"/>
    </row>
    <row r="121" spans="19:48" s="20" customFormat="1" ht="22.5" customHeight="1" x14ac:dyDescent="0.25">
      <c r="S121" s="1"/>
      <c r="V121" s="133"/>
      <c r="W121" s="133"/>
      <c r="AF121" s="1"/>
      <c r="AN121" s="1"/>
      <c r="AV121" s="1"/>
    </row>
    <row r="122" spans="19:48" s="20" customFormat="1" ht="22.5" customHeight="1" x14ac:dyDescent="0.25">
      <c r="S122" s="1"/>
      <c r="V122" s="133"/>
      <c r="W122" s="133"/>
      <c r="AF122" s="1"/>
      <c r="AN122" s="1"/>
      <c r="AV122" s="1"/>
    </row>
    <row r="123" spans="19:48" s="20" customFormat="1" ht="22.5" customHeight="1" x14ac:dyDescent="0.25">
      <c r="S123" s="1"/>
      <c r="V123" s="133"/>
      <c r="W123" s="133"/>
      <c r="AF123" s="1"/>
      <c r="AN123" s="1"/>
      <c r="AV123" s="1"/>
    </row>
    <row r="124" spans="19:48" s="20" customFormat="1" ht="22.5" customHeight="1" x14ac:dyDescent="0.25">
      <c r="S124" s="1"/>
      <c r="V124" s="133"/>
      <c r="W124" s="133"/>
      <c r="AF124" s="1"/>
      <c r="AN124" s="1"/>
      <c r="AV124" s="1"/>
    </row>
    <row r="125" spans="19:48" s="20" customFormat="1" ht="22.5" customHeight="1" x14ac:dyDescent="0.25">
      <c r="S125" s="1"/>
      <c r="V125" s="133"/>
      <c r="W125" s="133"/>
      <c r="AF125" s="1"/>
      <c r="AN125" s="1"/>
      <c r="AV125" s="1"/>
    </row>
    <row r="126" spans="19:48" s="20" customFormat="1" ht="22.5" customHeight="1" x14ac:dyDescent="0.25">
      <c r="S126" s="1"/>
      <c r="V126" s="133"/>
      <c r="W126" s="133"/>
      <c r="AF126" s="1"/>
      <c r="AN126" s="1"/>
      <c r="AV126" s="1"/>
    </row>
    <row r="127" spans="19:48" s="20" customFormat="1" ht="22.5" customHeight="1" x14ac:dyDescent="0.25">
      <c r="S127" s="1"/>
      <c r="V127" s="133"/>
      <c r="W127" s="133"/>
      <c r="AF127" s="1"/>
      <c r="AN127" s="1"/>
      <c r="AV127" s="1"/>
    </row>
    <row r="128" spans="19:48" s="20" customFormat="1" ht="22.5" customHeight="1" x14ac:dyDescent="0.25">
      <c r="S128" s="1"/>
      <c r="V128" s="133"/>
      <c r="W128" s="133"/>
      <c r="AF128" s="1"/>
      <c r="AN128" s="1"/>
      <c r="AV128" s="1"/>
    </row>
    <row r="129" spans="19:48" s="20" customFormat="1" ht="22.5" customHeight="1" x14ac:dyDescent="0.25">
      <c r="S129" s="1"/>
      <c r="V129" s="133"/>
      <c r="W129" s="133"/>
      <c r="AF129" s="1"/>
      <c r="AN129" s="1"/>
      <c r="AV129" s="1"/>
    </row>
    <row r="130" spans="19:48" s="20" customFormat="1" ht="22.5" customHeight="1" x14ac:dyDescent="0.25">
      <c r="S130" s="1"/>
      <c r="V130" s="133"/>
      <c r="W130" s="133"/>
      <c r="AF130" s="1"/>
      <c r="AN130" s="1"/>
      <c r="AV130" s="1"/>
    </row>
    <row r="131" spans="19:48" s="20" customFormat="1" ht="22.5" customHeight="1" x14ac:dyDescent="0.25">
      <c r="S131" s="1"/>
      <c r="V131" s="133"/>
      <c r="W131" s="133"/>
      <c r="AF131" s="1"/>
      <c r="AN131" s="1"/>
      <c r="AV131" s="1"/>
    </row>
    <row r="132" spans="19:48" s="20" customFormat="1" ht="22.5" customHeight="1" x14ac:dyDescent="0.25">
      <c r="S132" s="1"/>
      <c r="V132" s="133"/>
      <c r="W132" s="133"/>
      <c r="AF132" s="1"/>
      <c r="AN132" s="1"/>
      <c r="AV132" s="1"/>
    </row>
    <row r="133" spans="19:48" s="20" customFormat="1" ht="22.5" customHeight="1" x14ac:dyDescent="0.25">
      <c r="S133" s="1"/>
      <c r="V133" s="133"/>
      <c r="W133" s="133"/>
      <c r="AF133" s="1"/>
      <c r="AN133" s="1"/>
      <c r="AV133" s="1"/>
    </row>
    <row r="134" spans="19:48" s="20" customFormat="1" ht="22.5" customHeight="1" x14ac:dyDescent="0.25">
      <c r="S134" s="1"/>
      <c r="V134" s="133"/>
      <c r="W134" s="133"/>
      <c r="AF134" s="1"/>
      <c r="AN134" s="1"/>
      <c r="AV134" s="1"/>
    </row>
    <row r="135" spans="19:48" s="20" customFormat="1" ht="22.5" customHeight="1" x14ac:dyDescent="0.25">
      <c r="S135" s="1"/>
      <c r="V135" s="133"/>
      <c r="W135" s="133"/>
      <c r="AF135" s="1"/>
      <c r="AN135" s="1"/>
      <c r="AV135" s="1"/>
    </row>
    <row r="136" spans="19:48" s="20" customFormat="1" ht="22.5" customHeight="1" x14ac:dyDescent="0.25">
      <c r="S136" s="1"/>
      <c r="V136" s="133"/>
      <c r="W136" s="133"/>
      <c r="AF136" s="1"/>
      <c r="AN136" s="1"/>
      <c r="AV136" s="1"/>
    </row>
    <row r="137" spans="19:48" s="20" customFormat="1" ht="22.5" customHeight="1" x14ac:dyDescent="0.25">
      <c r="S137" s="1"/>
      <c r="V137" s="133"/>
      <c r="W137" s="133"/>
      <c r="AF137" s="1"/>
      <c r="AN137" s="1"/>
      <c r="AV137" s="1"/>
    </row>
    <row r="138" spans="19:48" s="20" customFormat="1" ht="22.5" customHeight="1" x14ac:dyDescent="0.25">
      <c r="S138" s="1"/>
      <c r="V138" s="133"/>
      <c r="W138" s="133"/>
      <c r="AF138" s="1"/>
      <c r="AN138" s="1"/>
      <c r="AV138" s="1"/>
    </row>
    <row r="139" spans="19:48" s="20" customFormat="1" ht="22.5" customHeight="1" x14ac:dyDescent="0.25">
      <c r="S139" s="1"/>
      <c r="V139" s="133"/>
      <c r="W139" s="133"/>
      <c r="AF139" s="1"/>
      <c r="AN139" s="1"/>
      <c r="AV139" s="1"/>
    </row>
    <row r="140" spans="19:48" s="20" customFormat="1" ht="22.5" customHeight="1" x14ac:dyDescent="0.25">
      <c r="S140" s="1"/>
      <c r="V140" s="133"/>
      <c r="W140" s="133"/>
      <c r="AF140" s="1"/>
      <c r="AN140" s="1"/>
      <c r="AV140" s="1"/>
    </row>
    <row r="141" spans="19:48" s="20" customFormat="1" ht="22.5" customHeight="1" x14ac:dyDescent="0.25">
      <c r="S141" s="1"/>
      <c r="V141" s="133"/>
      <c r="W141" s="133"/>
      <c r="AF141" s="1"/>
      <c r="AN141" s="1"/>
      <c r="AV141" s="1"/>
    </row>
    <row r="142" spans="19:48" s="20" customFormat="1" ht="22.5" customHeight="1" x14ac:dyDescent="0.25">
      <c r="S142" s="1"/>
      <c r="V142" s="133"/>
      <c r="W142" s="133"/>
      <c r="AF142" s="1"/>
      <c r="AN142" s="1"/>
      <c r="AV142" s="1"/>
    </row>
    <row r="143" spans="19:48" s="20" customFormat="1" ht="22.5" customHeight="1" x14ac:dyDescent="0.25">
      <c r="S143" s="1"/>
      <c r="V143" s="133"/>
      <c r="W143" s="133"/>
      <c r="AF143" s="1"/>
      <c r="AN143" s="1"/>
      <c r="AV143" s="1"/>
    </row>
    <row r="144" spans="19:48" s="20" customFormat="1" ht="22.5" customHeight="1" x14ac:dyDescent="0.25">
      <c r="S144" s="1"/>
      <c r="V144" s="133"/>
      <c r="W144" s="133"/>
      <c r="AF144" s="1"/>
      <c r="AN144" s="1"/>
      <c r="AV144" s="1"/>
    </row>
    <row r="145" spans="19:48" s="20" customFormat="1" ht="22.5" customHeight="1" x14ac:dyDescent="0.25">
      <c r="S145" s="1"/>
      <c r="V145" s="133"/>
      <c r="W145" s="133"/>
      <c r="AF145" s="1"/>
      <c r="AN145" s="1"/>
      <c r="AV145" s="1"/>
    </row>
    <row r="146" spans="19:48" s="20" customFormat="1" ht="22.5" customHeight="1" x14ac:dyDescent="0.25">
      <c r="S146" s="1"/>
      <c r="V146" s="133"/>
      <c r="W146" s="133"/>
      <c r="AF146" s="1"/>
      <c r="AN146" s="1"/>
      <c r="AV146" s="1"/>
    </row>
    <row r="147" spans="19:48" s="20" customFormat="1" ht="22.5" customHeight="1" x14ac:dyDescent="0.25">
      <c r="S147" s="1"/>
      <c r="V147" s="133"/>
      <c r="W147" s="133"/>
      <c r="AF147" s="1"/>
      <c r="AN147" s="1"/>
      <c r="AV147" s="1"/>
    </row>
    <row r="148" spans="19:48" s="20" customFormat="1" ht="22.5" customHeight="1" x14ac:dyDescent="0.25">
      <c r="S148" s="1"/>
      <c r="V148" s="133"/>
      <c r="W148" s="133"/>
      <c r="AF148" s="1"/>
      <c r="AN148" s="1"/>
      <c r="AV148" s="1"/>
    </row>
    <row r="149" spans="19:48" s="20" customFormat="1" ht="22.5" customHeight="1" x14ac:dyDescent="0.25">
      <c r="S149" s="1"/>
      <c r="V149" s="133"/>
      <c r="W149" s="133"/>
      <c r="AF149" s="1"/>
      <c r="AN149" s="1"/>
      <c r="AV149" s="1"/>
    </row>
    <row r="150" spans="19:48" s="20" customFormat="1" ht="22.5" customHeight="1" x14ac:dyDescent="0.25">
      <c r="S150" s="1"/>
      <c r="V150" s="133"/>
      <c r="W150" s="133"/>
      <c r="AF150" s="1"/>
      <c r="AN150" s="1"/>
      <c r="AV150" s="1"/>
    </row>
    <row r="151" spans="19:48" s="20" customFormat="1" ht="22.5" customHeight="1" x14ac:dyDescent="0.25">
      <c r="S151" s="1"/>
      <c r="V151" s="133"/>
      <c r="W151" s="133"/>
      <c r="AF151" s="1"/>
      <c r="AN151" s="1"/>
      <c r="AV151" s="1"/>
    </row>
    <row r="152" spans="19:48" s="20" customFormat="1" ht="22.5" customHeight="1" x14ac:dyDescent="0.25">
      <c r="S152" s="1"/>
      <c r="V152" s="133"/>
      <c r="W152" s="133"/>
      <c r="AF152" s="1"/>
      <c r="AN152" s="1"/>
      <c r="AV152" s="1"/>
    </row>
    <row r="153" spans="19:48" s="20" customFormat="1" ht="22.5" customHeight="1" x14ac:dyDescent="0.25">
      <c r="S153" s="1"/>
      <c r="V153" s="133"/>
      <c r="W153" s="133"/>
      <c r="AF153" s="1"/>
      <c r="AN153" s="1"/>
      <c r="AV153" s="1"/>
    </row>
    <row r="154" spans="19:48" s="20" customFormat="1" ht="22.5" customHeight="1" x14ac:dyDescent="0.25">
      <c r="S154" s="1"/>
      <c r="V154" s="133"/>
      <c r="W154" s="133"/>
      <c r="AF154" s="1"/>
      <c r="AN154" s="1"/>
      <c r="AV154" s="1"/>
    </row>
    <row r="155" spans="19:48" s="20" customFormat="1" ht="22.5" customHeight="1" x14ac:dyDescent="0.25">
      <c r="S155" s="1"/>
      <c r="V155" s="133"/>
      <c r="W155" s="133"/>
      <c r="AF155" s="1"/>
      <c r="AN155" s="1"/>
      <c r="AV155" s="1"/>
    </row>
    <row r="156" spans="19:48" s="20" customFormat="1" ht="22.5" customHeight="1" x14ac:dyDescent="0.25">
      <c r="S156" s="1"/>
      <c r="V156" s="133"/>
      <c r="W156" s="133"/>
      <c r="AF156" s="1"/>
      <c r="AN156" s="1"/>
      <c r="AV156" s="1"/>
    </row>
    <row r="157" spans="19:48" s="20" customFormat="1" ht="22.5" customHeight="1" x14ac:dyDescent="0.25">
      <c r="S157" s="1"/>
      <c r="V157" s="133"/>
      <c r="W157" s="133"/>
      <c r="AF157" s="1"/>
      <c r="AN157" s="1"/>
      <c r="AV157" s="1"/>
    </row>
    <row r="158" spans="19:48" s="20" customFormat="1" ht="22.5" customHeight="1" x14ac:dyDescent="0.25">
      <c r="S158" s="1"/>
      <c r="V158" s="133"/>
      <c r="W158" s="133"/>
      <c r="AF158" s="1"/>
      <c r="AN158" s="1"/>
      <c r="AV158" s="1"/>
    </row>
    <row r="159" spans="19:48" s="20" customFormat="1" ht="22.5" customHeight="1" x14ac:dyDescent="0.25">
      <c r="S159" s="1"/>
      <c r="V159" s="133"/>
      <c r="W159" s="133"/>
      <c r="AF159" s="1"/>
      <c r="AN159" s="1"/>
      <c r="AV159" s="1"/>
    </row>
    <row r="160" spans="19:48" s="20" customFormat="1" ht="22.5" customHeight="1" x14ac:dyDescent="0.25">
      <c r="S160" s="1"/>
      <c r="V160" s="133"/>
      <c r="W160" s="133"/>
      <c r="AF160" s="1"/>
      <c r="AN160" s="1"/>
      <c r="AV160" s="1"/>
    </row>
    <row r="161" spans="19:48" s="20" customFormat="1" ht="22.5" customHeight="1" x14ac:dyDescent="0.25">
      <c r="S161" s="1"/>
      <c r="V161" s="133"/>
      <c r="W161" s="133"/>
      <c r="AF161" s="1"/>
      <c r="AN161" s="1"/>
      <c r="AV161" s="1"/>
    </row>
    <row r="162" spans="19:48" s="20" customFormat="1" ht="22.5" customHeight="1" x14ac:dyDescent="0.25">
      <c r="S162" s="1"/>
      <c r="V162" s="133"/>
      <c r="W162" s="133"/>
      <c r="AF162" s="1"/>
      <c r="AN162" s="1"/>
      <c r="AV162" s="1"/>
    </row>
    <row r="163" spans="19:48" s="20" customFormat="1" ht="22.5" customHeight="1" x14ac:dyDescent="0.25">
      <c r="S163" s="1"/>
      <c r="V163" s="133"/>
      <c r="W163" s="133"/>
      <c r="AF163" s="1"/>
      <c r="AN163" s="1"/>
      <c r="AV163" s="1"/>
    </row>
    <row r="164" spans="19:48" s="20" customFormat="1" ht="22.5" customHeight="1" x14ac:dyDescent="0.25">
      <c r="S164" s="1"/>
      <c r="V164" s="133"/>
      <c r="W164" s="133"/>
      <c r="AF164" s="1"/>
      <c r="AN164" s="1"/>
      <c r="AV164" s="1"/>
    </row>
    <row r="165" spans="19:48" s="20" customFormat="1" ht="22.5" customHeight="1" x14ac:dyDescent="0.25">
      <c r="S165" s="1"/>
      <c r="V165" s="133"/>
      <c r="W165" s="133"/>
      <c r="AF165" s="1"/>
      <c r="AN165" s="1"/>
      <c r="AV165" s="1"/>
    </row>
    <row r="166" spans="19:48" s="20" customFormat="1" ht="22.5" customHeight="1" x14ac:dyDescent="0.25">
      <c r="S166" s="1"/>
      <c r="V166" s="133"/>
      <c r="W166" s="133"/>
      <c r="AF166" s="1"/>
      <c r="AN166" s="1"/>
      <c r="AV166" s="1"/>
    </row>
    <row r="167" spans="19:48" s="20" customFormat="1" ht="22.5" customHeight="1" x14ac:dyDescent="0.25">
      <c r="S167" s="1"/>
      <c r="V167" s="133"/>
      <c r="W167" s="133"/>
      <c r="AF167" s="1"/>
      <c r="AN167" s="1"/>
      <c r="AV167" s="1"/>
    </row>
    <row r="168" spans="19:48" s="20" customFormat="1" ht="22.5" customHeight="1" x14ac:dyDescent="0.25">
      <c r="S168" s="1"/>
      <c r="V168" s="133"/>
      <c r="W168" s="133"/>
      <c r="AF168" s="1"/>
      <c r="AN168" s="1"/>
      <c r="AV168" s="1"/>
    </row>
    <row r="169" spans="19:48" s="20" customFormat="1" ht="22.5" customHeight="1" x14ac:dyDescent="0.25">
      <c r="S169" s="1"/>
      <c r="V169" s="133"/>
      <c r="W169" s="133"/>
      <c r="AF169" s="1"/>
      <c r="AN169" s="1"/>
      <c r="AV169" s="1"/>
    </row>
    <row r="170" spans="19:48" s="20" customFormat="1" ht="22.5" customHeight="1" x14ac:dyDescent="0.25">
      <c r="S170" s="1"/>
      <c r="V170" s="133"/>
      <c r="W170" s="133"/>
      <c r="AF170" s="1"/>
      <c r="AN170" s="1"/>
      <c r="AV170" s="1"/>
    </row>
    <row r="171" spans="19:48" s="20" customFormat="1" ht="22.5" customHeight="1" x14ac:dyDescent="0.25">
      <c r="S171" s="1"/>
      <c r="V171" s="133"/>
      <c r="W171" s="133"/>
      <c r="AF171" s="1"/>
      <c r="AN171" s="1"/>
      <c r="AV171" s="1"/>
    </row>
    <row r="172" spans="19:48" s="20" customFormat="1" ht="22.5" customHeight="1" x14ac:dyDescent="0.25">
      <c r="S172" s="1"/>
      <c r="V172" s="133"/>
      <c r="W172" s="133"/>
      <c r="AF172" s="1"/>
      <c r="AN172" s="1"/>
      <c r="AV172" s="1"/>
    </row>
    <row r="173" spans="19:48" s="20" customFormat="1" ht="22.5" customHeight="1" x14ac:dyDescent="0.25">
      <c r="S173" s="1"/>
      <c r="V173" s="133"/>
      <c r="W173" s="133"/>
      <c r="AF173" s="1"/>
      <c r="AN173" s="1"/>
      <c r="AV173" s="1"/>
    </row>
    <row r="174" spans="19:48" s="20" customFormat="1" ht="22.5" customHeight="1" x14ac:dyDescent="0.25">
      <c r="S174" s="1"/>
      <c r="V174" s="133"/>
      <c r="W174" s="133"/>
      <c r="AF174" s="1"/>
      <c r="AN174" s="1"/>
      <c r="AV174" s="1"/>
    </row>
    <row r="175" spans="19:48" s="20" customFormat="1" ht="22.5" customHeight="1" x14ac:dyDescent="0.25">
      <c r="S175" s="1"/>
      <c r="V175" s="133"/>
      <c r="W175" s="133"/>
      <c r="AF175" s="1"/>
      <c r="AN175" s="1"/>
      <c r="AV175" s="1"/>
    </row>
    <row r="176" spans="19:48" s="20" customFormat="1" ht="22.5" customHeight="1" x14ac:dyDescent="0.25">
      <c r="S176" s="1"/>
      <c r="V176" s="133"/>
      <c r="W176" s="133"/>
      <c r="AF176" s="1"/>
      <c r="AN176" s="1"/>
      <c r="AV176" s="1"/>
    </row>
    <row r="177" spans="19:48" s="20" customFormat="1" ht="22.5" customHeight="1" x14ac:dyDescent="0.25">
      <c r="S177" s="1"/>
      <c r="V177" s="133"/>
      <c r="W177" s="133"/>
      <c r="AF177" s="1"/>
      <c r="AN177" s="1"/>
      <c r="AV177" s="1"/>
    </row>
    <row r="178" spans="19:48" s="20" customFormat="1" ht="22.5" customHeight="1" x14ac:dyDescent="0.25">
      <c r="S178" s="1"/>
      <c r="V178" s="133"/>
      <c r="W178" s="133"/>
      <c r="AF178" s="1"/>
      <c r="AN178" s="1"/>
      <c r="AV178" s="1"/>
    </row>
    <row r="179" spans="19:48" s="20" customFormat="1" ht="22.5" customHeight="1" x14ac:dyDescent="0.25">
      <c r="S179" s="1"/>
      <c r="V179" s="133"/>
      <c r="W179" s="133"/>
      <c r="AF179" s="1"/>
      <c r="AN179" s="1"/>
      <c r="AV179" s="1"/>
    </row>
    <row r="180" spans="19:48" s="20" customFormat="1" ht="22.5" customHeight="1" x14ac:dyDescent="0.25">
      <c r="S180" s="1"/>
      <c r="V180" s="133"/>
      <c r="W180" s="133"/>
      <c r="AF180" s="1"/>
      <c r="AN180" s="1"/>
      <c r="AV180" s="1"/>
    </row>
    <row r="181" spans="19:48" s="20" customFormat="1" ht="22.5" customHeight="1" x14ac:dyDescent="0.25">
      <c r="S181" s="1"/>
      <c r="V181" s="133"/>
      <c r="W181" s="133"/>
      <c r="AF181" s="1"/>
      <c r="AN181" s="1"/>
      <c r="AV181" s="1"/>
    </row>
    <row r="182" spans="19:48" s="20" customFormat="1" ht="22.5" customHeight="1" x14ac:dyDescent="0.25">
      <c r="S182" s="1"/>
      <c r="V182" s="133"/>
      <c r="W182" s="133"/>
      <c r="AF182" s="1"/>
      <c r="AN182" s="1"/>
      <c r="AV182" s="1"/>
    </row>
    <row r="183" spans="19:48" s="20" customFormat="1" ht="22.5" customHeight="1" x14ac:dyDescent="0.25">
      <c r="S183" s="1"/>
      <c r="V183" s="133"/>
      <c r="W183" s="133"/>
      <c r="AF183" s="1"/>
      <c r="AN183" s="1"/>
      <c r="AV183" s="1"/>
    </row>
    <row r="184" spans="19:48" s="20" customFormat="1" ht="22.5" customHeight="1" x14ac:dyDescent="0.25">
      <c r="S184" s="1"/>
      <c r="V184" s="133"/>
      <c r="W184" s="133"/>
      <c r="AF184" s="1"/>
      <c r="AN184" s="1"/>
      <c r="AV184" s="1"/>
    </row>
    <row r="185" spans="19:48" s="20" customFormat="1" ht="22.5" customHeight="1" x14ac:dyDescent="0.25">
      <c r="S185" s="1"/>
      <c r="V185" s="133"/>
      <c r="W185" s="133"/>
      <c r="AF185" s="1"/>
      <c r="AN185" s="1"/>
      <c r="AV185" s="1"/>
    </row>
    <row r="186" spans="19:48" s="20" customFormat="1" ht="22.5" customHeight="1" x14ac:dyDescent="0.25">
      <c r="S186" s="1"/>
      <c r="V186" s="133"/>
      <c r="W186" s="133"/>
      <c r="AF186" s="1"/>
      <c r="AN186" s="1"/>
      <c r="AV186" s="1"/>
    </row>
    <row r="187" spans="19:48" s="20" customFormat="1" ht="22.5" customHeight="1" x14ac:dyDescent="0.25">
      <c r="S187" s="1"/>
      <c r="V187" s="133"/>
      <c r="W187" s="133"/>
      <c r="AF187" s="1"/>
      <c r="AN187" s="1"/>
      <c r="AV187" s="1"/>
    </row>
    <row r="188" spans="19:48" s="20" customFormat="1" ht="22.5" customHeight="1" x14ac:dyDescent="0.25">
      <c r="S188" s="1"/>
      <c r="V188" s="133"/>
      <c r="W188" s="133"/>
      <c r="AF188" s="1"/>
      <c r="AN188" s="1"/>
      <c r="AV188" s="1"/>
    </row>
    <row r="189" spans="19:48" s="20" customFormat="1" ht="22.5" customHeight="1" x14ac:dyDescent="0.25">
      <c r="S189" s="1"/>
      <c r="V189" s="133"/>
      <c r="W189" s="133"/>
      <c r="AF189" s="1"/>
      <c r="AN189" s="1"/>
      <c r="AV189" s="1"/>
    </row>
    <row r="190" spans="19:48" s="20" customFormat="1" ht="22.5" customHeight="1" x14ac:dyDescent="0.25">
      <c r="S190" s="1"/>
      <c r="V190" s="133"/>
      <c r="W190" s="133"/>
      <c r="AF190" s="1"/>
      <c r="AN190" s="1"/>
      <c r="AV190" s="1"/>
    </row>
    <row r="191" spans="19:48" s="20" customFormat="1" ht="22.5" customHeight="1" x14ac:dyDescent="0.25">
      <c r="S191" s="1"/>
      <c r="V191" s="133"/>
      <c r="W191" s="133"/>
      <c r="AF191" s="1"/>
      <c r="AN191" s="1"/>
      <c r="AV191" s="1"/>
    </row>
    <row r="192" spans="19:48" s="20" customFormat="1" ht="22.5" customHeight="1" x14ac:dyDescent="0.25">
      <c r="S192" s="1"/>
      <c r="V192" s="133"/>
      <c r="W192" s="133"/>
      <c r="AF192" s="1"/>
      <c r="AN192" s="1"/>
      <c r="AV192" s="1"/>
    </row>
    <row r="193" spans="19:48" s="20" customFormat="1" ht="22.5" customHeight="1" x14ac:dyDescent="0.25">
      <c r="S193" s="1"/>
      <c r="V193" s="133"/>
      <c r="W193" s="133"/>
      <c r="AF193" s="1"/>
      <c r="AN193" s="1"/>
      <c r="AV193" s="1"/>
    </row>
    <row r="194" spans="19:48" s="20" customFormat="1" ht="22.5" customHeight="1" x14ac:dyDescent="0.25">
      <c r="S194" s="1"/>
      <c r="V194" s="133"/>
      <c r="W194" s="133"/>
      <c r="AF194" s="1"/>
      <c r="AN194" s="1"/>
      <c r="AV194" s="1"/>
    </row>
    <row r="195" spans="19:48" s="20" customFormat="1" ht="22.5" customHeight="1" x14ac:dyDescent="0.25">
      <c r="S195" s="1"/>
      <c r="V195" s="133"/>
      <c r="W195" s="133"/>
      <c r="AF195" s="1"/>
      <c r="AN195" s="1"/>
      <c r="AV195" s="1"/>
    </row>
    <row r="196" spans="19:48" s="20" customFormat="1" ht="22.5" customHeight="1" x14ac:dyDescent="0.25">
      <c r="S196" s="1"/>
      <c r="V196" s="133"/>
      <c r="W196" s="133"/>
      <c r="AF196" s="1"/>
      <c r="AN196" s="1"/>
      <c r="AV196" s="1"/>
    </row>
    <row r="197" spans="19:48" s="20" customFormat="1" ht="22.5" customHeight="1" x14ac:dyDescent="0.25">
      <c r="S197" s="1"/>
      <c r="V197" s="133"/>
      <c r="W197" s="133"/>
      <c r="AF197" s="1"/>
      <c r="AN197" s="1"/>
      <c r="AV197" s="1"/>
    </row>
    <row r="198" spans="19:48" s="20" customFormat="1" ht="22.5" customHeight="1" x14ac:dyDescent="0.25">
      <c r="S198" s="1"/>
      <c r="V198" s="133"/>
      <c r="W198" s="133"/>
      <c r="AF198" s="1"/>
      <c r="AN198" s="1"/>
      <c r="AV198" s="1"/>
    </row>
    <row r="199" spans="19:48" s="20" customFormat="1" ht="22.5" customHeight="1" x14ac:dyDescent="0.25">
      <c r="S199" s="1"/>
      <c r="V199" s="133"/>
      <c r="W199" s="133"/>
      <c r="AF199" s="1"/>
      <c r="AN199" s="1"/>
      <c r="AV199" s="1"/>
    </row>
    <row r="200" spans="19:48" s="20" customFormat="1" ht="22.5" customHeight="1" x14ac:dyDescent="0.25">
      <c r="S200" s="1"/>
      <c r="V200" s="133"/>
      <c r="W200" s="133"/>
      <c r="AF200" s="1"/>
      <c r="AN200" s="1"/>
      <c r="AV200" s="1"/>
    </row>
    <row r="201" spans="19:48" s="20" customFormat="1" ht="22.5" customHeight="1" x14ac:dyDescent="0.25">
      <c r="S201" s="1"/>
      <c r="V201" s="133"/>
      <c r="W201" s="133"/>
      <c r="AF201" s="1"/>
      <c r="AN201" s="1"/>
      <c r="AV201" s="1"/>
    </row>
    <row r="202" spans="19:48" s="20" customFormat="1" ht="22.5" customHeight="1" x14ac:dyDescent="0.25">
      <c r="S202" s="1"/>
      <c r="V202" s="133"/>
      <c r="W202" s="133"/>
      <c r="AF202" s="1"/>
      <c r="AN202" s="1"/>
      <c r="AV202" s="1"/>
    </row>
    <row r="203" spans="19:48" s="20" customFormat="1" ht="22.5" customHeight="1" x14ac:dyDescent="0.25">
      <c r="S203" s="1"/>
      <c r="V203" s="133"/>
      <c r="W203" s="133"/>
      <c r="AF203" s="1"/>
      <c r="AN203" s="1"/>
      <c r="AV203" s="1"/>
    </row>
    <row r="204" spans="19:48" s="20" customFormat="1" ht="22.5" customHeight="1" x14ac:dyDescent="0.25">
      <c r="S204" s="1"/>
      <c r="V204" s="133"/>
      <c r="W204" s="133"/>
      <c r="AF204" s="1"/>
      <c r="AN204" s="1"/>
      <c r="AV204" s="1"/>
    </row>
    <row r="205" spans="19:48" s="20" customFormat="1" ht="22.5" customHeight="1" x14ac:dyDescent="0.25">
      <c r="S205" s="1"/>
      <c r="V205" s="133"/>
      <c r="W205" s="133"/>
      <c r="AF205" s="1"/>
      <c r="AN205" s="1"/>
      <c r="AV205" s="1"/>
    </row>
    <row r="206" spans="19:48" s="20" customFormat="1" ht="22.5" customHeight="1" x14ac:dyDescent="0.25">
      <c r="S206" s="1"/>
      <c r="V206" s="133"/>
      <c r="W206" s="133"/>
      <c r="AF206" s="1"/>
      <c r="AN206" s="1"/>
      <c r="AV206" s="1"/>
    </row>
    <row r="207" spans="19:48" s="20" customFormat="1" ht="22.5" customHeight="1" x14ac:dyDescent="0.25">
      <c r="S207" s="1"/>
      <c r="V207" s="133"/>
      <c r="W207" s="133"/>
      <c r="AF207" s="1"/>
      <c r="AN207" s="1"/>
      <c r="AV207" s="1"/>
    </row>
    <row r="208" spans="19:48" s="20" customFormat="1" ht="22.5" customHeight="1" x14ac:dyDescent="0.25">
      <c r="S208" s="1"/>
      <c r="V208" s="133"/>
      <c r="W208" s="133"/>
      <c r="AF208" s="1"/>
      <c r="AN208" s="1"/>
      <c r="AV208" s="1"/>
    </row>
    <row r="209" spans="19:48" s="20" customFormat="1" ht="22.5" customHeight="1" x14ac:dyDescent="0.25">
      <c r="S209" s="1"/>
      <c r="V209" s="133"/>
      <c r="W209" s="133"/>
      <c r="AF209" s="1"/>
      <c r="AN209" s="1"/>
      <c r="AV209" s="1"/>
    </row>
    <row r="210" spans="19:48" s="20" customFormat="1" ht="22.5" customHeight="1" x14ac:dyDescent="0.25">
      <c r="S210" s="1"/>
      <c r="V210" s="133"/>
      <c r="W210" s="133"/>
      <c r="AF210" s="1"/>
      <c r="AN210" s="1"/>
      <c r="AV210" s="1"/>
    </row>
    <row r="211" spans="19:48" s="20" customFormat="1" ht="22.5" customHeight="1" x14ac:dyDescent="0.25">
      <c r="S211" s="1"/>
      <c r="V211" s="133"/>
      <c r="W211" s="133"/>
      <c r="AF211" s="1"/>
      <c r="AN211" s="1"/>
      <c r="AV211" s="1"/>
    </row>
    <row r="212" spans="19:48" s="20" customFormat="1" ht="22.5" customHeight="1" x14ac:dyDescent="0.25">
      <c r="S212" s="1"/>
      <c r="V212" s="133"/>
      <c r="W212" s="133"/>
      <c r="AF212" s="1"/>
      <c r="AN212" s="1"/>
      <c r="AV212" s="1"/>
    </row>
    <row r="213" spans="19:48" s="20" customFormat="1" ht="22.5" customHeight="1" x14ac:dyDescent="0.25">
      <c r="S213" s="1"/>
      <c r="V213" s="133"/>
      <c r="W213" s="133"/>
      <c r="AF213" s="1"/>
      <c r="AN213" s="1"/>
      <c r="AV213" s="1"/>
    </row>
    <row r="214" spans="19:48" s="20" customFormat="1" ht="22.5" customHeight="1" x14ac:dyDescent="0.25">
      <c r="S214" s="1"/>
      <c r="V214" s="133"/>
      <c r="W214" s="133"/>
      <c r="AF214" s="1"/>
      <c r="AN214" s="1"/>
      <c r="AV214" s="1"/>
    </row>
    <row r="215" spans="19:48" s="20" customFormat="1" ht="22.5" customHeight="1" x14ac:dyDescent="0.25">
      <c r="S215" s="1"/>
      <c r="V215" s="133"/>
      <c r="W215" s="133"/>
      <c r="AF215" s="1"/>
      <c r="AN215" s="1"/>
      <c r="AV215" s="1"/>
    </row>
    <row r="216" spans="19:48" s="20" customFormat="1" ht="22.5" customHeight="1" x14ac:dyDescent="0.25">
      <c r="S216" s="1"/>
      <c r="V216" s="133"/>
      <c r="W216" s="133"/>
      <c r="AF216" s="1"/>
      <c r="AN216" s="1"/>
      <c r="AV216" s="1"/>
    </row>
    <row r="217" spans="19:48" s="20" customFormat="1" ht="22.5" customHeight="1" x14ac:dyDescent="0.25">
      <c r="S217" s="1"/>
      <c r="V217" s="133"/>
      <c r="W217" s="133"/>
      <c r="AF217" s="1"/>
      <c r="AN217" s="1"/>
      <c r="AV217" s="1"/>
    </row>
    <row r="218" spans="19:48" s="20" customFormat="1" ht="22.5" customHeight="1" x14ac:dyDescent="0.25">
      <c r="S218" s="1"/>
      <c r="V218" s="133"/>
      <c r="W218" s="133"/>
      <c r="AF218" s="1"/>
      <c r="AN218" s="1"/>
      <c r="AV218" s="1"/>
    </row>
    <row r="219" spans="19:48" s="20" customFormat="1" ht="22.5" customHeight="1" x14ac:dyDescent="0.25">
      <c r="S219" s="1"/>
      <c r="V219" s="133"/>
      <c r="W219" s="133"/>
      <c r="AF219" s="1"/>
      <c r="AN219" s="1"/>
      <c r="AV219" s="1"/>
    </row>
    <row r="220" spans="19:48" s="20" customFormat="1" ht="22.5" customHeight="1" x14ac:dyDescent="0.25">
      <c r="S220" s="1"/>
      <c r="V220" s="133"/>
      <c r="W220" s="133"/>
      <c r="AF220" s="1"/>
      <c r="AN220" s="1"/>
      <c r="AV220" s="1"/>
    </row>
    <row r="221" spans="19:48" s="20" customFormat="1" ht="22.5" customHeight="1" x14ac:dyDescent="0.25">
      <c r="S221" s="1"/>
      <c r="V221" s="133"/>
      <c r="W221" s="133"/>
      <c r="AF221" s="1"/>
      <c r="AN221" s="1"/>
      <c r="AV221" s="1"/>
    </row>
    <row r="222" spans="19:48" s="20" customFormat="1" ht="22.5" customHeight="1" x14ac:dyDescent="0.25">
      <c r="S222" s="1"/>
      <c r="V222" s="133"/>
      <c r="W222" s="133"/>
      <c r="AF222" s="1"/>
      <c r="AN222" s="1"/>
      <c r="AV222" s="1"/>
    </row>
    <row r="223" spans="19:48" s="20" customFormat="1" ht="22.5" customHeight="1" x14ac:dyDescent="0.25">
      <c r="S223" s="1"/>
      <c r="V223" s="133"/>
      <c r="W223" s="133"/>
      <c r="AF223" s="1"/>
      <c r="AN223" s="1"/>
      <c r="AV223" s="1"/>
    </row>
    <row r="224" spans="19:48" s="20" customFormat="1" ht="22.5" customHeight="1" x14ac:dyDescent="0.25">
      <c r="S224" s="1"/>
      <c r="V224" s="133"/>
      <c r="W224" s="133"/>
      <c r="AF224" s="1"/>
      <c r="AN224" s="1"/>
      <c r="AV224" s="1"/>
    </row>
    <row r="225" spans="19:48" s="20" customFormat="1" ht="22.5" customHeight="1" x14ac:dyDescent="0.25">
      <c r="S225" s="1"/>
      <c r="V225" s="133"/>
      <c r="W225" s="133"/>
      <c r="AF225" s="1"/>
      <c r="AN225" s="1"/>
      <c r="AV225" s="1"/>
    </row>
    <row r="226" spans="19:48" s="20" customFormat="1" ht="22.5" customHeight="1" x14ac:dyDescent="0.25">
      <c r="S226" s="1"/>
      <c r="V226" s="133"/>
      <c r="W226" s="133"/>
      <c r="AF226" s="1"/>
      <c r="AN226" s="1"/>
      <c r="AV226" s="1"/>
    </row>
    <row r="227" spans="19:48" s="20" customFormat="1" ht="22.5" customHeight="1" x14ac:dyDescent="0.25">
      <c r="S227" s="1"/>
      <c r="V227" s="133"/>
      <c r="W227" s="133"/>
      <c r="AF227" s="1"/>
      <c r="AN227" s="1"/>
      <c r="AV227" s="1"/>
    </row>
    <row r="228" spans="19:48" s="20" customFormat="1" ht="22.5" customHeight="1" x14ac:dyDescent="0.25">
      <c r="S228" s="1"/>
      <c r="V228" s="133"/>
      <c r="W228" s="133"/>
      <c r="AF228" s="1"/>
      <c r="AN228" s="1"/>
      <c r="AV228" s="1"/>
    </row>
    <row r="229" spans="19:48" s="20" customFormat="1" ht="22.5" customHeight="1" x14ac:dyDescent="0.25">
      <c r="S229" s="1"/>
      <c r="V229" s="133"/>
      <c r="W229" s="133"/>
      <c r="AF229" s="1"/>
      <c r="AN229" s="1"/>
      <c r="AV229" s="1"/>
    </row>
    <row r="230" spans="19:48" s="20" customFormat="1" ht="22.5" customHeight="1" x14ac:dyDescent="0.25">
      <c r="S230" s="1"/>
      <c r="V230" s="133"/>
      <c r="W230" s="133"/>
      <c r="AF230" s="1"/>
      <c r="AN230" s="1"/>
      <c r="AV230" s="1"/>
    </row>
    <row r="231" spans="19:48" s="20" customFormat="1" ht="22.5" customHeight="1" x14ac:dyDescent="0.25">
      <c r="S231" s="1"/>
      <c r="V231" s="133"/>
      <c r="W231" s="133"/>
      <c r="AF231" s="1"/>
      <c r="AN231" s="1"/>
      <c r="AV231" s="1"/>
    </row>
    <row r="232" spans="19:48" s="20" customFormat="1" ht="22.5" customHeight="1" x14ac:dyDescent="0.25">
      <c r="S232" s="1"/>
      <c r="V232" s="133"/>
      <c r="W232" s="133"/>
      <c r="AF232" s="1"/>
      <c r="AN232" s="1"/>
      <c r="AV232" s="1"/>
    </row>
    <row r="233" spans="19:48" s="20" customFormat="1" ht="22.5" customHeight="1" x14ac:dyDescent="0.25">
      <c r="S233" s="1"/>
      <c r="V233" s="133"/>
      <c r="W233" s="133"/>
      <c r="AF233" s="1"/>
      <c r="AN233" s="1"/>
      <c r="AV233" s="1"/>
    </row>
    <row r="234" spans="19:48" s="20" customFormat="1" ht="22.5" customHeight="1" x14ac:dyDescent="0.25">
      <c r="S234" s="1"/>
      <c r="V234" s="133"/>
      <c r="W234" s="133"/>
      <c r="AF234" s="1"/>
      <c r="AN234" s="1"/>
      <c r="AV234" s="1"/>
    </row>
    <row r="235" spans="19:48" s="20" customFormat="1" ht="22.5" customHeight="1" x14ac:dyDescent="0.25">
      <c r="S235" s="1"/>
      <c r="V235" s="133"/>
      <c r="W235" s="133"/>
      <c r="AF235" s="1"/>
      <c r="AN235" s="1"/>
      <c r="AV235" s="1"/>
    </row>
    <row r="236" spans="19:48" s="20" customFormat="1" ht="22.5" customHeight="1" x14ac:dyDescent="0.25">
      <c r="S236" s="1"/>
      <c r="V236" s="133"/>
      <c r="W236" s="133"/>
      <c r="AF236" s="1"/>
      <c r="AN236" s="1"/>
      <c r="AV236" s="1"/>
    </row>
    <row r="237" spans="19:48" s="20" customFormat="1" ht="22.5" customHeight="1" x14ac:dyDescent="0.25">
      <c r="S237" s="1"/>
      <c r="V237" s="133"/>
      <c r="W237" s="133"/>
      <c r="AF237" s="1"/>
      <c r="AN237" s="1"/>
      <c r="AV237" s="1"/>
    </row>
    <row r="238" spans="19:48" s="20" customFormat="1" ht="22.5" customHeight="1" x14ac:dyDescent="0.25">
      <c r="S238" s="1"/>
      <c r="V238" s="133"/>
      <c r="W238" s="133"/>
      <c r="AF238" s="1"/>
      <c r="AN238" s="1"/>
      <c r="AV238" s="1"/>
    </row>
    <row r="239" spans="19:48" s="20" customFormat="1" ht="22.5" customHeight="1" x14ac:dyDescent="0.25">
      <c r="S239" s="1"/>
      <c r="V239" s="133"/>
      <c r="W239" s="133"/>
      <c r="AF239" s="1"/>
      <c r="AN239" s="1"/>
      <c r="AV239" s="1"/>
    </row>
    <row r="240" spans="19:48" s="20" customFormat="1" ht="22.5" customHeight="1" x14ac:dyDescent="0.25">
      <c r="S240" s="1"/>
      <c r="V240" s="133"/>
      <c r="W240" s="133"/>
      <c r="AF240" s="1"/>
      <c r="AN240" s="1"/>
      <c r="AV240" s="1"/>
    </row>
    <row r="241" spans="19:48" s="20" customFormat="1" ht="22.5" customHeight="1" x14ac:dyDescent="0.25">
      <c r="S241" s="1"/>
      <c r="V241" s="133"/>
      <c r="W241" s="133"/>
      <c r="AF241" s="1"/>
      <c r="AN241" s="1"/>
      <c r="AV241" s="1"/>
    </row>
    <row r="242" spans="19:48" s="20" customFormat="1" ht="22.5" customHeight="1" x14ac:dyDescent="0.25">
      <c r="S242" s="1"/>
      <c r="V242" s="133"/>
      <c r="W242" s="133"/>
      <c r="AF242" s="1"/>
      <c r="AN242" s="1"/>
      <c r="AV242" s="1"/>
    </row>
    <row r="243" spans="19:48" s="20" customFormat="1" ht="22.5" customHeight="1" x14ac:dyDescent="0.25">
      <c r="S243" s="1"/>
      <c r="V243" s="133"/>
      <c r="W243" s="133"/>
      <c r="AF243" s="1"/>
      <c r="AN243" s="1"/>
      <c r="AV243" s="1"/>
    </row>
    <row r="244" spans="19:48" s="20" customFormat="1" ht="22.5" customHeight="1" x14ac:dyDescent="0.25">
      <c r="S244" s="1"/>
      <c r="V244" s="133"/>
      <c r="W244" s="133"/>
      <c r="AF244" s="1"/>
      <c r="AN244" s="1"/>
      <c r="AV244" s="1"/>
    </row>
    <row r="245" spans="19:48" s="20" customFormat="1" ht="22.5" customHeight="1" x14ac:dyDescent="0.25">
      <c r="S245" s="1"/>
      <c r="V245" s="133"/>
      <c r="W245" s="133"/>
      <c r="AF245" s="1"/>
      <c r="AN245" s="1"/>
      <c r="AV245" s="1"/>
    </row>
    <row r="246" spans="19:48" s="20" customFormat="1" ht="22.5" customHeight="1" x14ac:dyDescent="0.25">
      <c r="S246" s="1"/>
      <c r="V246" s="133"/>
      <c r="W246" s="133"/>
      <c r="AF246" s="1"/>
      <c r="AN246" s="1"/>
      <c r="AV246" s="1"/>
    </row>
    <row r="247" spans="19:48" s="20" customFormat="1" ht="22.5" customHeight="1" x14ac:dyDescent="0.25">
      <c r="S247" s="1"/>
      <c r="V247" s="133"/>
      <c r="W247" s="133"/>
      <c r="AF247" s="1"/>
      <c r="AN247" s="1"/>
      <c r="AV247" s="1"/>
    </row>
    <row r="248" spans="19:48" s="20" customFormat="1" ht="22.5" customHeight="1" x14ac:dyDescent="0.25">
      <c r="S248" s="1"/>
      <c r="V248" s="133"/>
      <c r="W248" s="133"/>
      <c r="AF248" s="1"/>
      <c r="AN248" s="1"/>
      <c r="AV248" s="1"/>
    </row>
    <row r="249" spans="19:48" s="20" customFormat="1" ht="22.5" customHeight="1" x14ac:dyDescent="0.25">
      <c r="S249" s="1"/>
      <c r="V249" s="133"/>
      <c r="W249" s="133"/>
      <c r="AF249" s="1"/>
      <c r="AN249" s="1"/>
      <c r="AV249" s="1"/>
    </row>
    <row r="250" spans="19:48" s="20" customFormat="1" ht="22.5" customHeight="1" x14ac:dyDescent="0.25">
      <c r="S250" s="1"/>
      <c r="V250" s="133"/>
      <c r="W250" s="133"/>
      <c r="AF250" s="1"/>
      <c r="AN250" s="1"/>
      <c r="AV250" s="1"/>
    </row>
    <row r="251" spans="19:48" s="20" customFormat="1" ht="22.5" customHeight="1" x14ac:dyDescent="0.25">
      <c r="S251" s="1"/>
      <c r="V251" s="133"/>
      <c r="W251" s="133"/>
      <c r="AF251" s="1"/>
      <c r="AN251" s="1"/>
      <c r="AV251" s="1"/>
    </row>
    <row r="252" spans="19:48" s="20" customFormat="1" ht="22.5" customHeight="1" x14ac:dyDescent="0.25">
      <c r="S252" s="1"/>
      <c r="V252" s="133"/>
      <c r="W252" s="133"/>
      <c r="AF252" s="1"/>
      <c r="AN252" s="1"/>
      <c r="AV252" s="1"/>
    </row>
    <row r="253" spans="19:48" s="20" customFormat="1" ht="22.5" customHeight="1" x14ac:dyDescent="0.25">
      <c r="S253" s="1"/>
      <c r="V253" s="133"/>
      <c r="W253" s="133"/>
      <c r="AF253" s="1"/>
      <c r="AN253" s="1"/>
      <c r="AV253" s="1"/>
    </row>
    <row r="254" spans="19:48" s="20" customFormat="1" ht="22.5" customHeight="1" x14ac:dyDescent="0.25">
      <c r="S254" s="1"/>
      <c r="V254" s="133"/>
      <c r="W254" s="133"/>
      <c r="AF254" s="1"/>
      <c r="AN254" s="1"/>
      <c r="AV254" s="1"/>
    </row>
    <row r="255" spans="19:48" s="20" customFormat="1" ht="22.5" customHeight="1" x14ac:dyDescent="0.25">
      <c r="S255" s="1"/>
      <c r="V255" s="133"/>
      <c r="W255" s="133"/>
      <c r="AF255" s="1"/>
      <c r="AN255" s="1"/>
      <c r="AV255" s="1"/>
    </row>
    <row r="256" spans="19:48" s="20" customFormat="1" ht="22.5" customHeight="1" x14ac:dyDescent="0.25">
      <c r="S256" s="1"/>
      <c r="V256" s="133"/>
      <c r="W256" s="133"/>
      <c r="AF256" s="1"/>
      <c r="AN256" s="1"/>
      <c r="AV256" s="1"/>
    </row>
    <row r="257" spans="19:48" s="20" customFormat="1" ht="22.5" customHeight="1" x14ac:dyDescent="0.25">
      <c r="S257" s="1"/>
      <c r="V257" s="133"/>
      <c r="W257" s="133"/>
      <c r="AF257" s="1"/>
      <c r="AN257" s="1"/>
      <c r="AV257" s="1"/>
    </row>
    <row r="258" spans="19:48" s="20" customFormat="1" ht="22.5" customHeight="1" x14ac:dyDescent="0.25">
      <c r="S258" s="1"/>
      <c r="V258" s="133"/>
      <c r="W258" s="133"/>
      <c r="AF258" s="1"/>
      <c r="AN258" s="1"/>
      <c r="AV258" s="1"/>
    </row>
    <row r="259" spans="19:48" s="20" customFormat="1" ht="22.5" customHeight="1" x14ac:dyDescent="0.25">
      <c r="S259" s="1"/>
      <c r="V259" s="133"/>
      <c r="W259" s="133"/>
      <c r="AF259" s="1"/>
      <c r="AN259" s="1"/>
      <c r="AV259" s="1"/>
    </row>
    <row r="260" spans="19:48" s="20" customFormat="1" ht="22.5" customHeight="1" x14ac:dyDescent="0.25">
      <c r="S260" s="1"/>
      <c r="V260" s="133"/>
      <c r="W260" s="133"/>
      <c r="AF260" s="1"/>
      <c r="AN260" s="1"/>
      <c r="AV260" s="1"/>
    </row>
    <row r="261" spans="19:48" s="20" customFormat="1" ht="22.5" customHeight="1" x14ac:dyDescent="0.25">
      <c r="S261" s="1"/>
      <c r="V261" s="133"/>
      <c r="W261" s="133"/>
      <c r="AF261" s="1"/>
      <c r="AN261" s="1"/>
      <c r="AV261" s="1"/>
    </row>
    <row r="262" spans="19:48" s="20" customFormat="1" ht="22.5" customHeight="1" x14ac:dyDescent="0.25">
      <c r="S262" s="1"/>
      <c r="V262" s="133"/>
      <c r="W262" s="133"/>
      <c r="AF262" s="1"/>
      <c r="AN262" s="1"/>
      <c r="AV262" s="1"/>
    </row>
    <row r="263" spans="19:48" s="20" customFormat="1" ht="22.5" customHeight="1" x14ac:dyDescent="0.25">
      <c r="S263" s="1"/>
      <c r="V263" s="133"/>
      <c r="W263" s="133"/>
      <c r="AF263" s="1"/>
      <c r="AN263" s="1"/>
      <c r="AV263" s="1"/>
    </row>
    <row r="264" spans="19:48" s="20" customFormat="1" ht="22.5" customHeight="1" x14ac:dyDescent="0.25">
      <c r="S264" s="1"/>
      <c r="V264" s="133"/>
      <c r="W264" s="133"/>
      <c r="AF264" s="1"/>
      <c r="AN264" s="1"/>
      <c r="AV264" s="1"/>
    </row>
    <row r="265" spans="19:48" s="20" customFormat="1" ht="22.5" customHeight="1" x14ac:dyDescent="0.25">
      <c r="S265" s="1"/>
      <c r="V265" s="133"/>
      <c r="W265" s="133"/>
      <c r="AF265" s="1"/>
      <c r="AN265" s="1"/>
      <c r="AV265" s="1"/>
    </row>
    <row r="266" spans="19:48" s="20" customFormat="1" ht="22.5" customHeight="1" x14ac:dyDescent="0.25">
      <c r="S266" s="1"/>
      <c r="V266" s="133"/>
      <c r="W266" s="133"/>
      <c r="AF266" s="1"/>
      <c r="AN266" s="1"/>
      <c r="AV266" s="1"/>
    </row>
    <row r="267" spans="19:48" s="20" customFormat="1" ht="22.5" customHeight="1" x14ac:dyDescent="0.25">
      <c r="S267" s="1"/>
      <c r="V267" s="133"/>
      <c r="W267" s="133"/>
      <c r="AF267" s="1"/>
      <c r="AN267" s="1"/>
      <c r="AV267" s="1"/>
    </row>
    <row r="268" spans="19:48" s="20" customFormat="1" ht="22.5" customHeight="1" x14ac:dyDescent="0.25">
      <c r="S268" s="1"/>
      <c r="V268" s="133"/>
      <c r="W268" s="133"/>
      <c r="AF268" s="1"/>
      <c r="AN268" s="1"/>
      <c r="AV268" s="1"/>
    </row>
    <row r="269" spans="19:48" s="20" customFormat="1" ht="22.5" customHeight="1" x14ac:dyDescent="0.25">
      <c r="S269" s="1"/>
      <c r="V269" s="133"/>
      <c r="W269" s="133"/>
      <c r="AF269" s="1"/>
      <c r="AN269" s="1"/>
      <c r="AV269" s="1"/>
    </row>
    <row r="270" spans="19:48" s="20" customFormat="1" ht="22.5" customHeight="1" x14ac:dyDescent="0.25">
      <c r="S270" s="1"/>
      <c r="V270" s="133"/>
      <c r="W270" s="133"/>
      <c r="AF270" s="1"/>
      <c r="AN270" s="1"/>
      <c r="AV270" s="1"/>
    </row>
    <row r="271" spans="19:48" s="20" customFormat="1" ht="22.5" customHeight="1" x14ac:dyDescent="0.25">
      <c r="S271" s="1"/>
      <c r="V271" s="133"/>
      <c r="W271" s="133"/>
      <c r="AF271" s="1"/>
      <c r="AN271" s="1"/>
      <c r="AV271" s="1"/>
    </row>
    <row r="272" spans="19:48" s="20" customFormat="1" ht="22.5" customHeight="1" x14ac:dyDescent="0.25">
      <c r="S272" s="1"/>
      <c r="V272" s="133"/>
      <c r="W272" s="133"/>
      <c r="AF272" s="1"/>
      <c r="AN272" s="1"/>
      <c r="AV272" s="1"/>
    </row>
    <row r="273" spans="19:48" s="20" customFormat="1" ht="22.5" customHeight="1" x14ac:dyDescent="0.25">
      <c r="S273" s="1"/>
      <c r="V273" s="133"/>
      <c r="W273" s="133"/>
      <c r="AF273" s="1"/>
      <c r="AN273" s="1"/>
      <c r="AV273" s="1"/>
    </row>
    <row r="274" spans="19:48" s="20" customFormat="1" ht="22.5" customHeight="1" x14ac:dyDescent="0.25">
      <c r="S274" s="1"/>
      <c r="V274" s="133"/>
      <c r="W274" s="133"/>
      <c r="AF274" s="1"/>
      <c r="AN274" s="1"/>
      <c r="AV274" s="1"/>
    </row>
    <row r="275" spans="19:48" s="20" customFormat="1" ht="22.5" customHeight="1" x14ac:dyDescent="0.25">
      <c r="S275" s="1"/>
      <c r="V275" s="133"/>
      <c r="W275" s="133"/>
      <c r="AF275" s="1"/>
      <c r="AN275" s="1"/>
      <c r="AV275" s="1"/>
    </row>
    <row r="276" spans="19:48" s="20" customFormat="1" ht="22.5" customHeight="1" x14ac:dyDescent="0.25">
      <c r="S276" s="1"/>
      <c r="V276" s="133"/>
      <c r="W276" s="133"/>
      <c r="AF276" s="1"/>
      <c r="AN276" s="1"/>
      <c r="AV276" s="1"/>
    </row>
    <row r="277" spans="19:48" s="20" customFormat="1" ht="22.5" customHeight="1" x14ac:dyDescent="0.25">
      <c r="S277" s="1"/>
      <c r="V277" s="133"/>
      <c r="W277" s="133"/>
      <c r="AF277" s="1"/>
      <c r="AN277" s="1"/>
      <c r="AV277" s="1"/>
    </row>
    <row r="278" spans="19:48" s="20" customFormat="1" ht="22.5" customHeight="1" x14ac:dyDescent="0.25">
      <c r="S278" s="1"/>
      <c r="V278" s="133"/>
      <c r="W278" s="133"/>
      <c r="AF278" s="1"/>
      <c r="AN278" s="1"/>
      <c r="AV278" s="1"/>
    </row>
    <row r="279" spans="19:48" s="20" customFormat="1" ht="22.5" customHeight="1" x14ac:dyDescent="0.25">
      <c r="S279" s="1"/>
      <c r="V279" s="133"/>
      <c r="W279" s="133"/>
      <c r="AF279" s="1"/>
      <c r="AN279" s="1"/>
      <c r="AV279" s="1"/>
    </row>
    <row r="280" spans="19:48" s="20" customFormat="1" ht="22.5" customHeight="1" x14ac:dyDescent="0.25">
      <c r="S280" s="1"/>
      <c r="V280" s="133"/>
      <c r="W280" s="133"/>
      <c r="AF280" s="1"/>
      <c r="AN280" s="1"/>
      <c r="AV280" s="1"/>
    </row>
    <row r="281" spans="19:48" s="20" customFormat="1" ht="22.5" customHeight="1" x14ac:dyDescent="0.25">
      <c r="S281" s="1"/>
      <c r="V281" s="133"/>
      <c r="W281" s="133"/>
      <c r="AF281" s="1"/>
      <c r="AN281" s="1"/>
      <c r="AV281" s="1"/>
    </row>
    <row r="282" spans="19:48" s="20" customFormat="1" ht="22.5" customHeight="1" x14ac:dyDescent="0.25">
      <c r="S282" s="1"/>
      <c r="V282" s="133"/>
      <c r="W282" s="133"/>
      <c r="AF282" s="1"/>
      <c r="AN282" s="1"/>
      <c r="AV282" s="1"/>
    </row>
    <row r="283" spans="19:48" s="20" customFormat="1" ht="22.5" customHeight="1" x14ac:dyDescent="0.25">
      <c r="S283" s="1"/>
      <c r="V283" s="133"/>
      <c r="W283" s="133"/>
      <c r="AF283" s="1"/>
      <c r="AN283" s="1"/>
      <c r="AV283" s="1"/>
    </row>
    <row r="284" spans="19:48" s="20" customFormat="1" ht="22.5" customHeight="1" x14ac:dyDescent="0.25">
      <c r="S284" s="1"/>
      <c r="V284" s="133"/>
      <c r="W284" s="133"/>
      <c r="AF284" s="1"/>
      <c r="AN284" s="1"/>
      <c r="AV284" s="1"/>
    </row>
    <row r="285" spans="19:48" s="20" customFormat="1" ht="22.5" customHeight="1" x14ac:dyDescent="0.25">
      <c r="S285" s="1"/>
      <c r="V285" s="133"/>
      <c r="W285" s="133"/>
      <c r="AF285" s="1"/>
      <c r="AN285" s="1"/>
      <c r="AV285" s="1"/>
    </row>
    <row r="286" spans="19:48" s="20" customFormat="1" ht="22.5" customHeight="1" x14ac:dyDescent="0.25">
      <c r="S286" s="1"/>
      <c r="V286" s="133"/>
      <c r="W286" s="133"/>
      <c r="AF286" s="1"/>
      <c r="AN286" s="1"/>
      <c r="AV286" s="1"/>
    </row>
    <row r="287" spans="19:48" s="20" customFormat="1" ht="22.5" customHeight="1" x14ac:dyDescent="0.25">
      <c r="S287" s="1"/>
      <c r="V287" s="133"/>
      <c r="W287" s="133"/>
      <c r="AF287" s="1"/>
      <c r="AN287" s="1"/>
      <c r="AV287" s="1"/>
    </row>
    <row r="288" spans="19:48" s="20" customFormat="1" ht="22.5" customHeight="1" x14ac:dyDescent="0.25">
      <c r="S288" s="1"/>
      <c r="V288" s="133"/>
      <c r="W288" s="133"/>
      <c r="AF288" s="1"/>
      <c r="AN288" s="1"/>
      <c r="AV288" s="1"/>
    </row>
    <row r="289" spans="19:48" s="20" customFormat="1" ht="22.5" customHeight="1" x14ac:dyDescent="0.25">
      <c r="S289" s="1"/>
      <c r="V289" s="133"/>
      <c r="W289" s="133"/>
      <c r="AF289" s="1"/>
      <c r="AN289" s="1"/>
      <c r="AV289" s="1"/>
    </row>
    <row r="290" spans="19:48" s="20" customFormat="1" ht="22.5" customHeight="1" x14ac:dyDescent="0.25">
      <c r="S290" s="1"/>
      <c r="V290" s="133"/>
      <c r="W290" s="133"/>
      <c r="AF290" s="1"/>
      <c r="AN290" s="1"/>
      <c r="AV290" s="1"/>
    </row>
    <row r="291" spans="19:48" s="20" customFormat="1" ht="22.5" customHeight="1" x14ac:dyDescent="0.25">
      <c r="S291" s="1"/>
      <c r="V291" s="133"/>
      <c r="W291" s="133"/>
      <c r="AF291" s="1"/>
      <c r="AN291" s="1"/>
      <c r="AV291" s="1"/>
    </row>
    <row r="292" spans="19:48" s="20" customFormat="1" ht="22.5" customHeight="1" x14ac:dyDescent="0.25">
      <c r="S292" s="1"/>
      <c r="V292" s="133"/>
      <c r="W292" s="133"/>
      <c r="AF292" s="1"/>
      <c r="AN292" s="1"/>
      <c r="AV292" s="1"/>
    </row>
    <row r="293" spans="19:48" s="20" customFormat="1" ht="22.5" customHeight="1" x14ac:dyDescent="0.25">
      <c r="S293" s="1"/>
      <c r="V293" s="133"/>
      <c r="W293" s="133"/>
      <c r="AF293" s="1"/>
      <c r="AN293" s="1"/>
      <c r="AV293" s="1"/>
    </row>
    <row r="294" spans="19:48" s="20" customFormat="1" ht="22.5" customHeight="1" x14ac:dyDescent="0.25">
      <c r="S294" s="1"/>
      <c r="V294" s="133"/>
      <c r="W294" s="133"/>
      <c r="AF294" s="1"/>
      <c r="AN294" s="1"/>
      <c r="AV294" s="1"/>
    </row>
    <row r="295" spans="19:48" s="20" customFormat="1" ht="22.5" customHeight="1" x14ac:dyDescent="0.25">
      <c r="S295" s="1"/>
      <c r="V295" s="133"/>
      <c r="W295" s="133"/>
      <c r="AF295" s="1"/>
      <c r="AN295" s="1"/>
      <c r="AV295" s="1"/>
    </row>
    <row r="296" spans="19:48" s="20" customFormat="1" ht="22.5" customHeight="1" x14ac:dyDescent="0.25">
      <c r="S296" s="1"/>
      <c r="V296" s="133"/>
      <c r="W296" s="133"/>
      <c r="AF296" s="1"/>
      <c r="AN296" s="1"/>
      <c r="AV296" s="1"/>
    </row>
    <row r="297" spans="19:48" s="20" customFormat="1" ht="22.5" customHeight="1" x14ac:dyDescent="0.25">
      <c r="S297" s="1"/>
      <c r="V297" s="133"/>
      <c r="W297" s="133"/>
      <c r="AF297" s="1"/>
      <c r="AN297" s="1"/>
      <c r="AV297" s="1"/>
    </row>
    <row r="298" spans="19:48" s="20" customFormat="1" ht="22.5" customHeight="1" x14ac:dyDescent="0.25">
      <c r="S298" s="1"/>
      <c r="V298" s="133"/>
      <c r="W298" s="133"/>
      <c r="AF298" s="1"/>
      <c r="AN298" s="1"/>
      <c r="AV298" s="1"/>
    </row>
    <row r="299" spans="19:48" s="20" customFormat="1" ht="22.5" customHeight="1" x14ac:dyDescent="0.25">
      <c r="S299" s="1"/>
      <c r="V299" s="133"/>
      <c r="W299" s="133"/>
      <c r="AF299" s="1"/>
      <c r="AN299" s="1"/>
      <c r="AV299" s="1"/>
    </row>
    <row r="300" spans="19:48" s="20" customFormat="1" ht="22.5" customHeight="1" x14ac:dyDescent="0.25">
      <c r="S300" s="1"/>
      <c r="V300" s="133"/>
      <c r="W300" s="133"/>
      <c r="AF300" s="1"/>
      <c r="AN300" s="1"/>
      <c r="AV300" s="1"/>
    </row>
    <row r="301" spans="19:48" s="20" customFormat="1" ht="22.5" customHeight="1" x14ac:dyDescent="0.25">
      <c r="S301" s="1"/>
      <c r="V301" s="133"/>
      <c r="W301" s="133"/>
      <c r="AF301" s="1"/>
      <c r="AN301" s="1"/>
      <c r="AV301" s="1"/>
    </row>
    <row r="302" spans="19:48" s="20" customFormat="1" ht="22.5" customHeight="1" x14ac:dyDescent="0.25">
      <c r="S302" s="1"/>
      <c r="V302" s="133"/>
      <c r="W302" s="133"/>
      <c r="AF302" s="1"/>
      <c r="AN302" s="1"/>
      <c r="AV302" s="1"/>
    </row>
    <row r="303" spans="19:48" s="20" customFormat="1" ht="22.5" customHeight="1" x14ac:dyDescent="0.25">
      <c r="S303" s="1"/>
      <c r="V303" s="133"/>
      <c r="W303" s="133"/>
      <c r="AF303" s="1"/>
      <c r="AN303" s="1"/>
      <c r="AV303" s="1"/>
    </row>
    <row r="304" spans="19:48" s="20" customFormat="1" ht="22.5" customHeight="1" x14ac:dyDescent="0.25">
      <c r="S304" s="1"/>
      <c r="V304" s="133"/>
      <c r="W304" s="133"/>
      <c r="AF304" s="1"/>
      <c r="AN304" s="1"/>
      <c r="AV304" s="1"/>
    </row>
    <row r="305" spans="19:48" s="20" customFormat="1" ht="22.5" customHeight="1" x14ac:dyDescent="0.25">
      <c r="S305" s="1"/>
      <c r="V305" s="133"/>
      <c r="W305" s="133"/>
      <c r="AF305" s="1"/>
      <c r="AN305" s="1"/>
      <c r="AV305" s="1"/>
    </row>
    <row r="306" spans="19:48" s="20" customFormat="1" ht="22.5" customHeight="1" x14ac:dyDescent="0.25">
      <c r="S306" s="1"/>
      <c r="V306" s="133"/>
      <c r="W306" s="133"/>
      <c r="AF306" s="1"/>
      <c r="AN306" s="1"/>
      <c r="AV306" s="1"/>
    </row>
    <row r="307" spans="19:48" s="20" customFormat="1" ht="22.5" customHeight="1" x14ac:dyDescent="0.25">
      <c r="S307" s="1"/>
      <c r="V307" s="133"/>
      <c r="W307" s="133"/>
      <c r="AF307" s="1"/>
      <c r="AN307" s="1"/>
      <c r="AV307" s="1"/>
    </row>
    <row r="308" spans="19:48" s="20" customFormat="1" ht="22.5" customHeight="1" x14ac:dyDescent="0.25">
      <c r="S308" s="1"/>
      <c r="V308" s="133"/>
      <c r="W308" s="133"/>
      <c r="AF308" s="1"/>
      <c r="AN308" s="1"/>
      <c r="AV308" s="1"/>
    </row>
    <row r="309" spans="19:48" s="20" customFormat="1" ht="22.5" customHeight="1" x14ac:dyDescent="0.25">
      <c r="S309" s="1"/>
      <c r="V309" s="133"/>
      <c r="W309" s="133"/>
      <c r="AF309" s="1"/>
      <c r="AN309" s="1"/>
      <c r="AV309" s="1"/>
    </row>
    <row r="310" spans="19:48" s="20" customFormat="1" ht="22.5" customHeight="1" x14ac:dyDescent="0.25">
      <c r="S310" s="1"/>
      <c r="V310" s="133"/>
      <c r="W310" s="133"/>
      <c r="AF310" s="1"/>
      <c r="AN310" s="1"/>
      <c r="AV310" s="1"/>
    </row>
    <row r="311" spans="19:48" s="20" customFormat="1" ht="22.5" customHeight="1" x14ac:dyDescent="0.25">
      <c r="S311" s="1"/>
      <c r="V311" s="133"/>
      <c r="W311" s="133"/>
      <c r="AF311" s="1"/>
      <c r="AN311" s="1"/>
      <c r="AV311" s="1"/>
    </row>
    <row r="312" spans="19:48" s="20" customFormat="1" ht="22.5" customHeight="1" x14ac:dyDescent="0.25">
      <c r="S312" s="1"/>
      <c r="V312" s="133"/>
      <c r="W312" s="133"/>
      <c r="AF312" s="1"/>
      <c r="AN312" s="1"/>
      <c r="AV312" s="1"/>
    </row>
    <row r="313" spans="19:48" s="20" customFormat="1" ht="22.5" customHeight="1" x14ac:dyDescent="0.25">
      <c r="S313" s="1"/>
      <c r="V313" s="133"/>
      <c r="W313" s="133"/>
      <c r="AF313" s="1"/>
      <c r="AN313" s="1"/>
      <c r="AV313" s="1"/>
    </row>
    <row r="314" spans="19:48" s="20" customFormat="1" ht="22.5" customHeight="1" x14ac:dyDescent="0.25">
      <c r="S314" s="1"/>
      <c r="V314" s="133"/>
      <c r="W314" s="133"/>
      <c r="AF314" s="1"/>
      <c r="AN314" s="1"/>
      <c r="AV314" s="1"/>
    </row>
    <row r="315" spans="19:48" s="20" customFormat="1" ht="22.5" customHeight="1" x14ac:dyDescent="0.25">
      <c r="S315" s="1"/>
      <c r="V315" s="133"/>
      <c r="W315" s="133"/>
      <c r="AF315" s="1"/>
      <c r="AN315" s="1"/>
      <c r="AV315" s="1"/>
    </row>
    <row r="316" spans="19:48" s="20" customFormat="1" ht="22.5" customHeight="1" x14ac:dyDescent="0.25">
      <c r="S316" s="1"/>
      <c r="V316" s="133"/>
      <c r="W316" s="133"/>
      <c r="AF316" s="1"/>
      <c r="AN316" s="1"/>
      <c r="AV316" s="1"/>
    </row>
    <row r="317" spans="19:48" s="20" customFormat="1" ht="22.5" customHeight="1" x14ac:dyDescent="0.25">
      <c r="S317" s="1"/>
      <c r="V317" s="133"/>
      <c r="W317" s="133"/>
      <c r="AF317" s="1"/>
      <c r="AN317" s="1"/>
      <c r="AV317" s="1"/>
    </row>
    <row r="318" spans="19:48" s="20" customFormat="1" ht="22.5" customHeight="1" x14ac:dyDescent="0.25">
      <c r="S318" s="1"/>
      <c r="V318" s="133"/>
      <c r="W318" s="133"/>
      <c r="AF318" s="1"/>
      <c r="AN318" s="1"/>
      <c r="AV318" s="1"/>
    </row>
    <row r="319" spans="19:48" s="20" customFormat="1" ht="22.5" customHeight="1" x14ac:dyDescent="0.25">
      <c r="S319" s="1"/>
      <c r="V319" s="133"/>
      <c r="W319" s="133"/>
      <c r="AF319" s="1"/>
      <c r="AN319" s="1"/>
      <c r="AV319" s="1"/>
    </row>
    <row r="320" spans="19:48" s="20" customFormat="1" ht="22.5" customHeight="1" x14ac:dyDescent="0.25">
      <c r="S320" s="1"/>
      <c r="V320" s="133"/>
      <c r="W320" s="133"/>
      <c r="AF320" s="1"/>
      <c r="AN320" s="1"/>
      <c r="AV320" s="1"/>
    </row>
    <row r="321" spans="19:48" s="20" customFormat="1" ht="22.5" customHeight="1" x14ac:dyDescent="0.25">
      <c r="S321" s="1"/>
      <c r="V321" s="133"/>
      <c r="W321" s="133"/>
      <c r="AF321" s="1"/>
      <c r="AN321" s="1"/>
      <c r="AV321" s="1"/>
    </row>
    <row r="322" spans="19:48" s="20" customFormat="1" ht="22.5" customHeight="1" x14ac:dyDescent="0.25">
      <c r="S322" s="1"/>
      <c r="V322" s="133"/>
      <c r="W322" s="133"/>
      <c r="AF322" s="1"/>
      <c r="AN322" s="1"/>
      <c r="AV322" s="1"/>
    </row>
    <row r="323" spans="19:48" s="20" customFormat="1" ht="22.5" customHeight="1" x14ac:dyDescent="0.25">
      <c r="S323" s="1"/>
      <c r="V323" s="133"/>
      <c r="W323" s="133"/>
      <c r="AF323" s="1"/>
      <c r="AN323" s="1"/>
      <c r="AV323" s="1"/>
    </row>
    <row r="324" spans="19:48" s="20" customFormat="1" ht="22.5" customHeight="1" x14ac:dyDescent="0.25">
      <c r="S324" s="1"/>
      <c r="V324" s="133"/>
      <c r="W324" s="133"/>
      <c r="AF324" s="1"/>
      <c r="AN324" s="1"/>
      <c r="AV324" s="1"/>
    </row>
    <row r="325" spans="19:48" s="20" customFormat="1" ht="22.5" customHeight="1" x14ac:dyDescent="0.25">
      <c r="S325" s="1"/>
      <c r="V325" s="133"/>
      <c r="W325" s="133"/>
      <c r="AF325" s="1"/>
      <c r="AN325" s="1"/>
      <c r="AV325" s="1"/>
    </row>
    <row r="326" spans="19:48" s="20" customFormat="1" ht="22.5" customHeight="1" x14ac:dyDescent="0.25">
      <c r="S326" s="1"/>
      <c r="V326" s="133"/>
      <c r="W326" s="133"/>
      <c r="AF326" s="1"/>
      <c r="AN326" s="1"/>
      <c r="AV326" s="1"/>
    </row>
    <row r="327" spans="19:48" s="20" customFormat="1" ht="22.5" customHeight="1" x14ac:dyDescent="0.25">
      <c r="S327" s="1"/>
      <c r="V327" s="133"/>
      <c r="W327" s="133"/>
      <c r="AF327" s="1"/>
      <c r="AN327" s="1"/>
      <c r="AV327" s="1"/>
    </row>
    <row r="328" spans="19:48" s="20" customFormat="1" ht="22.5" customHeight="1" x14ac:dyDescent="0.25">
      <c r="S328" s="1"/>
      <c r="V328" s="133"/>
      <c r="W328" s="133"/>
      <c r="AF328" s="1"/>
      <c r="AN328" s="1"/>
      <c r="AV328" s="1"/>
    </row>
    <row r="329" spans="19:48" s="20" customFormat="1" ht="22.5" customHeight="1" x14ac:dyDescent="0.25">
      <c r="S329" s="1"/>
      <c r="V329" s="133"/>
      <c r="W329" s="133"/>
      <c r="AF329" s="1"/>
      <c r="AN329" s="1"/>
      <c r="AV329" s="1"/>
    </row>
    <row r="330" spans="19:48" s="20" customFormat="1" ht="22.5" customHeight="1" x14ac:dyDescent="0.25">
      <c r="S330" s="1"/>
      <c r="V330" s="133"/>
      <c r="W330" s="133"/>
      <c r="AF330" s="1"/>
      <c r="AN330" s="1"/>
      <c r="AV330" s="1"/>
    </row>
    <row r="331" spans="19:48" s="20" customFormat="1" ht="22.5" customHeight="1" x14ac:dyDescent="0.25">
      <c r="S331" s="1"/>
      <c r="V331" s="133"/>
      <c r="W331" s="133"/>
      <c r="AF331" s="1"/>
      <c r="AN331" s="1"/>
      <c r="AV331" s="1"/>
    </row>
    <row r="332" spans="19:48" s="20" customFormat="1" ht="22.5" customHeight="1" x14ac:dyDescent="0.25">
      <c r="S332" s="1"/>
      <c r="V332" s="133"/>
      <c r="W332" s="133"/>
      <c r="AF332" s="1"/>
      <c r="AN332" s="1"/>
      <c r="AV332" s="1"/>
    </row>
    <row r="333" spans="19:48" s="20" customFormat="1" ht="22.5" customHeight="1" x14ac:dyDescent="0.25">
      <c r="S333" s="1"/>
      <c r="V333" s="133"/>
      <c r="W333" s="133"/>
      <c r="AF333" s="1"/>
      <c r="AN333" s="1"/>
      <c r="AV333" s="1"/>
    </row>
    <row r="334" spans="19:48" s="20" customFormat="1" ht="22.5" customHeight="1" x14ac:dyDescent="0.25">
      <c r="S334" s="1"/>
      <c r="V334" s="133"/>
      <c r="W334" s="133"/>
      <c r="AF334" s="1"/>
      <c r="AN334" s="1"/>
      <c r="AV334" s="1"/>
    </row>
    <row r="335" spans="19:48" s="20" customFormat="1" ht="22.5" customHeight="1" x14ac:dyDescent="0.25">
      <c r="S335" s="1"/>
      <c r="V335" s="133"/>
      <c r="W335" s="133"/>
      <c r="AF335" s="1"/>
      <c r="AN335" s="1"/>
      <c r="AV335" s="1"/>
    </row>
    <row r="336" spans="19:48" s="20" customFormat="1" ht="22.5" customHeight="1" x14ac:dyDescent="0.25">
      <c r="S336" s="1"/>
      <c r="V336" s="133"/>
      <c r="W336" s="133"/>
      <c r="AF336" s="1"/>
      <c r="AN336" s="1"/>
      <c r="AV336" s="1"/>
    </row>
    <row r="337" spans="19:48" s="20" customFormat="1" ht="22.5" customHeight="1" x14ac:dyDescent="0.25">
      <c r="S337" s="1"/>
      <c r="V337" s="133"/>
      <c r="W337" s="133"/>
      <c r="AF337" s="1"/>
      <c r="AN337" s="1"/>
      <c r="AV337" s="1"/>
    </row>
    <row r="338" spans="19:48" s="20" customFormat="1" ht="22.5" customHeight="1" x14ac:dyDescent="0.25">
      <c r="S338" s="1"/>
      <c r="V338" s="133"/>
      <c r="W338" s="133"/>
      <c r="AF338" s="1"/>
      <c r="AN338" s="1"/>
      <c r="AV338" s="1"/>
    </row>
    <row r="339" spans="19:48" s="20" customFormat="1" ht="22.5" customHeight="1" x14ac:dyDescent="0.25">
      <c r="S339" s="1"/>
      <c r="V339" s="133"/>
      <c r="W339" s="133"/>
      <c r="AF339" s="1"/>
      <c r="AN339" s="1"/>
      <c r="AV339" s="1"/>
    </row>
    <row r="340" spans="19:48" s="20" customFormat="1" ht="22.5" customHeight="1" x14ac:dyDescent="0.25">
      <c r="S340" s="1"/>
      <c r="V340" s="133"/>
      <c r="W340" s="133"/>
      <c r="AF340" s="1"/>
      <c r="AN340" s="1"/>
      <c r="AV340" s="1"/>
    </row>
    <row r="341" spans="19:48" s="20" customFormat="1" ht="22.5" customHeight="1" x14ac:dyDescent="0.25">
      <c r="S341" s="1"/>
      <c r="V341" s="133"/>
      <c r="W341" s="133"/>
      <c r="AF341" s="1"/>
      <c r="AN341" s="1"/>
      <c r="AV341" s="1"/>
    </row>
    <row r="342" spans="19:48" s="20" customFormat="1" ht="22.5" customHeight="1" x14ac:dyDescent="0.25">
      <c r="S342" s="1"/>
      <c r="V342" s="133"/>
      <c r="W342" s="133"/>
      <c r="AF342" s="1"/>
      <c r="AN342" s="1"/>
      <c r="AV342" s="1"/>
    </row>
    <row r="343" spans="19:48" s="20" customFormat="1" ht="22.5" customHeight="1" x14ac:dyDescent="0.25">
      <c r="S343" s="1"/>
      <c r="V343" s="133"/>
      <c r="W343" s="133"/>
      <c r="AF343" s="1"/>
      <c r="AN343" s="1"/>
      <c r="AV343" s="1"/>
    </row>
    <row r="344" spans="19:48" s="20" customFormat="1" ht="22.5" customHeight="1" x14ac:dyDescent="0.25">
      <c r="S344" s="1"/>
      <c r="V344" s="133"/>
      <c r="W344" s="133"/>
      <c r="AF344" s="1"/>
      <c r="AN344" s="1"/>
      <c r="AV344" s="1"/>
    </row>
    <row r="345" spans="19:48" s="20" customFormat="1" ht="22.5" customHeight="1" x14ac:dyDescent="0.25">
      <c r="S345" s="1"/>
      <c r="V345" s="133"/>
      <c r="W345" s="133"/>
      <c r="AF345" s="1"/>
      <c r="AN345" s="1"/>
      <c r="AV345" s="1"/>
    </row>
    <row r="346" spans="19:48" s="20" customFormat="1" ht="22.5" customHeight="1" x14ac:dyDescent="0.25">
      <c r="S346" s="1"/>
      <c r="V346" s="133"/>
      <c r="W346" s="133"/>
      <c r="AF346" s="1"/>
      <c r="AN346" s="1"/>
      <c r="AV346" s="1"/>
    </row>
    <row r="347" spans="19:48" s="20" customFormat="1" ht="22.5" customHeight="1" x14ac:dyDescent="0.25">
      <c r="S347" s="1"/>
      <c r="V347" s="133"/>
      <c r="W347" s="133"/>
      <c r="AF347" s="1"/>
      <c r="AN347" s="1"/>
      <c r="AV347" s="1"/>
    </row>
    <row r="348" spans="19:48" s="20" customFormat="1" ht="22.5" customHeight="1" x14ac:dyDescent="0.25">
      <c r="S348" s="1"/>
      <c r="V348" s="133"/>
      <c r="W348" s="133"/>
      <c r="AF348" s="1"/>
      <c r="AN348" s="1"/>
      <c r="AV348" s="1"/>
    </row>
    <row r="349" spans="19:48" s="20" customFormat="1" ht="22.5" customHeight="1" x14ac:dyDescent="0.25">
      <c r="S349" s="1"/>
      <c r="V349" s="133"/>
      <c r="W349" s="133"/>
      <c r="AF349" s="1"/>
      <c r="AN349" s="1"/>
      <c r="AV349" s="1"/>
    </row>
    <row r="350" spans="19:48" s="20" customFormat="1" ht="22.5" customHeight="1" x14ac:dyDescent="0.25">
      <c r="S350" s="1"/>
      <c r="V350" s="133"/>
      <c r="W350" s="133"/>
      <c r="AF350" s="1"/>
      <c r="AN350" s="1"/>
      <c r="AV350" s="1"/>
    </row>
    <row r="351" spans="19:48" s="20" customFormat="1" ht="22.5" customHeight="1" x14ac:dyDescent="0.25">
      <c r="S351" s="1"/>
      <c r="V351" s="133"/>
      <c r="W351" s="133"/>
      <c r="AF351" s="1"/>
      <c r="AN351" s="1"/>
      <c r="AV351" s="1"/>
    </row>
    <row r="352" spans="19:48" s="20" customFormat="1" ht="22.5" customHeight="1" x14ac:dyDescent="0.25">
      <c r="S352" s="1"/>
      <c r="V352" s="133"/>
      <c r="W352" s="133"/>
      <c r="AF352" s="1"/>
      <c r="AN352" s="1"/>
      <c r="AV352" s="1"/>
    </row>
    <row r="353" spans="19:48" s="20" customFormat="1" ht="22.5" customHeight="1" x14ac:dyDescent="0.25">
      <c r="S353" s="1"/>
      <c r="V353" s="133"/>
      <c r="W353" s="133"/>
      <c r="AF353" s="1"/>
      <c r="AN353" s="1"/>
      <c r="AV353" s="1"/>
    </row>
    <row r="354" spans="19:48" s="20" customFormat="1" ht="22.5" customHeight="1" x14ac:dyDescent="0.25">
      <c r="S354" s="1"/>
      <c r="V354" s="133"/>
      <c r="W354" s="133"/>
      <c r="AF354" s="1"/>
      <c r="AN354" s="1"/>
      <c r="AV354" s="1"/>
    </row>
    <row r="355" spans="19:48" s="20" customFormat="1" ht="22.5" customHeight="1" x14ac:dyDescent="0.25">
      <c r="S355" s="1"/>
      <c r="V355" s="133"/>
      <c r="W355" s="133"/>
      <c r="AF355" s="1"/>
      <c r="AN355" s="1"/>
      <c r="AV355" s="1"/>
    </row>
    <row r="356" spans="19:48" s="20" customFormat="1" ht="22.5" customHeight="1" x14ac:dyDescent="0.25">
      <c r="S356" s="1"/>
      <c r="V356" s="133"/>
      <c r="W356" s="133"/>
      <c r="AF356" s="1"/>
      <c r="AN356" s="1"/>
      <c r="AV356" s="1"/>
    </row>
    <row r="357" spans="19:48" s="20" customFormat="1" ht="22.5" customHeight="1" x14ac:dyDescent="0.25">
      <c r="S357" s="1"/>
      <c r="V357" s="133"/>
      <c r="W357" s="133"/>
      <c r="AF357" s="1"/>
      <c r="AN357" s="1"/>
      <c r="AV357" s="1"/>
    </row>
    <row r="358" spans="19:48" s="20" customFormat="1" ht="22.5" customHeight="1" x14ac:dyDescent="0.25">
      <c r="S358" s="1"/>
      <c r="V358" s="133"/>
      <c r="W358" s="133"/>
      <c r="AF358" s="1"/>
      <c r="AN358" s="1"/>
      <c r="AV358" s="1"/>
    </row>
    <row r="359" spans="19:48" s="20" customFormat="1" ht="22.5" customHeight="1" x14ac:dyDescent="0.25">
      <c r="S359" s="1"/>
      <c r="V359" s="133"/>
      <c r="W359" s="133"/>
      <c r="AF359" s="1"/>
      <c r="AN359" s="1"/>
      <c r="AV359" s="1"/>
    </row>
    <row r="360" spans="19:48" s="20" customFormat="1" ht="22.5" customHeight="1" x14ac:dyDescent="0.25">
      <c r="S360" s="1"/>
      <c r="V360" s="133"/>
      <c r="W360" s="133"/>
      <c r="AF360" s="1"/>
      <c r="AN360" s="1"/>
      <c r="AV360" s="1"/>
    </row>
    <row r="361" spans="19:48" s="20" customFormat="1" ht="22.5" customHeight="1" x14ac:dyDescent="0.25">
      <c r="S361" s="1"/>
      <c r="V361" s="133"/>
      <c r="W361" s="133"/>
      <c r="AF361" s="1"/>
      <c r="AN361" s="1"/>
      <c r="AV361" s="1"/>
    </row>
    <row r="362" spans="19:48" s="20" customFormat="1" ht="22.5" customHeight="1" x14ac:dyDescent="0.25">
      <c r="S362" s="1"/>
      <c r="V362" s="133"/>
      <c r="W362" s="133"/>
      <c r="AF362" s="1"/>
      <c r="AN362" s="1"/>
      <c r="AV362" s="1"/>
    </row>
    <row r="363" spans="19:48" s="20" customFormat="1" ht="22.5" customHeight="1" x14ac:dyDescent="0.25">
      <c r="S363" s="1"/>
      <c r="V363" s="133"/>
      <c r="W363" s="133"/>
      <c r="AF363" s="1"/>
      <c r="AN363" s="1"/>
      <c r="AV363" s="1"/>
    </row>
    <row r="364" spans="19:48" s="20" customFormat="1" ht="22.5" customHeight="1" x14ac:dyDescent="0.25">
      <c r="S364" s="1"/>
      <c r="V364" s="133"/>
      <c r="W364" s="133"/>
      <c r="AF364" s="1"/>
      <c r="AN364" s="1"/>
      <c r="AV364" s="1"/>
    </row>
    <row r="365" spans="19:48" s="20" customFormat="1" ht="22.5" customHeight="1" x14ac:dyDescent="0.25">
      <c r="S365" s="1"/>
      <c r="V365" s="133"/>
      <c r="W365" s="133"/>
      <c r="AF365" s="1"/>
      <c r="AN365" s="1"/>
      <c r="AV365" s="1"/>
    </row>
    <row r="366" spans="19:48" s="20" customFormat="1" ht="22.5" customHeight="1" x14ac:dyDescent="0.25">
      <c r="S366" s="1"/>
      <c r="V366" s="133"/>
      <c r="W366" s="133"/>
      <c r="AF366" s="1"/>
      <c r="AN366" s="1"/>
      <c r="AV366" s="1"/>
    </row>
    <row r="367" spans="19:48" s="20" customFormat="1" ht="22.5" customHeight="1" x14ac:dyDescent="0.25">
      <c r="S367" s="1"/>
      <c r="V367" s="133"/>
      <c r="W367" s="133"/>
      <c r="AF367" s="1"/>
      <c r="AN367" s="1"/>
      <c r="AV367" s="1"/>
    </row>
    <row r="368" spans="19:48" s="20" customFormat="1" ht="22.5" customHeight="1" x14ac:dyDescent="0.25">
      <c r="S368" s="1"/>
      <c r="V368" s="133"/>
      <c r="W368" s="133"/>
      <c r="AF368" s="1"/>
      <c r="AN368" s="1"/>
      <c r="AV368" s="1"/>
    </row>
    <row r="369" spans="19:48" s="20" customFormat="1" ht="22.5" customHeight="1" x14ac:dyDescent="0.25">
      <c r="S369" s="1"/>
      <c r="V369" s="133"/>
      <c r="W369" s="133"/>
      <c r="AF369" s="1"/>
      <c r="AN369" s="1"/>
      <c r="AV369" s="1"/>
    </row>
    <row r="370" spans="19:48" s="20" customFormat="1" ht="22.5" customHeight="1" x14ac:dyDescent="0.25">
      <c r="S370" s="1"/>
      <c r="V370" s="133"/>
      <c r="W370" s="133"/>
      <c r="AF370" s="1"/>
      <c r="AN370" s="1"/>
      <c r="AV370" s="1"/>
    </row>
    <row r="371" spans="19:48" s="20" customFormat="1" ht="22.5" customHeight="1" x14ac:dyDescent="0.25">
      <c r="S371" s="1"/>
      <c r="V371" s="133"/>
      <c r="W371" s="133"/>
      <c r="AF371" s="1"/>
      <c r="AN371" s="1"/>
      <c r="AV371" s="1"/>
    </row>
    <row r="372" spans="19:48" s="20" customFormat="1" ht="22.5" customHeight="1" x14ac:dyDescent="0.25">
      <c r="S372" s="1"/>
      <c r="V372" s="133"/>
      <c r="W372" s="133"/>
      <c r="AF372" s="1"/>
      <c r="AN372" s="1"/>
      <c r="AV372" s="1"/>
    </row>
    <row r="373" spans="19:48" s="20" customFormat="1" ht="22.5" customHeight="1" x14ac:dyDescent="0.25">
      <c r="S373" s="1"/>
      <c r="V373" s="133"/>
      <c r="W373" s="133"/>
      <c r="AF373" s="1"/>
      <c r="AN373" s="1"/>
      <c r="AV373" s="1"/>
    </row>
    <row r="374" spans="19:48" s="20" customFormat="1" ht="22.5" customHeight="1" x14ac:dyDescent="0.25">
      <c r="S374" s="1"/>
      <c r="V374" s="133"/>
      <c r="W374" s="133"/>
      <c r="AF374" s="1"/>
      <c r="AN374" s="1"/>
      <c r="AV374" s="1"/>
    </row>
    <row r="375" spans="19:48" s="20" customFormat="1" ht="22.5" customHeight="1" x14ac:dyDescent="0.25">
      <c r="S375" s="1"/>
      <c r="V375" s="133"/>
      <c r="W375" s="133"/>
      <c r="AF375" s="1"/>
      <c r="AN375" s="1"/>
      <c r="AV375" s="1"/>
    </row>
    <row r="376" spans="19:48" s="20" customFormat="1" ht="22.5" customHeight="1" x14ac:dyDescent="0.25">
      <c r="S376" s="1"/>
      <c r="V376" s="133"/>
      <c r="W376" s="133"/>
      <c r="AF376" s="1"/>
      <c r="AN376" s="1"/>
      <c r="AV376" s="1"/>
    </row>
    <row r="377" spans="19:48" s="20" customFormat="1" ht="22.5" customHeight="1" x14ac:dyDescent="0.25">
      <c r="S377" s="1"/>
      <c r="V377" s="133"/>
      <c r="W377" s="133"/>
      <c r="AF377" s="1"/>
      <c r="AN377" s="1"/>
      <c r="AV377" s="1"/>
    </row>
    <row r="378" spans="19:48" s="20" customFormat="1" ht="22.5" customHeight="1" x14ac:dyDescent="0.25">
      <c r="S378" s="1"/>
      <c r="V378" s="133"/>
      <c r="W378" s="133"/>
      <c r="AF378" s="1"/>
      <c r="AN378" s="1"/>
      <c r="AV378" s="1"/>
    </row>
    <row r="379" spans="19:48" s="20" customFormat="1" ht="22.5" customHeight="1" x14ac:dyDescent="0.25">
      <c r="S379" s="1"/>
      <c r="V379" s="133"/>
      <c r="W379" s="133"/>
      <c r="AF379" s="1"/>
      <c r="AN379" s="1"/>
      <c r="AV379" s="1"/>
    </row>
    <row r="380" spans="19:48" s="20" customFormat="1" ht="22.5" customHeight="1" x14ac:dyDescent="0.25">
      <c r="S380" s="1"/>
      <c r="V380" s="133"/>
      <c r="W380" s="133"/>
      <c r="AF380" s="1"/>
      <c r="AN380" s="1"/>
      <c r="AV380" s="1"/>
    </row>
    <row r="381" spans="19:48" s="20" customFormat="1" ht="22.5" customHeight="1" x14ac:dyDescent="0.25">
      <c r="S381" s="1"/>
      <c r="V381" s="133"/>
      <c r="W381" s="133"/>
      <c r="AF381" s="1"/>
      <c r="AN381" s="1"/>
      <c r="AV381" s="1"/>
    </row>
    <row r="382" spans="19:48" s="20" customFormat="1" ht="22.5" customHeight="1" x14ac:dyDescent="0.25">
      <c r="S382" s="1"/>
      <c r="V382" s="133"/>
      <c r="W382" s="133"/>
      <c r="AF382" s="1"/>
      <c r="AN382" s="1"/>
      <c r="AV382" s="1"/>
    </row>
    <row r="383" spans="19:48" s="20" customFormat="1" ht="22.5" customHeight="1" x14ac:dyDescent="0.25">
      <c r="S383" s="1"/>
      <c r="V383" s="133"/>
      <c r="W383" s="133"/>
      <c r="AF383" s="1"/>
      <c r="AN383" s="1"/>
      <c r="AV383" s="1"/>
    </row>
    <row r="384" spans="19:48" s="20" customFormat="1" ht="22.5" customHeight="1" x14ac:dyDescent="0.25">
      <c r="S384" s="1"/>
      <c r="V384" s="133"/>
      <c r="W384" s="133"/>
      <c r="AF384" s="1"/>
      <c r="AN384" s="1"/>
      <c r="AV384" s="1"/>
    </row>
    <row r="385" spans="19:48" s="20" customFormat="1" ht="22.5" customHeight="1" x14ac:dyDescent="0.25">
      <c r="S385" s="1"/>
      <c r="V385" s="133"/>
      <c r="W385" s="133"/>
      <c r="AF385" s="1"/>
      <c r="AN385" s="1"/>
      <c r="AV385" s="1"/>
    </row>
    <row r="386" spans="19:48" s="20" customFormat="1" ht="22.5" customHeight="1" x14ac:dyDescent="0.25">
      <c r="S386" s="1"/>
      <c r="V386" s="133"/>
      <c r="W386" s="133"/>
      <c r="AF386" s="1"/>
      <c r="AN386" s="1"/>
      <c r="AV386" s="1"/>
    </row>
    <row r="387" spans="19:48" s="20" customFormat="1" ht="22.5" customHeight="1" x14ac:dyDescent="0.25">
      <c r="S387" s="1"/>
      <c r="V387" s="133"/>
      <c r="W387" s="133"/>
      <c r="AF387" s="1"/>
      <c r="AN387" s="1"/>
      <c r="AV387" s="1"/>
    </row>
    <row r="388" spans="19:48" s="20" customFormat="1" ht="22.5" customHeight="1" x14ac:dyDescent="0.25">
      <c r="S388" s="1"/>
      <c r="V388" s="133"/>
      <c r="W388" s="133"/>
      <c r="AF388" s="1"/>
      <c r="AN388" s="1"/>
      <c r="AV388" s="1"/>
    </row>
    <row r="389" spans="19:48" s="20" customFormat="1" ht="22.5" customHeight="1" x14ac:dyDescent="0.25">
      <c r="S389" s="1"/>
      <c r="V389" s="133"/>
      <c r="W389" s="133"/>
      <c r="AF389" s="1"/>
      <c r="AN389" s="1"/>
      <c r="AV389" s="1"/>
    </row>
    <row r="390" spans="19:48" s="20" customFormat="1" ht="22.5" customHeight="1" x14ac:dyDescent="0.25">
      <c r="S390" s="1"/>
      <c r="V390" s="133"/>
      <c r="W390" s="133"/>
      <c r="AF390" s="1"/>
      <c r="AN390" s="1"/>
      <c r="AV390" s="1"/>
    </row>
    <row r="391" spans="19:48" s="20" customFormat="1" ht="22.5" customHeight="1" x14ac:dyDescent="0.25">
      <c r="S391" s="1"/>
      <c r="V391" s="133"/>
      <c r="W391" s="133"/>
      <c r="AF391" s="1"/>
      <c r="AN391" s="1"/>
      <c r="AV391" s="1"/>
    </row>
    <row r="392" spans="19:48" s="20" customFormat="1" ht="22.5" customHeight="1" x14ac:dyDescent="0.25">
      <c r="S392" s="1"/>
      <c r="V392" s="133"/>
      <c r="W392" s="133"/>
      <c r="AF392" s="1"/>
      <c r="AN392" s="1"/>
      <c r="AV392" s="1"/>
    </row>
    <row r="393" spans="19:48" s="20" customFormat="1" ht="22.5" customHeight="1" x14ac:dyDescent="0.25">
      <c r="S393" s="1"/>
      <c r="V393" s="133"/>
      <c r="W393" s="133"/>
      <c r="AF393" s="1"/>
      <c r="AN393" s="1"/>
      <c r="AV393" s="1"/>
    </row>
    <row r="394" spans="19:48" s="20" customFormat="1" ht="22.5" customHeight="1" x14ac:dyDescent="0.25">
      <c r="S394" s="1"/>
      <c r="V394" s="133"/>
      <c r="W394" s="133"/>
      <c r="AF394" s="1"/>
      <c r="AN394" s="1"/>
      <c r="AV394" s="1"/>
    </row>
    <row r="395" spans="19:48" s="20" customFormat="1" ht="22.5" customHeight="1" x14ac:dyDescent="0.25">
      <c r="S395" s="1"/>
      <c r="V395" s="133"/>
      <c r="W395" s="133"/>
      <c r="AF395" s="1"/>
      <c r="AN395" s="1"/>
      <c r="AV395" s="1"/>
    </row>
    <row r="396" spans="19:48" s="20" customFormat="1" ht="22.5" customHeight="1" x14ac:dyDescent="0.25">
      <c r="S396" s="1"/>
      <c r="V396" s="133"/>
      <c r="W396" s="133"/>
      <c r="AF396" s="1"/>
      <c r="AN396" s="1"/>
      <c r="AV396" s="1"/>
    </row>
    <row r="397" spans="19:48" s="20" customFormat="1" ht="22.5" customHeight="1" x14ac:dyDescent="0.25">
      <c r="S397" s="1"/>
      <c r="V397" s="133"/>
      <c r="W397" s="133"/>
      <c r="AF397" s="1"/>
      <c r="AN397" s="1"/>
      <c r="AV397" s="1"/>
    </row>
    <row r="398" spans="19:48" s="20" customFormat="1" ht="22.5" customHeight="1" x14ac:dyDescent="0.25">
      <c r="S398" s="1"/>
      <c r="V398" s="133"/>
      <c r="W398" s="133"/>
      <c r="AF398" s="1"/>
      <c r="AN398" s="1"/>
      <c r="AV398" s="1"/>
    </row>
    <row r="399" spans="19:48" s="20" customFormat="1" ht="22.5" customHeight="1" x14ac:dyDescent="0.25">
      <c r="S399" s="1"/>
      <c r="V399" s="133"/>
      <c r="W399" s="133"/>
      <c r="AF399" s="1"/>
      <c r="AN399" s="1"/>
      <c r="AV399" s="1"/>
    </row>
    <row r="400" spans="19:48" s="20" customFormat="1" ht="22.5" customHeight="1" x14ac:dyDescent="0.25">
      <c r="S400" s="1"/>
      <c r="V400" s="133"/>
      <c r="W400" s="133"/>
      <c r="AF400" s="1"/>
      <c r="AN400" s="1"/>
      <c r="AV400" s="1"/>
    </row>
    <row r="401" spans="19:48" s="20" customFormat="1" ht="22.5" customHeight="1" x14ac:dyDescent="0.25">
      <c r="S401" s="1"/>
      <c r="V401" s="133"/>
      <c r="W401" s="133"/>
      <c r="AF401" s="1"/>
      <c r="AN401" s="1"/>
      <c r="AV401" s="1"/>
    </row>
    <row r="402" spans="19:48" s="20" customFormat="1" ht="22.5" customHeight="1" x14ac:dyDescent="0.25">
      <c r="S402" s="1"/>
      <c r="V402" s="133"/>
      <c r="W402" s="133"/>
      <c r="AF402" s="1"/>
      <c r="AN402" s="1"/>
      <c r="AV402" s="1"/>
    </row>
    <row r="403" spans="19:48" s="20" customFormat="1" ht="22.5" customHeight="1" x14ac:dyDescent="0.25">
      <c r="S403" s="1"/>
      <c r="V403" s="133"/>
      <c r="W403" s="133"/>
      <c r="AF403" s="1"/>
      <c r="AN403" s="1"/>
      <c r="AV403" s="1"/>
    </row>
    <row r="404" spans="19:48" s="20" customFormat="1" ht="22.5" customHeight="1" x14ac:dyDescent="0.25">
      <c r="S404" s="1"/>
      <c r="V404" s="133"/>
      <c r="W404" s="133"/>
      <c r="AF404" s="1"/>
      <c r="AN404" s="1"/>
      <c r="AV404" s="1"/>
    </row>
    <row r="405" spans="19:48" s="20" customFormat="1" ht="22.5" customHeight="1" x14ac:dyDescent="0.25">
      <c r="S405" s="1"/>
      <c r="V405" s="133"/>
      <c r="W405" s="133"/>
      <c r="AF405" s="1"/>
      <c r="AN405" s="1"/>
      <c r="AV405" s="1"/>
    </row>
    <row r="406" spans="19:48" s="20" customFormat="1" ht="22.5" customHeight="1" x14ac:dyDescent="0.25">
      <c r="S406" s="1"/>
      <c r="V406" s="133"/>
      <c r="W406" s="133"/>
      <c r="AF406" s="1"/>
      <c r="AN406" s="1"/>
      <c r="AV406" s="1"/>
    </row>
    <row r="407" spans="19:48" s="20" customFormat="1" ht="22.5" customHeight="1" x14ac:dyDescent="0.25">
      <c r="S407" s="1"/>
      <c r="V407" s="133"/>
      <c r="W407" s="133"/>
      <c r="AF407" s="1"/>
      <c r="AN407" s="1"/>
      <c r="AV407" s="1"/>
    </row>
    <row r="408" spans="19:48" s="20" customFormat="1" ht="22.5" customHeight="1" x14ac:dyDescent="0.25">
      <c r="S408" s="1"/>
      <c r="V408" s="133"/>
      <c r="W408" s="133"/>
      <c r="AF408" s="1"/>
      <c r="AN408" s="1"/>
      <c r="AV408" s="1"/>
    </row>
    <row r="409" spans="19:48" s="20" customFormat="1" ht="22.5" customHeight="1" x14ac:dyDescent="0.25">
      <c r="S409" s="1"/>
      <c r="V409" s="133"/>
      <c r="W409" s="133"/>
      <c r="AF409" s="1"/>
      <c r="AN409" s="1"/>
      <c r="AV409" s="1"/>
    </row>
    <row r="410" spans="19:48" s="20" customFormat="1" ht="22.5" customHeight="1" x14ac:dyDescent="0.25">
      <c r="S410" s="1"/>
      <c r="V410" s="133"/>
      <c r="W410" s="133"/>
      <c r="AF410" s="1"/>
      <c r="AN410" s="1"/>
      <c r="AV410" s="1"/>
    </row>
    <row r="411" spans="19:48" s="20" customFormat="1" ht="22.5" customHeight="1" x14ac:dyDescent="0.25">
      <c r="S411" s="1"/>
      <c r="V411" s="133"/>
      <c r="W411" s="133"/>
      <c r="AF411" s="1"/>
      <c r="AN411" s="1"/>
      <c r="AV411" s="1"/>
    </row>
    <row r="412" spans="19:48" s="20" customFormat="1" ht="22.5" customHeight="1" x14ac:dyDescent="0.25">
      <c r="S412" s="1"/>
      <c r="V412" s="133"/>
      <c r="W412" s="133"/>
      <c r="AF412" s="1"/>
      <c r="AN412" s="1"/>
      <c r="AV412" s="1"/>
    </row>
    <row r="413" spans="19:48" s="20" customFormat="1" ht="22.5" customHeight="1" x14ac:dyDescent="0.25">
      <c r="S413" s="1"/>
      <c r="V413" s="133"/>
      <c r="W413" s="133"/>
      <c r="AF413" s="1"/>
      <c r="AN413" s="1"/>
      <c r="AV413" s="1"/>
    </row>
    <row r="414" spans="19:48" s="20" customFormat="1" ht="22.5" customHeight="1" x14ac:dyDescent="0.25">
      <c r="S414" s="1"/>
      <c r="V414" s="133"/>
      <c r="W414" s="133"/>
      <c r="AF414" s="1"/>
      <c r="AN414" s="1"/>
      <c r="AV414" s="1"/>
    </row>
    <row r="415" spans="19:48" s="20" customFormat="1" ht="22.5" customHeight="1" x14ac:dyDescent="0.25">
      <c r="S415" s="1"/>
      <c r="V415" s="133"/>
      <c r="W415" s="133"/>
      <c r="AF415" s="1"/>
      <c r="AN415" s="1"/>
      <c r="AV415" s="1"/>
    </row>
    <row r="416" spans="19:48" s="20" customFormat="1" ht="22.5" customHeight="1" x14ac:dyDescent="0.25">
      <c r="S416" s="1"/>
      <c r="V416" s="133"/>
      <c r="W416" s="133"/>
      <c r="AF416" s="1"/>
      <c r="AN416" s="1"/>
      <c r="AV416" s="1"/>
    </row>
    <row r="417" spans="19:48" s="20" customFormat="1" ht="22.5" customHeight="1" x14ac:dyDescent="0.25">
      <c r="S417" s="1"/>
      <c r="V417" s="133"/>
      <c r="W417" s="133"/>
      <c r="AF417" s="1"/>
      <c r="AN417" s="1"/>
      <c r="AV417" s="1"/>
    </row>
    <row r="418" spans="19:48" s="20" customFormat="1" ht="22.5" customHeight="1" x14ac:dyDescent="0.25">
      <c r="S418" s="1"/>
      <c r="V418" s="133"/>
      <c r="W418" s="133"/>
      <c r="AF418" s="1"/>
      <c r="AN418" s="1"/>
      <c r="AV418" s="1"/>
    </row>
    <row r="419" spans="19:48" s="20" customFormat="1" ht="22.5" customHeight="1" x14ac:dyDescent="0.25">
      <c r="S419" s="1"/>
      <c r="V419" s="133"/>
      <c r="W419" s="133"/>
      <c r="AF419" s="1"/>
      <c r="AN419" s="1"/>
      <c r="AV419" s="1"/>
    </row>
    <row r="420" spans="19:48" s="20" customFormat="1" ht="22.5" customHeight="1" x14ac:dyDescent="0.25">
      <c r="S420" s="1"/>
      <c r="V420" s="133"/>
      <c r="W420" s="133"/>
      <c r="AF420" s="1"/>
      <c r="AN420" s="1"/>
      <c r="AV420" s="1"/>
    </row>
    <row r="421" spans="19:48" s="20" customFormat="1" ht="22.5" customHeight="1" x14ac:dyDescent="0.25">
      <c r="S421" s="1"/>
      <c r="V421" s="133"/>
      <c r="W421" s="133"/>
      <c r="AF421" s="1"/>
      <c r="AN421" s="1"/>
      <c r="AV421" s="1"/>
    </row>
    <row r="422" spans="19:48" s="20" customFormat="1" ht="22.5" customHeight="1" x14ac:dyDescent="0.25">
      <c r="S422" s="1"/>
      <c r="V422" s="133"/>
      <c r="W422" s="133"/>
      <c r="AF422" s="1"/>
      <c r="AN422" s="1"/>
      <c r="AV422" s="1"/>
    </row>
    <row r="423" spans="19:48" s="20" customFormat="1" ht="22.5" customHeight="1" x14ac:dyDescent="0.25">
      <c r="S423" s="1"/>
      <c r="V423" s="133"/>
      <c r="W423" s="133"/>
      <c r="AF423" s="1"/>
      <c r="AN423" s="1"/>
      <c r="AV423" s="1"/>
    </row>
    <row r="424" spans="19:48" s="20" customFormat="1" ht="22.5" customHeight="1" x14ac:dyDescent="0.25">
      <c r="S424" s="1"/>
      <c r="V424" s="133"/>
      <c r="W424" s="133"/>
      <c r="AF424" s="1"/>
      <c r="AN424" s="1"/>
      <c r="AV424" s="1"/>
    </row>
    <row r="425" spans="19:48" s="20" customFormat="1" ht="22.5" customHeight="1" x14ac:dyDescent="0.25">
      <c r="S425" s="1"/>
      <c r="V425" s="133"/>
      <c r="W425" s="133"/>
      <c r="AF425" s="1"/>
      <c r="AN425" s="1"/>
      <c r="AV425" s="1"/>
    </row>
    <row r="426" spans="19:48" s="20" customFormat="1" ht="22.5" customHeight="1" x14ac:dyDescent="0.25">
      <c r="S426" s="1"/>
      <c r="V426" s="133"/>
      <c r="W426" s="133"/>
      <c r="AF426" s="1"/>
      <c r="AN426" s="1"/>
      <c r="AV426" s="1"/>
    </row>
    <row r="427" spans="19:48" s="20" customFormat="1" ht="22.5" customHeight="1" x14ac:dyDescent="0.25">
      <c r="S427" s="1"/>
      <c r="V427" s="133"/>
      <c r="W427" s="133"/>
      <c r="AF427" s="1"/>
      <c r="AN427" s="1"/>
      <c r="AV427" s="1"/>
    </row>
    <row r="428" spans="19:48" s="20" customFormat="1" ht="22.5" customHeight="1" x14ac:dyDescent="0.25">
      <c r="S428" s="1"/>
      <c r="V428" s="133"/>
      <c r="W428" s="133"/>
      <c r="AF428" s="1"/>
      <c r="AN428" s="1"/>
      <c r="AV428" s="1"/>
    </row>
    <row r="429" spans="19:48" s="20" customFormat="1" ht="22.5" customHeight="1" x14ac:dyDescent="0.25">
      <c r="S429" s="1"/>
      <c r="V429" s="133"/>
      <c r="W429" s="133"/>
      <c r="AF429" s="1"/>
      <c r="AN429" s="1"/>
      <c r="AV429" s="1"/>
    </row>
    <row r="430" spans="19:48" s="20" customFormat="1" ht="22.5" customHeight="1" x14ac:dyDescent="0.25">
      <c r="S430" s="1"/>
      <c r="V430" s="133"/>
      <c r="W430" s="133"/>
      <c r="AF430" s="1"/>
      <c r="AN430" s="1"/>
      <c r="AV430" s="1"/>
    </row>
    <row r="431" spans="19:48" s="20" customFormat="1" ht="22.5" customHeight="1" x14ac:dyDescent="0.25">
      <c r="S431" s="1"/>
      <c r="V431" s="133"/>
      <c r="W431" s="133"/>
      <c r="AF431" s="1"/>
      <c r="AN431" s="1"/>
      <c r="AV431" s="1"/>
    </row>
    <row r="432" spans="19:48" s="20" customFormat="1" ht="22.5" customHeight="1" x14ac:dyDescent="0.25">
      <c r="S432" s="1"/>
      <c r="V432" s="133"/>
      <c r="W432" s="133"/>
      <c r="AF432" s="1"/>
      <c r="AN432" s="1"/>
      <c r="AV432" s="1"/>
    </row>
    <row r="433" spans="19:48" s="20" customFormat="1" ht="22.5" customHeight="1" x14ac:dyDescent="0.25">
      <c r="S433" s="1"/>
      <c r="V433" s="133"/>
      <c r="W433" s="133"/>
      <c r="AF433" s="1"/>
      <c r="AN433" s="1"/>
      <c r="AV433" s="1"/>
    </row>
    <row r="434" spans="19:48" s="20" customFormat="1" ht="22.5" customHeight="1" x14ac:dyDescent="0.25">
      <c r="S434" s="1"/>
      <c r="V434" s="133"/>
      <c r="W434" s="133"/>
      <c r="AF434" s="1"/>
      <c r="AN434" s="1"/>
      <c r="AV434" s="1"/>
    </row>
    <row r="435" spans="19:48" s="20" customFormat="1" ht="22.5" customHeight="1" x14ac:dyDescent="0.25">
      <c r="S435" s="1"/>
      <c r="V435" s="133"/>
      <c r="W435" s="133"/>
      <c r="AF435" s="1"/>
      <c r="AN435" s="1"/>
      <c r="AV435" s="1"/>
    </row>
    <row r="436" spans="19:48" s="20" customFormat="1" ht="22.5" customHeight="1" x14ac:dyDescent="0.25">
      <c r="S436" s="1"/>
      <c r="V436" s="133"/>
      <c r="W436" s="133"/>
      <c r="AF436" s="1"/>
      <c r="AN436" s="1"/>
      <c r="AV436" s="1"/>
    </row>
    <row r="437" spans="19:48" s="20" customFormat="1" ht="22.5" customHeight="1" x14ac:dyDescent="0.25">
      <c r="S437" s="1"/>
      <c r="V437" s="133"/>
      <c r="W437" s="133"/>
      <c r="AF437" s="1"/>
      <c r="AN437" s="1"/>
      <c r="AV437" s="1"/>
    </row>
    <row r="438" spans="19:48" s="20" customFormat="1" ht="22.5" customHeight="1" x14ac:dyDescent="0.25">
      <c r="S438" s="1"/>
      <c r="V438" s="133"/>
      <c r="W438" s="133"/>
      <c r="AF438" s="1"/>
      <c r="AN438" s="1"/>
      <c r="AV438" s="1"/>
    </row>
    <row r="439" spans="19:48" s="20" customFormat="1" ht="22.5" customHeight="1" x14ac:dyDescent="0.25">
      <c r="S439" s="1"/>
      <c r="V439" s="133"/>
      <c r="W439" s="133"/>
      <c r="AF439" s="1"/>
      <c r="AN439" s="1"/>
      <c r="AV439" s="1"/>
    </row>
    <row r="440" spans="19:48" s="20" customFormat="1" ht="22.5" customHeight="1" x14ac:dyDescent="0.25">
      <c r="S440" s="1"/>
      <c r="V440" s="133"/>
      <c r="W440" s="133"/>
      <c r="AF440" s="1"/>
      <c r="AN440" s="1"/>
      <c r="AV440" s="1"/>
    </row>
    <row r="441" spans="19:48" s="20" customFormat="1" ht="22.5" customHeight="1" x14ac:dyDescent="0.25">
      <c r="S441" s="1"/>
      <c r="V441" s="133"/>
      <c r="W441" s="133"/>
      <c r="AF441" s="1"/>
      <c r="AN441" s="1"/>
      <c r="AV441" s="1"/>
    </row>
    <row r="442" spans="19:48" s="20" customFormat="1" ht="22.5" customHeight="1" x14ac:dyDescent="0.25">
      <c r="S442" s="1"/>
      <c r="V442" s="133"/>
      <c r="W442" s="133"/>
      <c r="AF442" s="1"/>
      <c r="AN442" s="1"/>
      <c r="AV442" s="1"/>
    </row>
    <row r="443" spans="19:48" s="20" customFormat="1" ht="22.5" customHeight="1" x14ac:dyDescent="0.25">
      <c r="S443" s="1"/>
      <c r="V443" s="133"/>
      <c r="W443" s="133"/>
      <c r="AF443" s="1"/>
      <c r="AN443" s="1"/>
      <c r="AV443" s="1"/>
    </row>
    <row r="444" spans="19:48" s="20" customFormat="1" ht="22.5" customHeight="1" x14ac:dyDescent="0.25">
      <c r="S444" s="1"/>
      <c r="V444" s="133"/>
      <c r="W444" s="133"/>
      <c r="AF444" s="1"/>
      <c r="AN444" s="1"/>
      <c r="AV444" s="1"/>
    </row>
    <row r="445" spans="19:48" s="20" customFormat="1" ht="22.5" customHeight="1" x14ac:dyDescent="0.25">
      <c r="S445" s="1"/>
      <c r="V445" s="133"/>
      <c r="W445" s="133"/>
      <c r="AF445" s="1"/>
      <c r="AN445" s="1"/>
      <c r="AV445" s="1"/>
    </row>
    <row r="446" spans="19:48" s="20" customFormat="1" ht="22.5" customHeight="1" x14ac:dyDescent="0.25">
      <c r="S446" s="1"/>
      <c r="V446" s="133"/>
      <c r="W446" s="133"/>
      <c r="AF446" s="1"/>
      <c r="AN446" s="1"/>
      <c r="AV446" s="1"/>
    </row>
    <row r="447" spans="19:48" s="20" customFormat="1" ht="22.5" customHeight="1" x14ac:dyDescent="0.25">
      <c r="S447" s="1"/>
      <c r="V447" s="133"/>
      <c r="W447" s="133"/>
      <c r="AF447" s="1"/>
      <c r="AN447" s="1"/>
      <c r="AV447" s="1"/>
    </row>
    <row r="448" spans="19:48" s="20" customFormat="1" ht="22.5" customHeight="1" x14ac:dyDescent="0.25">
      <c r="S448" s="1"/>
      <c r="V448" s="133"/>
      <c r="W448" s="133"/>
      <c r="AF448" s="1"/>
      <c r="AN448" s="1"/>
      <c r="AV448" s="1"/>
    </row>
    <row r="449" spans="19:48" s="20" customFormat="1" ht="22.5" customHeight="1" x14ac:dyDescent="0.25">
      <c r="S449" s="1"/>
      <c r="V449" s="133"/>
      <c r="W449" s="133"/>
      <c r="AF449" s="1"/>
      <c r="AN449" s="1"/>
      <c r="AV449" s="1"/>
    </row>
    <row r="450" spans="19:48" s="20" customFormat="1" ht="22.5" customHeight="1" x14ac:dyDescent="0.25">
      <c r="S450" s="1"/>
      <c r="V450" s="133"/>
      <c r="W450" s="133"/>
      <c r="AF450" s="1"/>
      <c r="AN450" s="1"/>
      <c r="AV450" s="1"/>
    </row>
    <row r="451" spans="19:48" s="20" customFormat="1" ht="22.5" customHeight="1" x14ac:dyDescent="0.25">
      <c r="S451" s="1"/>
      <c r="V451" s="133"/>
      <c r="W451" s="133"/>
      <c r="AF451" s="1"/>
      <c r="AN451" s="1"/>
      <c r="AV451" s="1"/>
    </row>
    <row r="452" spans="19:48" s="20" customFormat="1" ht="22.5" customHeight="1" x14ac:dyDescent="0.25">
      <c r="S452" s="1"/>
      <c r="V452" s="133"/>
      <c r="W452" s="133"/>
      <c r="AF452" s="1"/>
      <c r="AN452" s="1"/>
      <c r="AV452" s="1"/>
    </row>
    <row r="453" spans="19:48" s="20" customFormat="1" ht="22.5" customHeight="1" x14ac:dyDescent="0.25">
      <c r="S453" s="1"/>
      <c r="V453" s="133"/>
      <c r="W453" s="133"/>
      <c r="AF453" s="1"/>
      <c r="AN453" s="1"/>
      <c r="AV453" s="1"/>
    </row>
    <row r="454" spans="19:48" s="20" customFormat="1" ht="22.5" customHeight="1" x14ac:dyDescent="0.25">
      <c r="S454" s="1"/>
      <c r="V454" s="133"/>
      <c r="W454" s="133"/>
      <c r="AF454" s="1"/>
      <c r="AN454" s="1"/>
      <c r="AV454" s="1"/>
    </row>
    <row r="455" spans="19:48" s="20" customFormat="1" ht="22.5" customHeight="1" x14ac:dyDescent="0.25">
      <c r="S455" s="1"/>
      <c r="V455" s="133"/>
      <c r="W455" s="133"/>
      <c r="AF455" s="1"/>
      <c r="AN455" s="1"/>
      <c r="AV455" s="1"/>
    </row>
    <row r="456" spans="19:48" s="20" customFormat="1" ht="22.5" customHeight="1" x14ac:dyDescent="0.25">
      <c r="S456" s="1"/>
      <c r="V456" s="133"/>
      <c r="W456" s="133"/>
      <c r="AF456" s="1"/>
      <c r="AN456" s="1"/>
      <c r="AV456" s="1"/>
    </row>
    <row r="457" spans="19:48" s="20" customFormat="1" ht="22.5" customHeight="1" x14ac:dyDescent="0.25">
      <c r="S457" s="1"/>
      <c r="V457" s="133"/>
      <c r="W457" s="133"/>
      <c r="AF457" s="1"/>
      <c r="AN457" s="1"/>
      <c r="AV457" s="1"/>
    </row>
    <row r="458" spans="19:48" s="20" customFormat="1" ht="22.5" customHeight="1" x14ac:dyDescent="0.25">
      <c r="S458" s="1"/>
      <c r="V458" s="133"/>
      <c r="W458" s="133"/>
      <c r="AF458" s="1"/>
      <c r="AN458" s="1"/>
      <c r="AV458" s="1"/>
    </row>
    <row r="459" spans="19:48" s="20" customFormat="1" ht="22.5" customHeight="1" x14ac:dyDescent="0.25">
      <c r="S459" s="1"/>
      <c r="V459" s="133"/>
      <c r="W459" s="133"/>
      <c r="AF459" s="1"/>
      <c r="AN459" s="1"/>
      <c r="AV459" s="1"/>
    </row>
    <row r="460" spans="19:48" s="20" customFormat="1" ht="22.5" customHeight="1" x14ac:dyDescent="0.25">
      <c r="S460" s="1"/>
      <c r="V460" s="133"/>
      <c r="W460" s="133"/>
      <c r="AF460" s="1"/>
      <c r="AN460" s="1"/>
      <c r="AV460" s="1"/>
    </row>
    <row r="461" spans="19:48" s="20" customFormat="1" ht="22.5" customHeight="1" x14ac:dyDescent="0.25">
      <c r="S461" s="1"/>
      <c r="V461" s="133"/>
      <c r="W461" s="133"/>
      <c r="AF461" s="1"/>
      <c r="AN461" s="1"/>
      <c r="AV461" s="1"/>
    </row>
    <row r="462" spans="19:48" s="20" customFormat="1" ht="22.5" customHeight="1" x14ac:dyDescent="0.25">
      <c r="S462" s="1"/>
      <c r="V462" s="133"/>
      <c r="W462" s="133"/>
      <c r="AF462" s="1"/>
      <c r="AN462" s="1"/>
      <c r="AV462" s="1"/>
    </row>
    <row r="463" spans="19:48" s="20" customFormat="1" ht="22.5" customHeight="1" x14ac:dyDescent="0.25">
      <c r="S463" s="1"/>
      <c r="V463" s="133"/>
      <c r="W463" s="133"/>
      <c r="AF463" s="1"/>
      <c r="AN463" s="1"/>
      <c r="AV463" s="1"/>
    </row>
    <row r="464" spans="19:48" s="20" customFormat="1" ht="22.5" customHeight="1" x14ac:dyDescent="0.25">
      <c r="S464" s="1"/>
      <c r="V464" s="133"/>
      <c r="W464" s="133"/>
      <c r="AF464" s="1"/>
      <c r="AN464" s="1"/>
      <c r="AV464" s="1"/>
    </row>
    <row r="465" spans="19:48" s="20" customFormat="1" ht="22.5" customHeight="1" x14ac:dyDescent="0.25">
      <c r="S465" s="1"/>
      <c r="V465" s="133"/>
      <c r="W465" s="133"/>
      <c r="AF465" s="1"/>
      <c r="AN465" s="1"/>
      <c r="AV465" s="1"/>
    </row>
    <row r="466" spans="19:48" s="20" customFormat="1" ht="22.5" customHeight="1" x14ac:dyDescent="0.25">
      <c r="S466" s="1"/>
      <c r="V466" s="133"/>
      <c r="W466" s="133"/>
      <c r="AF466" s="1"/>
      <c r="AN466" s="1"/>
      <c r="AV466" s="1"/>
    </row>
    <row r="467" spans="19:48" s="20" customFormat="1" ht="22.5" customHeight="1" x14ac:dyDescent="0.25">
      <c r="S467" s="1"/>
      <c r="V467" s="133"/>
      <c r="W467" s="133"/>
      <c r="AF467" s="1"/>
      <c r="AN467" s="1"/>
      <c r="AV467" s="1"/>
    </row>
    <row r="468" spans="19:48" s="20" customFormat="1" ht="22.5" customHeight="1" x14ac:dyDescent="0.25">
      <c r="S468" s="1"/>
      <c r="V468" s="133"/>
      <c r="W468" s="133"/>
      <c r="AF468" s="1"/>
      <c r="AN468" s="1"/>
      <c r="AV468" s="1"/>
    </row>
    <row r="469" spans="19:48" s="20" customFormat="1" ht="22.5" customHeight="1" x14ac:dyDescent="0.25">
      <c r="S469" s="1"/>
      <c r="V469" s="133"/>
      <c r="W469" s="133"/>
      <c r="AF469" s="1"/>
      <c r="AN469" s="1"/>
      <c r="AV469" s="1"/>
    </row>
    <row r="470" spans="19:48" s="20" customFormat="1" ht="22.5" customHeight="1" x14ac:dyDescent="0.25">
      <c r="S470" s="1"/>
      <c r="V470" s="133"/>
      <c r="W470" s="133"/>
      <c r="AF470" s="1"/>
      <c r="AN470" s="1"/>
      <c r="AV470" s="1"/>
    </row>
    <row r="471" spans="19:48" s="20" customFormat="1" ht="22.5" customHeight="1" x14ac:dyDescent="0.25">
      <c r="S471" s="1"/>
      <c r="V471" s="133"/>
      <c r="W471" s="133"/>
      <c r="AF471" s="1"/>
      <c r="AN471" s="1"/>
      <c r="AV471" s="1"/>
    </row>
    <row r="472" spans="19:48" s="20" customFormat="1" ht="22.5" customHeight="1" x14ac:dyDescent="0.25">
      <c r="S472" s="1"/>
      <c r="V472" s="133"/>
      <c r="W472" s="133"/>
      <c r="AF472" s="1"/>
      <c r="AN472" s="1"/>
      <c r="AV472" s="1"/>
    </row>
    <row r="473" spans="19:48" s="20" customFormat="1" ht="22.5" customHeight="1" x14ac:dyDescent="0.25">
      <c r="S473" s="1"/>
      <c r="V473" s="133"/>
      <c r="W473" s="133"/>
      <c r="AF473" s="1"/>
      <c r="AN473" s="1"/>
      <c r="AV473" s="1"/>
    </row>
    <row r="474" spans="19:48" s="20" customFormat="1" ht="22.5" customHeight="1" x14ac:dyDescent="0.25">
      <c r="S474" s="1"/>
      <c r="V474" s="133"/>
      <c r="W474" s="133"/>
      <c r="AF474" s="1"/>
      <c r="AN474" s="1"/>
      <c r="AV474" s="1"/>
    </row>
    <row r="475" spans="19:48" s="20" customFormat="1" ht="22.5" customHeight="1" x14ac:dyDescent="0.25">
      <c r="S475" s="1"/>
      <c r="V475" s="133"/>
      <c r="W475" s="133"/>
      <c r="AF475" s="1"/>
      <c r="AN475" s="1"/>
      <c r="AV475" s="1"/>
    </row>
    <row r="476" spans="19:48" s="20" customFormat="1" ht="22.5" customHeight="1" x14ac:dyDescent="0.25">
      <c r="S476" s="1"/>
      <c r="V476" s="133"/>
      <c r="W476" s="133"/>
      <c r="AF476" s="1"/>
      <c r="AN476" s="1"/>
      <c r="AV476" s="1"/>
    </row>
    <row r="477" spans="19:48" s="20" customFormat="1" ht="22.5" customHeight="1" x14ac:dyDescent="0.25">
      <c r="S477" s="1"/>
      <c r="V477" s="133"/>
      <c r="W477" s="133"/>
      <c r="AF477" s="1"/>
      <c r="AN477" s="1"/>
      <c r="AV477" s="1"/>
    </row>
    <row r="478" spans="19:48" s="20" customFormat="1" ht="22.5" customHeight="1" x14ac:dyDescent="0.25">
      <c r="S478" s="1"/>
      <c r="V478" s="133"/>
      <c r="W478" s="133"/>
      <c r="AF478" s="1"/>
      <c r="AN478" s="1"/>
      <c r="AV478" s="1"/>
    </row>
    <row r="479" spans="19:48" s="20" customFormat="1" ht="22.5" customHeight="1" x14ac:dyDescent="0.25">
      <c r="S479" s="1"/>
      <c r="V479" s="133"/>
      <c r="W479" s="133"/>
      <c r="AF479" s="1"/>
      <c r="AN479" s="1"/>
      <c r="AV479" s="1"/>
    </row>
    <row r="480" spans="19:48" s="20" customFormat="1" ht="22.5" customHeight="1" x14ac:dyDescent="0.25">
      <c r="S480" s="1"/>
      <c r="V480" s="133"/>
      <c r="W480" s="133"/>
      <c r="AF480" s="1"/>
      <c r="AN480" s="1"/>
      <c r="AV480" s="1"/>
    </row>
    <row r="481" spans="19:48" s="20" customFormat="1" ht="22.5" customHeight="1" x14ac:dyDescent="0.25">
      <c r="S481" s="1"/>
      <c r="V481" s="133"/>
      <c r="W481" s="133"/>
      <c r="AF481" s="1"/>
      <c r="AN481" s="1"/>
      <c r="AV481" s="1"/>
    </row>
    <row r="482" spans="19:48" s="20" customFormat="1" ht="22.5" customHeight="1" x14ac:dyDescent="0.25">
      <c r="S482" s="1"/>
      <c r="V482" s="133"/>
      <c r="W482" s="133"/>
      <c r="AF482" s="1"/>
      <c r="AN482" s="1"/>
      <c r="AV482" s="1"/>
    </row>
    <row r="483" spans="19:48" s="20" customFormat="1" ht="22.5" customHeight="1" x14ac:dyDescent="0.25">
      <c r="S483" s="1"/>
      <c r="V483" s="133"/>
      <c r="W483" s="133"/>
      <c r="AF483" s="1"/>
      <c r="AN483" s="1"/>
      <c r="AV483" s="1"/>
    </row>
    <row r="484" spans="19:48" s="20" customFormat="1" ht="22.5" customHeight="1" x14ac:dyDescent="0.25">
      <c r="S484" s="1"/>
      <c r="V484" s="133"/>
      <c r="W484" s="133"/>
      <c r="AF484" s="1"/>
      <c r="AN484" s="1"/>
      <c r="AV484" s="1"/>
    </row>
    <row r="485" spans="19:48" s="20" customFormat="1" ht="22.5" customHeight="1" x14ac:dyDescent="0.25">
      <c r="S485" s="1"/>
      <c r="V485" s="133"/>
      <c r="W485" s="133"/>
      <c r="AF485" s="1"/>
      <c r="AN485" s="1"/>
      <c r="AV485" s="1"/>
    </row>
    <row r="486" spans="19:48" s="20" customFormat="1" ht="22.5" customHeight="1" x14ac:dyDescent="0.25">
      <c r="S486" s="1"/>
      <c r="V486" s="133"/>
      <c r="W486" s="133"/>
      <c r="AF486" s="1"/>
      <c r="AN486" s="1"/>
      <c r="AV486" s="1"/>
    </row>
    <row r="487" spans="19:48" s="20" customFormat="1" ht="22.5" customHeight="1" x14ac:dyDescent="0.25">
      <c r="S487" s="1"/>
      <c r="V487" s="133"/>
      <c r="W487" s="133"/>
      <c r="AF487" s="1"/>
      <c r="AN487" s="1"/>
      <c r="AV487" s="1"/>
    </row>
    <row r="488" spans="19:48" s="20" customFormat="1" ht="22.5" customHeight="1" x14ac:dyDescent="0.25">
      <c r="S488" s="1"/>
      <c r="V488" s="133"/>
      <c r="W488" s="133"/>
      <c r="AF488" s="1"/>
      <c r="AN488" s="1"/>
      <c r="AV488" s="1"/>
    </row>
    <row r="489" spans="19:48" s="20" customFormat="1" ht="22.5" customHeight="1" x14ac:dyDescent="0.25">
      <c r="S489" s="1"/>
      <c r="V489" s="133"/>
      <c r="W489" s="133"/>
      <c r="AF489" s="1"/>
      <c r="AN489" s="1"/>
      <c r="AV489" s="1"/>
    </row>
    <row r="490" spans="19:48" s="20" customFormat="1" ht="22.5" customHeight="1" x14ac:dyDescent="0.25">
      <c r="S490" s="1"/>
      <c r="V490" s="133"/>
      <c r="W490" s="133"/>
      <c r="AF490" s="1"/>
      <c r="AN490" s="1"/>
      <c r="AV490" s="1"/>
    </row>
    <row r="491" spans="19:48" s="20" customFormat="1" ht="22.5" customHeight="1" x14ac:dyDescent="0.25">
      <c r="S491" s="1"/>
      <c r="V491" s="133"/>
      <c r="W491" s="133"/>
      <c r="AF491" s="1"/>
      <c r="AN491" s="1"/>
      <c r="AV491" s="1"/>
    </row>
    <row r="492" spans="19:48" s="20" customFormat="1" ht="22.5" customHeight="1" x14ac:dyDescent="0.25">
      <c r="S492" s="1"/>
      <c r="V492" s="133"/>
      <c r="W492" s="133"/>
      <c r="AF492" s="1"/>
      <c r="AN492" s="1"/>
      <c r="AV492" s="1"/>
    </row>
    <row r="493" spans="19:48" s="20" customFormat="1" ht="22.5" customHeight="1" x14ac:dyDescent="0.25">
      <c r="S493" s="1"/>
      <c r="V493" s="133"/>
      <c r="W493" s="133"/>
      <c r="AF493" s="1"/>
      <c r="AN493" s="1"/>
      <c r="AV493" s="1"/>
    </row>
    <row r="494" spans="19:48" s="20" customFormat="1" ht="22.5" customHeight="1" x14ac:dyDescent="0.25">
      <c r="S494" s="1"/>
      <c r="V494" s="133"/>
      <c r="W494" s="133"/>
      <c r="AF494" s="1"/>
      <c r="AN494" s="1"/>
      <c r="AV494" s="1"/>
    </row>
    <row r="495" spans="19:48" s="20" customFormat="1" ht="22.5" customHeight="1" x14ac:dyDescent="0.25">
      <c r="S495" s="1"/>
      <c r="V495" s="133"/>
      <c r="W495" s="133"/>
      <c r="AF495" s="1"/>
      <c r="AN495" s="1"/>
      <c r="AV495" s="1"/>
    </row>
    <row r="496" spans="19:48" s="20" customFormat="1" ht="22.5" customHeight="1" x14ac:dyDescent="0.25">
      <c r="S496" s="1"/>
      <c r="V496" s="133"/>
      <c r="W496" s="133"/>
      <c r="AF496" s="1"/>
      <c r="AN496" s="1"/>
      <c r="AV496" s="1"/>
    </row>
    <row r="497" spans="19:48" s="20" customFormat="1" ht="22.5" customHeight="1" x14ac:dyDescent="0.25">
      <c r="S497" s="1"/>
      <c r="V497" s="133"/>
      <c r="W497" s="133"/>
      <c r="AF497" s="1"/>
      <c r="AN497" s="1"/>
      <c r="AV497" s="1"/>
    </row>
    <row r="498" spans="19:48" s="20" customFormat="1" ht="22.5" customHeight="1" x14ac:dyDescent="0.25">
      <c r="S498" s="1"/>
      <c r="V498" s="133"/>
      <c r="W498" s="133"/>
      <c r="AF498" s="1"/>
      <c r="AN498" s="1"/>
      <c r="AV498" s="1"/>
    </row>
    <row r="499" spans="19:48" s="20" customFormat="1" ht="22.5" customHeight="1" x14ac:dyDescent="0.25">
      <c r="S499" s="1"/>
      <c r="V499" s="133"/>
      <c r="W499" s="133"/>
      <c r="AF499" s="1"/>
      <c r="AN499" s="1"/>
      <c r="AV499" s="1"/>
    </row>
    <row r="500" spans="19:48" s="20" customFormat="1" ht="22.5" customHeight="1" x14ac:dyDescent="0.25">
      <c r="S500" s="1"/>
      <c r="V500" s="133"/>
      <c r="W500" s="133"/>
      <c r="AF500" s="1"/>
      <c r="AN500" s="1"/>
      <c r="AV500" s="1"/>
    </row>
    <row r="501" spans="19:48" s="20" customFormat="1" ht="22.5" customHeight="1" x14ac:dyDescent="0.25">
      <c r="S501" s="1"/>
      <c r="V501" s="133"/>
      <c r="W501" s="133"/>
      <c r="AF501" s="1"/>
      <c r="AN501" s="1"/>
      <c r="AV501" s="1"/>
    </row>
    <row r="502" spans="19:48" s="20" customFormat="1" ht="22.5" customHeight="1" x14ac:dyDescent="0.25">
      <c r="S502" s="1"/>
      <c r="V502" s="133"/>
      <c r="W502" s="133"/>
      <c r="AF502" s="1"/>
      <c r="AN502" s="1"/>
      <c r="AV502" s="1"/>
    </row>
    <row r="503" spans="19:48" s="20" customFormat="1" ht="22.5" customHeight="1" x14ac:dyDescent="0.25">
      <c r="S503" s="1"/>
      <c r="V503" s="133"/>
      <c r="W503" s="133"/>
      <c r="AF503" s="1"/>
      <c r="AN503" s="1"/>
      <c r="AV503" s="1"/>
    </row>
    <row r="504" spans="19:48" s="20" customFormat="1" ht="22.5" customHeight="1" x14ac:dyDescent="0.25">
      <c r="S504" s="1"/>
      <c r="V504" s="133"/>
      <c r="W504" s="133"/>
      <c r="AF504" s="1"/>
      <c r="AN504" s="1"/>
      <c r="AV504" s="1"/>
    </row>
    <row r="505" spans="19:48" s="20" customFormat="1" ht="22.5" customHeight="1" x14ac:dyDescent="0.25">
      <c r="S505" s="1"/>
      <c r="V505" s="133"/>
      <c r="W505" s="133"/>
      <c r="AF505" s="1"/>
      <c r="AN505" s="1"/>
      <c r="AV505" s="1"/>
    </row>
    <row r="506" spans="19:48" s="20" customFormat="1" ht="22.5" customHeight="1" x14ac:dyDescent="0.25">
      <c r="S506" s="1"/>
      <c r="V506" s="133"/>
      <c r="W506" s="133"/>
      <c r="AF506" s="1"/>
      <c r="AN506" s="1"/>
      <c r="AV506" s="1"/>
    </row>
    <row r="507" spans="19:48" s="20" customFormat="1" ht="22.5" customHeight="1" x14ac:dyDescent="0.25">
      <c r="S507" s="1"/>
      <c r="V507" s="133"/>
      <c r="W507" s="133"/>
      <c r="AF507" s="1"/>
      <c r="AN507" s="1"/>
      <c r="AV507" s="1"/>
    </row>
    <row r="508" spans="19:48" s="20" customFormat="1" ht="22.5" customHeight="1" x14ac:dyDescent="0.25">
      <c r="S508" s="1"/>
      <c r="V508" s="133"/>
      <c r="W508" s="133"/>
      <c r="AF508" s="1"/>
      <c r="AN508" s="1"/>
      <c r="AV508" s="1"/>
    </row>
    <row r="509" spans="19:48" s="20" customFormat="1" ht="22.5" customHeight="1" x14ac:dyDescent="0.25">
      <c r="S509" s="1"/>
      <c r="V509" s="133"/>
      <c r="W509" s="133"/>
      <c r="AF509" s="1"/>
      <c r="AN509" s="1"/>
      <c r="AV509" s="1"/>
    </row>
    <row r="510" spans="19:48" s="20" customFormat="1" ht="22.5" customHeight="1" x14ac:dyDescent="0.25">
      <c r="S510" s="1"/>
      <c r="V510" s="133"/>
      <c r="W510" s="133"/>
      <c r="AF510" s="1"/>
      <c r="AN510" s="1"/>
      <c r="AV510" s="1"/>
    </row>
    <row r="511" spans="19:48" s="20" customFormat="1" ht="22.5" customHeight="1" x14ac:dyDescent="0.25">
      <c r="S511" s="1"/>
      <c r="V511" s="133"/>
      <c r="W511" s="133"/>
      <c r="AF511" s="1"/>
      <c r="AN511" s="1"/>
      <c r="AV511" s="1"/>
    </row>
    <row r="512" spans="19:48" s="20" customFormat="1" ht="22.5" customHeight="1" x14ac:dyDescent="0.25">
      <c r="S512" s="1"/>
      <c r="V512" s="133"/>
      <c r="W512" s="133"/>
      <c r="AF512" s="1"/>
      <c r="AN512" s="1"/>
      <c r="AV512" s="1"/>
    </row>
    <row r="513" spans="19:48" s="20" customFormat="1" ht="22.5" customHeight="1" x14ac:dyDescent="0.25">
      <c r="S513" s="1"/>
      <c r="V513" s="133"/>
      <c r="W513" s="133"/>
      <c r="AF513" s="1"/>
      <c r="AN513" s="1"/>
      <c r="AV513" s="1"/>
    </row>
    <row r="514" spans="19:48" s="20" customFormat="1" ht="22.5" customHeight="1" x14ac:dyDescent="0.25">
      <c r="S514" s="1"/>
      <c r="V514" s="133"/>
      <c r="W514" s="133"/>
      <c r="AF514" s="1"/>
      <c r="AN514" s="1"/>
      <c r="AV514" s="1"/>
    </row>
    <row r="515" spans="19:48" s="20" customFormat="1" ht="22.5" customHeight="1" x14ac:dyDescent="0.25">
      <c r="S515" s="1"/>
      <c r="V515" s="133"/>
      <c r="W515" s="133"/>
      <c r="AF515" s="1"/>
      <c r="AN515" s="1"/>
      <c r="AV515" s="1"/>
    </row>
    <row r="516" spans="19:48" s="20" customFormat="1" ht="22.5" customHeight="1" x14ac:dyDescent="0.25">
      <c r="S516" s="1"/>
      <c r="V516" s="133"/>
      <c r="W516" s="133"/>
      <c r="AF516" s="1"/>
      <c r="AN516" s="1"/>
      <c r="AV516" s="1"/>
    </row>
    <row r="517" spans="19:48" s="20" customFormat="1" ht="22.5" customHeight="1" x14ac:dyDescent="0.25">
      <c r="S517" s="1"/>
      <c r="V517" s="133"/>
      <c r="W517" s="133"/>
      <c r="AF517" s="1"/>
      <c r="AN517" s="1"/>
      <c r="AV517" s="1"/>
    </row>
    <row r="518" spans="19:48" s="20" customFormat="1" ht="22.5" customHeight="1" x14ac:dyDescent="0.25">
      <c r="S518" s="1"/>
      <c r="V518" s="133"/>
      <c r="W518" s="133"/>
      <c r="AF518" s="1"/>
      <c r="AN518" s="1"/>
      <c r="AV518" s="1"/>
    </row>
    <row r="519" spans="19:48" s="20" customFormat="1" ht="22.5" customHeight="1" x14ac:dyDescent="0.25">
      <c r="S519" s="1"/>
      <c r="V519" s="133"/>
      <c r="W519" s="133"/>
      <c r="AF519" s="1"/>
      <c r="AN519" s="1"/>
      <c r="AV519" s="1"/>
    </row>
    <row r="520" spans="19:48" s="20" customFormat="1" ht="22.5" customHeight="1" x14ac:dyDescent="0.25">
      <c r="S520" s="1"/>
      <c r="V520" s="133"/>
      <c r="W520" s="133"/>
      <c r="AF520" s="1"/>
      <c r="AN520" s="1"/>
      <c r="AV520" s="1"/>
    </row>
    <row r="521" spans="19:48" s="20" customFormat="1" ht="22.5" customHeight="1" x14ac:dyDescent="0.25">
      <c r="S521" s="1"/>
      <c r="V521" s="133"/>
      <c r="W521" s="133"/>
      <c r="AF521" s="1"/>
      <c r="AN521" s="1"/>
      <c r="AV521" s="1"/>
    </row>
    <row r="522" spans="19:48" s="20" customFormat="1" ht="22.5" customHeight="1" x14ac:dyDescent="0.25">
      <c r="S522" s="1"/>
      <c r="V522" s="133"/>
      <c r="W522" s="133"/>
      <c r="AF522" s="1"/>
      <c r="AN522" s="1"/>
      <c r="AV522" s="1"/>
    </row>
    <row r="523" spans="19:48" s="20" customFormat="1" ht="22.5" customHeight="1" x14ac:dyDescent="0.25">
      <c r="S523" s="1"/>
      <c r="V523" s="133"/>
      <c r="W523" s="133"/>
      <c r="AF523" s="1"/>
      <c r="AN523" s="1"/>
      <c r="AV523" s="1"/>
    </row>
    <row r="524" spans="19:48" s="20" customFormat="1" ht="22.5" customHeight="1" x14ac:dyDescent="0.25">
      <c r="S524" s="1"/>
      <c r="V524" s="133"/>
      <c r="W524" s="133"/>
      <c r="AF524" s="1"/>
      <c r="AN524" s="1"/>
      <c r="AV524" s="1"/>
    </row>
    <row r="525" spans="19:48" s="20" customFormat="1" ht="22.5" customHeight="1" x14ac:dyDescent="0.25">
      <c r="S525" s="1"/>
      <c r="V525" s="133"/>
      <c r="W525" s="133"/>
      <c r="AF525" s="1"/>
      <c r="AN525" s="1"/>
      <c r="AV525" s="1"/>
    </row>
    <row r="526" spans="19:48" s="20" customFormat="1" ht="22.5" customHeight="1" x14ac:dyDescent="0.25">
      <c r="S526" s="1"/>
      <c r="V526" s="133"/>
      <c r="W526" s="133"/>
      <c r="AF526" s="1"/>
      <c r="AN526" s="1"/>
      <c r="AV526" s="1"/>
    </row>
    <row r="527" spans="19:48" s="20" customFormat="1" ht="22.5" customHeight="1" x14ac:dyDescent="0.25">
      <c r="S527" s="1"/>
      <c r="V527" s="133"/>
      <c r="W527" s="133"/>
      <c r="AF527" s="1"/>
      <c r="AN527" s="1"/>
      <c r="AV527" s="1"/>
    </row>
    <row r="528" spans="19:48" s="20" customFormat="1" ht="22.5" customHeight="1" x14ac:dyDescent="0.25">
      <c r="S528" s="1"/>
      <c r="V528" s="133"/>
      <c r="W528" s="133"/>
      <c r="AF528" s="1"/>
      <c r="AN528" s="1"/>
      <c r="AV528" s="1"/>
    </row>
    <row r="529" spans="19:48" s="20" customFormat="1" ht="22.5" customHeight="1" x14ac:dyDescent="0.25">
      <c r="S529" s="1"/>
      <c r="V529" s="133"/>
      <c r="W529" s="133"/>
      <c r="AF529" s="1"/>
      <c r="AN529" s="1"/>
      <c r="AV529" s="1"/>
    </row>
    <row r="530" spans="19:48" s="20" customFormat="1" ht="22.5" customHeight="1" x14ac:dyDescent="0.25">
      <c r="S530" s="1"/>
      <c r="V530" s="133"/>
      <c r="W530" s="133"/>
      <c r="AF530" s="1"/>
      <c r="AN530" s="1"/>
      <c r="AV530" s="1"/>
    </row>
    <row r="531" spans="19:48" s="20" customFormat="1" ht="22.5" customHeight="1" x14ac:dyDescent="0.25">
      <c r="S531" s="1"/>
      <c r="V531" s="133"/>
      <c r="W531" s="133"/>
      <c r="AF531" s="1"/>
      <c r="AN531" s="1"/>
      <c r="AV531" s="1"/>
    </row>
    <row r="532" spans="19:48" s="20" customFormat="1" ht="22.5" customHeight="1" x14ac:dyDescent="0.25">
      <c r="S532" s="1"/>
      <c r="V532" s="133"/>
      <c r="W532" s="133"/>
      <c r="AF532" s="1"/>
      <c r="AN532" s="1"/>
      <c r="AV532" s="1"/>
    </row>
    <row r="533" spans="19:48" s="20" customFormat="1" ht="22.5" customHeight="1" x14ac:dyDescent="0.25">
      <c r="S533" s="1"/>
      <c r="V533" s="133"/>
      <c r="W533" s="133"/>
      <c r="AF533" s="1"/>
      <c r="AN533" s="1"/>
      <c r="AV533" s="1"/>
    </row>
    <row r="534" spans="19:48" s="20" customFormat="1" ht="22.5" customHeight="1" x14ac:dyDescent="0.25">
      <c r="S534" s="1"/>
      <c r="V534" s="133"/>
      <c r="W534" s="133"/>
      <c r="AF534" s="1"/>
      <c r="AN534" s="1"/>
      <c r="AV534" s="1"/>
    </row>
    <row r="535" spans="19:48" s="20" customFormat="1" ht="22.5" customHeight="1" x14ac:dyDescent="0.25">
      <c r="S535" s="1"/>
      <c r="V535" s="133"/>
      <c r="W535" s="133"/>
      <c r="AF535" s="1"/>
      <c r="AN535" s="1"/>
      <c r="AV535" s="1"/>
    </row>
    <row r="536" spans="19:48" s="20" customFormat="1" ht="22.5" customHeight="1" x14ac:dyDescent="0.25">
      <c r="S536" s="1"/>
      <c r="V536" s="133"/>
      <c r="W536" s="133"/>
      <c r="AF536" s="1"/>
      <c r="AN536" s="1"/>
      <c r="AV536" s="1"/>
    </row>
    <row r="537" spans="19:48" s="20" customFormat="1" ht="22.5" customHeight="1" x14ac:dyDescent="0.25">
      <c r="S537" s="1"/>
      <c r="V537" s="133"/>
      <c r="W537" s="133"/>
      <c r="AF537" s="1"/>
      <c r="AN537" s="1"/>
      <c r="AV537" s="1"/>
    </row>
    <row r="538" spans="19:48" s="20" customFormat="1" ht="22.5" customHeight="1" x14ac:dyDescent="0.25">
      <c r="S538" s="1"/>
      <c r="V538" s="133"/>
      <c r="W538" s="133"/>
      <c r="AF538" s="1"/>
      <c r="AN538" s="1"/>
      <c r="AV538" s="1"/>
    </row>
    <row r="539" spans="19:48" s="20" customFormat="1" ht="22.5" customHeight="1" x14ac:dyDescent="0.25">
      <c r="S539" s="1"/>
      <c r="V539" s="133"/>
      <c r="W539" s="133"/>
      <c r="AF539" s="1"/>
      <c r="AN539" s="1"/>
      <c r="AV539" s="1"/>
    </row>
    <row r="540" spans="19:48" s="20" customFormat="1" ht="22.5" customHeight="1" x14ac:dyDescent="0.25">
      <c r="S540" s="1"/>
      <c r="V540" s="133"/>
      <c r="W540" s="133"/>
      <c r="AF540" s="1"/>
      <c r="AN540" s="1"/>
      <c r="AV540" s="1"/>
    </row>
    <row r="541" spans="19:48" s="20" customFormat="1" ht="22.5" customHeight="1" x14ac:dyDescent="0.25">
      <c r="S541" s="1"/>
      <c r="V541" s="133"/>
      <c r="W541" s="133"/>
      <c r="AF541" s="1"/>
      <c r="AN541" s="1"/>
      <c r="AV541" s="1"/>
    </row>
    <row r="542" spans="19:48" s="20" customFormat="1" ht="22.5" customHeight="1" x14ac:dyDescent="0.25">
      <c r="S542" s="1"/>
      <c r="V542" s="133"/>
      <c r="W542" s="133"/>
      <c r="AF542" s="1"/>
      <c r="AN542" s="1"/>
      <c r="AV542" s="1"/>
    </row>
    <row r="543" spans="19:48" s="20" customFormat="1" ht="22.5" customHeight="1" x14ac:dyDescent="0.25">
      <c r="S543" s="1"/>
      <c r="V543" s="133"/>
      <c r="W543" s="133"/>
      <c r="AF543" s="1"/>
      <c r="AN543" s="1"/>
      <c r="AV543" s="1"/>
    </row>
    <row r="544" spans="19:48" s="20" customFormat="1" ht="22.5" customHeight="1" x14ac:dyDescent="0.25">
      <c r="S544" s="1"/>
      <c r="V544" s="133"/>
      <c r="W544" s="133"/>
      <c r="AF544" s="1"/>
      <c r="AN544" s="1"/>
      <c r="AV544" s="1"/>
    </row>
    <row r="545" spans="19:48" s="20" customFormat="1" ht="22.5" customHeight="1" x14ac:dyDescent="0.25">
      <c r="S545" s="1"/>
      <c r="V545" s="133"/>
      <c r="W545" s="133"/>
      <c r="AF545" s="1"/>
      <c r="AN545" s="1"/>
      <c r="AV545" s="1"/>
    </row>
    <row r="546" spans="19:48" s="20" customFormat="1" ht="22.5" customHeight="1" x14ac:dyDescent="0.25">
      <c r="S546" s="1"/>
      <c r="V546" s="133"/>
      <c r="W546" s="133"/>
      <c r="AF546" s="1"/>
      <c r="AN546" s="1"/>
      <c r="AV546" s="1"/>
    </row>
    <row r="547" spans="19:48" s="20" customFormat="1" ht="22.5" customHeight="1" x14ac:dyDescent="0.25">
      <c r="S547" s="1"/>
      <c r="V547" s="133"/>
      <c r="W547" s="133"/>
      <c r="AF547" s="1"/>
      <c r="AN547" s="1"/>
      <c r="AV547" s="1"/>
    </row>
    <row r="548" spans="19:48" s="20" customFormat="1" ht="22.5" customHeight="1" x14ac:dyDescent="0.25">
      <c r="S548" s="1"/>
      <c r="V548" s="133"/>
      <c r="W548" s="133"/>
      <c r="AF548" s="1"/>
      <c r="AN548" s="1"/>
      <c r="AV548" s="1"/>
    </row>
    <row r="549" spans="19:48" s="20" customFormat="1" ht="22.5" customHeight="1" x14ac:dyDescent="0.25">
      <c r="S549" s="1"/>
      <c r="V549" s="133"/>
      <c r="W549" s="133"/>
      <c r="AF549" s="1"/>
      <c r="AN549" s="1"/>
      <c r="AV549" s="1"/>
    </row>
    <row r="550" spans="19:48" s="20" customFormat="1" ht="22.5" customHeight="1" x14ac:dyDescent="0.25">
      <c r="S550" s="1"/>
      <c r="V550" s="133"/>
      <c r="W550" s="133"/>
      <c r="AF550" s="1"/>
      <c r="AN550" s="1"/>
      <c r="AV550" s="1"/>
    </row>
    <row r="551" spans="19:48" s="20" customFormat="1" ht="22.5" customHeight="1" x14ac:dyDescent="0.25">
      <c r="S551" s="1"/>
      <c r="V551" s="133"/>
      <c r="W551" s="133"/>
      <c r="AF551" s="1"/>
      <c r="AN551" s="1"/>
      <c r="AV551" s="1"/>
    </row>
    <row r="552" spans="19:48" s="20" customFormat="1" ht="22.5" customHeight="1" x14ac:dyDescent="0.25">
      <c r="S552" s="1"/>
      <c r="V552" s="133"/>
      <c r="W552" s="133"/>
      <c r="AF552" s="1"/>
      <c r="AN552" s="1"/>
      <c r="AV552" s="1"/>
    </row>
    <row r="553" spans="19:48" s="20" customFormat="1" ht="22.5" customHeight="1" x14ac:dyDescent="0.25">
      <c r="S553" s="1"/>
      <c r="V553" s="133"/>
      <c r="W553" s="133"/>
      <c r="AF553" s="1"/>
      <c r="AN553" s="1"/>
      <c r="AV553" s="1"/>
    </row>
    <row r="554" spans="19:48" s="20" customFormat="1" ht="22.5" customHeight="1" x14ac:dyDescent="0.25">
      <c r="S554" s="1"/>
      <c r="V554" s="133"/>
      <c r="W554" s="133"/>
      <c r="AF554" s="1"/>
      <c r="AN554" s="1"/>
      <c r="AV554" s="1"/>
    </row>
    <row r="555" spans="19:48" s="20" customFormat="1" ht="22.5" customHeight="1" x14ac:dyDescent="0.25">
      <c r="S555" s="1"/>
      <c r="V555" s="133"/>
      <c r="W555" s="133"/>
      <c r="AF555" s="1"/>
      <c r="AN555" s="1"/>
      <c r="AV555" s="1"/>
    </row>
    <row r="556" spans="19:48" s="20" customFormat="1" ht="22.5" customHeight="1" x14ac:dyDescent="0.25">
      <c r="S556" s="1"/>
      <c r="V556" s="133"/>
      <c r="W556" s="133"/>
      <c r="AF556" s="1"/>
      <c r="AN556" s="1"/>
      <c r="AV556" s="1"/>
    </row>
    <row r="557" spans="19:48" s="20" customFormat="1" ht="22.5" customHeight="1" x14ac:dyDescent="0.25">
      <c r="S557" s="1"/>
      <c r="V557" s="133"/>
      <c r="W557" s="133"/>
      <c r="AF557" s="1"/>
      <c r="AN557" s="1"/>
      <c r="AV557" s="1"/>
    </row>
    <row r="558" spans="19:48" s="20" customFormat="1" ht="22.5" customHeight="1" x14ac:dyDescent="0.25">
      <c r="S558" s="1"/>
      <c r="V558" s="133"/>
      <c r="W558" s="133"/>
      <c r="AF558" s="1"/>
      <c r="AN558" s="1"/>
      <c r="AV558" s="1"/>
    </row>
    <row r="559" spans="19:48" s="20" customFormat="1" ht="22.5" customHeight="1" x14ac:dyDescent="0.25">
      <c r="S559" s="1"/>
      <c r="V559" s="133"/>
      <c r="W559" s="133"/>
      <c r="AF559" s="1"/>
      <c r="AN559" s="1"/>
      <c r="AV559" s="1"/>
    </row>
    <row r="560" spans="19:48" s="20" customFormat="1" ht="22.5" customHeight="1" x14ac:dyDescent="0.25">
      <c r="S560" s="1"/>
      <c r="V560" s="133"/>
      <c r="W560" s="133"/>
      <c r="AF560" s="1"/>
      <c r="AN560" s="1"/>
      <c r="AV560" s="1"/>
    </row>
    <row r="561" spans="19:48" s="20" customFormat="1" ht="22.5" customHeight="1" x14ac:dyDescent="0.25">
      <c r="S561" s="1"/>
      <c r="V561" s="133"/>
      <c r="W561" s="133"/>
      <c r="AF561" s="1"/>
      <c r="AN561" s="1"/>
      <c r="AV561" s="1"/>
    </row>
    <row r="562" spans="19:48" s="20" customFormat="1" ht="22.5" customHeight="1" x14ac:dyDescent="0.25">
      <c r="S562" s="1"/>
      <c r="V562" s="133"/>
      <c r="W562" s="133"/>
      <c r="AF562" s="1"/>
      <c r="AN562" s="1"/>
      <c r="AV562" s="1"/>
    </row>
    <row r="563" spans="19:48" s="20" customFormat="1" ht="22.5" customHeight="1" x14ac:dyDescent="0.25">
      <c r="S563" s="1"/>
      <c r="V563" s="133"/>
      <c r="W563" s="133"/>
      <c r="AF563" s="1"/>
      <c r="AN563" s="1"/>
      <c r="AV563" s="1"/>
    </row>
    <row r="564" spans="19:48" s="20" customFormat="1" ht="22.5" customHeight="1" x14ac:dyDescent="0.25">
      <c r="S564" s="1"/>
      <c r="V564" s="133"/>
      <c r="W564" s="133"/>
      <c r="AF564" s="1"/>
      <c r="AN564" s="1"/>
      <c r="AV564" s="1"/>
    </row>
    <row r="565" spans="19:48" s="20" customFormat="1" ht="22.5" customHeight="1" x14ac:dyDescent="0.25">
      <c r="S565" s="1"/>
      <c r="V565" s="133"/>
      <c r="W565" s="133"/>
      <c r="AF565" s="1"/>
      <c r="AN565" s="1"/>
      <c r="AV565" s="1"/>
    </row>
    <row r="566" spans="19:48" s="20" customFormat="1" ht="22.5" customHeight="1" x14ac:dyDescent="0.25">
      <c r="S566" s="1"/>
      <c r="V566" s="133"/>
      <c r="W566" s="133"/>
      <c r="AF566" s="1"/>
      <c r="AN566" s="1"/>
      <c r="AV566" s="1"/>
    </row>
    <row r="567" spans="19:48" s="20" customFormat="1" ht="22.5" customHeight="1" x14ac:dyDescent="0.25">
      <c r="S567" s="1"/>
      <c r="V567" s="133"/>
      <c r="W567" s="133"/>
      <c r="AF567" s="1"/>
      <c r="AN567" s="1"/>
      <c r="AV567" s="1"/>
    </row>
    <row r="568" spans="19:48" s="20" customFormat="1" ht="22.5" customHeight="1" x14ac:dyDescent="0.25">
      <c r="S568" s="1"/>
      <c r="V568" s="133"/>
      <c r="W568" s="133"/>
      <c r="AF568" s="1"/>
      <c r="AN568" s="1"/>
      <c r="AV568" s="1"/>
    </row>
    <row r="569" spans="19:48" s="20" customFormat="1" ht="22.5" customHeight="1" x14ac:dyDescent="0.25">
      <c r="S569" s="1"/>
      <c r="V569" s="133"/>
      <c r="W569" s="133"/>
      <c r="AF569" s="1"/>
      <c r="AN569" s="1"/>
      <c r="AV569" s="1"/>
    </row>
    <row r="570" spans="19:48" s="20" customFormat="1" ht="22.5" customHeight="1" x14ac:dyDescent="0.25">
      <c r="S570" s="1"/>
      <c r="V570" s="133"/>
      <c r="W570" s="133"/>
      <c r="AF570" s="1"/>
      <c r="AN570" s="1"/>
      <c r="AV570" s="1"/>
    </row>
    <row r="571" spans="19:48" s="20" customFormat="1" ht="22.5" customHeight="1" x14ac:dyDescent="0.25">
      <c r="S571" s="1"/>
      <c r="V571" s="133"/>
      <c r="W571" s="133"/>
      <c r="AF571" s="1"/>
      <c r="AN571" s="1"/>
      <c r="AV571" s="1"/>
    </row>
    <row r="572" spans="19:48" s="20" customFormat="1" ht="22.5" customHeight="1" x14ac:dyDescent="0.25">
      <c r="S572" s="1"/>
      <c r="V572" s="133"/>
      <c r="W572" s="133"/>
      <c r="AF572" s="1"/>
      <c r="AN572" s="1"/>
      <c r="AV572" s="1"/>
    </row>
    <row r="573" spans="19:48" s="20" customFormat="1" ht="22.5" customHeight="1" x14ac:dyDescent="0.25">
      <c r="S573" s="1"/>
      <c r="V573" s="133"/>
      <c r="W573" s="133"/>
      <c r="AF573" s="1"/>
      <c r="AN573" s="1"/>
      <c r="AV573" s="1"/>
    </row>
    <row r="574" spans="19:48" s="20" customFormat="1" ht="22.5" customHeight="1" x14ac:dyDescent="0.25">
      <c r="S574" s="1"/>
      <c r="V574" s="133"/>
      <c r="W574" s="133"/>
      <c r="AF574" s="1"/>
      <c r="AN574" s="1"/>
      <c r="AV574" s="1"/>
    </row>
    <row r="575" spans="19:48" s="20" customFormat="1" ht="22.5" customHeight="1" x14ac:dyDescent="0.25">
      <c r="S575" s="1"/>
      <c r="V575" s="133"/>
      <c r="W575" s="133"/>
      <c r="AF575" s="1"/>
      <c r="AN575" s="1"/>
      <c r="AV575" s="1"/>
    </row>
    <row r="576" spans="19:48" s="20" customFormat="1" ht="22.5" customHeight="1" x14ac:dyDescent="0.25">
      <c r="S576" s="1"/>
      <c r="V576" s="133"/>
      <c r="W576" s="133"/>
      <c r="AF576" s="1"/>
      <c r="AN576" s="1"/>
      <c r="AV576" s="1"/>
    </row>
    <row r="577" spans="19:48" s="20" customFormat="1" ht="22.5" customHeight="1" x14ac:dyDescent="0.25">
      <c r="S577" s="1"/>
      <c r="V577" s="133"/>
      <c r="W577" s="133"/>
      <c r="AF577" s="1"/>
      <c r="AN577" s="1"/>
      <c r="AV577" s="1"/>
    </row>
    <row r="578" spans="19:48" s="20" customFormat="1" ht="22.5" customHeight="1" x14ac:dyDescent="0.25">
      <c r="S578" s="1"/>
      <c r="V578" s="133"/>
      <c r="W578" s="133"/>
      <c r="AF578" s="1"/>
      <c r="AN578" s="1"/>
      <c r="AV578" s="1"/>
    </row>
    <row r="579" spans="19:48" s="20" customFormat="1" ht="22.5" customHeight="1" x14ac:dyDescent="0.25">
      <c r="S579" s="1"/>
      <c r="V579" s="133"/>
      <c r="W579" s="133"/>
      <c r="AF579" s="1"/>
      <c r="AN579" s="1"/>
      <c r="AV579" s="1"/>
    </row>
    <row r="580" spans="19:48" s="20" customFormat="1" ht="22.5" customHeight="1" x14ac:dyDescent="0.25">
      <c r="S580" s="1"/>
      <c r="V580" s="133"/>
      <c r="W580" s="133"/>
      <c r="AF580" s="1"/>
      <c r="AN580" s="1"/>
      <c r="AV580" s="1"/>
    </row>
    <row r="581" spans="19:48" s="20" customFormat="1" ht="22.5" customHeight="1" x14ac:dyDescent="0.25">
      <c r="S581" s="1"/>
      <c r="V581" s="133"/>
      <c r="W581" s="133"/>
      <c r="AF581" s="1"/>
      <c r="AN581" s="1"/>
      <c r="AV581" s="1"/>
    </row>
    <row r="582" spans="19:48" s="20" customFormat="1" ht="22.5" customHeight="1" x14ac:dyDescent="0.25">
      <c r="S582" s="1"/>
      <c r="V582" s="133"/>
      <c r="W582" s="133"/>
      <c r="AF582" s="1"/>
      <c r="AN582" s="1"/>
      <c r="AV582" s="1"/>
    </row>
    <row r="583" spans="19:48" s="20" customFormat="1" ht="22.5" customHeight="1" x14ac:dyDescent="0.25">
      <c r="S583" s="1"/>
      <c r="V583" s="133"/>
      <c r="W583" s="133"/>
      <c r="AF583" s="1"/>
      <c r="AN583" s="1"/>
      <c r="AV583" s="1"/>
    </row>
    <row r="584" spans="19:48" s="20" customFormat="1" ht="22.5" customHeight="1" x14ac:dyDescent="0.25">
      <c r="S584" s="1"/>
      <c r="V584" s="133"/>
      <c r="W584" s="133"/>
      <c r="AF584" s="1"/>
      <c r="AN584" s="1"/>
      <c r="AV584" s="1"/>
    </row>
    <row r="585" spans="19:48" s="20" customFormat="1" ht="22.5" customHeight="1" x14ac:dyDescent="0.25">
      <c r="S585" s="1"/>
      <c r="V585" s="133"/>
      <c r="W585" s="133"/>
      <c r="AF585" s="1"/>
      <c r="AN585" s="1"/>
      <c r="AV585" s="1"/>
    </row>
    <row r="586" spans="19:48" s="20" customFormat="1" ht="22.5" customHeight="1" x14ac:dyDescent="0.25">
      <c r="S586" s="1"/>
      <c r="V586" s="133"/>
      <c r="W586" s="133"/>
      <c r="AF586" s="1"/>
      <c r="AN586" s="1"/>
      <c r="AV586" s="1"/>
    </row>
    <row r="587" spans="19:48" s="20" customFormat="1" ht="22.5" customHeight="1" x14ac:dyDescent="0.25">
      <c r="S587" s="1"/>
      <c r="V587" s="133"/>
      <c r="W587" s="133"/>
      <c r="AF587" s="1"/>
      <c r="AN587" s="1"/>
      <c r="AV587" s="1"/>
    </row>
    <row r="588" spans="19:48" s="20" customFormat="1" ht="22.5" customHeight="1" x14ac:dyDescent="0.25">
      <c r="S588" s="1"/>
      <c r="V588" s="133"/>
      <c r="W588" s="133"/>
      <c r="AF588" s="1"/>
      <c r="AN588" s="1"/>
      <c r="AV588" s="1"/>
    </row>
    <row r="589" spans="19:48" s="20" customFormat="1" ht="22.5" customHeight="1" x14ac:dyDescent="0.25">
      <c r="S589" s="1"/>
      <c r="V589" s="133"/>
      <c r="W589" s="133"/>
      <c r="AF589" s="1"/>
      <c r="AN589" s="1"/>
      <c r="AV589" s="1"/>
    </row>
    <row r="590" spans="19:48" s="20" customFormat="1" ht="22.5" customHeight="1" x14ac:dyDescent="0.25">
      <c r="S590" s="1"/>
      <c r="V590" s="133"/>
      <c r="W590" s="133"/>
      <c r="AF590" s="1"/>
      <c r="AN590" s="1"/>
      <c r="AV590" s="1"/>
    </row>
    <row r="591" spans="19:48" s="20" customFormat="1" ht="22.5" customHeight="1" x14ac:dyDescent="0.25">
      <c r="S591" s="1"/>
      <c r="V591" s="133"/>
      <c r="W591" s="133"/>
      <c r="AF591" s="1"/>
      <c r="AN591" s="1"/>
      <c r="AV591" s="1"/>
    </row>
    <row r="592" spans="19:48" s="20" customFormat="1" ht="22.5" customHeight="1" x14ac:dyDescent="0.25">
      <c r="S592" s="1"/>
      <c r="V592" s="133"/>
      <c r="W592" s="133"/>
      <c r="AF592" s="1"/>
      <c r="AN592" s="1"/>
      <c r="AV592" s="1"/>
    </row>
    <row r="593" spans="19:48" s="20" customFormat="1" ht="22.5" customHeight="1" x14ac:dyDescent="0.25">
      <c r="S593" s="1"/>
      <c r="V593" s="133"/>
      <c r="W593" s="133"/>
      <c r="AF593" s="1"/>
      <c r="AN593" s="1"/>
      <c r="AV593" s="1"/>
    </row>
    <row r="594" spans="19:48" s="20" customFormat="1" ht="22.5" customHeight="1" x14ac:dyDescent="0.25">
      <c r="S594" s="1"/>
      <c r="V594" s="133"/>
      <c r="W594" s="133"/>
      <c r="AF594" s="1"/>
      <c r="AN594" s="1"/>
      <c r="AV594" s="1"/>
    </row>
    <row r="595" spans="19:48" s="20" customFormat="1" ht="22.5" customHeight="1" x14ac:dyDescent="0.25">
      <c r="S595" s="1"/>
      <c r="V595" s="133"/>
      <c r="W595" s="133"/>
      <c r="AF595" s="1"/>
      <c r="AN595" s="1"/>
      <c r="AV595" s="1"/>
    </row>
    <row r="596" spans="19:48" s="20" customFormat="1" ht="22.5" customHeight="1" x14ac:dyDescent="0.25">
      <c r="S596" s="1"/>
      <c r="V596" s="133"/>
      <c r="W596" s="133"/>
      <c r="AF596" s="1"/>
      <c r="AN596" s="1"/>
      <c r="AV596" s="1"/>
    </row>
    <row r="597" spans="19:48" s="20" customFormat="1" ht="22.5" customHeight="1" x14ac:dyDescent="0.25">
      <c r="S597" s="1"/>
      <c r="V597" s="133"/>
      <c r="W597" s="133"/>
      <c r="AF597" s="1"/>
      <c r="AN597" s="1"/>
      <c r="AV597" s="1"/>
    </row>
    <row r="598" spans="19:48" s="20" customFormat="1" ht="22.5" customHeight="1" x14ac:dyDescent="0.25">
      <c r="S598" s="1"/>
      <c r="V598" s="133"/>
      <c r="W598" s="133"/>
      <c r="AF598" s="1"/>
      <c r="AN598" s="1"/>
      <c r="AV598" s="1"/>
    </row>
    <row r="599" spans="19:48" s="20" customFormat="1" ht="22.5" customHeight="1" x14ac:dyDescent="0.25">
      <c r="S599" s="1"/>
      <c r="V599" s="133"/>
      <c r="W599" s="133"/>
      <c r="AF599" s="1"/>
      <c r="AN599" s="1"/>
      <c r="AV599" s="1"/>
    </row>
    <row r="600" spans="19:48" s="20" customFormat="1" ht="22.5" customHeight="1" x14ac:dyDescent="0.25">
      <c r="S600" s="1"/>
      <c r="V600" s="133"/>
      <c r="W600" s="133"/>
      <c r="AF600" s="1"/>
      <c r="AN600" s="1"/>
      <c r="AV600" s="1"/>
    </row>
    <row r="601" spans="19:48" s="20" customFormat="1" ht="22.5" customHeight="1" x14ac:dyDescent="0.25">
      <c r="S601" s="1"/>
      <c r="V601" s="133"/>
      <c r="W601" s="133"/>
      <c r="AF601" s="1"/>
      <c r="AN601" s="1"/>
      <c r="AV601" s="1"/>
    </row>
    <row r="602" spans="19:48" s="20" customFormat="1" ht="22.5" customHeight="1" x14ac:dyDescent="0.25">
      <c r="S602" s="1"/>
      <c r="V602" s="133"/>
      <c r="W602" s="133"/>
      <c r="AF602" s="1"/>
      <c r="AN602" s="1"/>
      <c r="AV602" s="1"/>
    </row>
    <row r="603" spans="19:48" s="20" customFormat="1" ht="22.5" customHeight="1" x14ac:dyDescent="0.25">
      <c r="S603" s="1"/>
      <c r="V603" s="133"/>
      <c r="W603" s="133"/>
      <c r="AF603" s="1"/>
      <c r="AN603" s="1"/>
      <c r="AV603" s="1"/>
    </row>
    <row r="604" spans="19:48" s="20" customFormat="1" ht="22.5" customHeight="1" x14ac:dyDescent="0.25">
      <c r="S604" s="1"/>
      <c r="V604" s="133"/>
      <c r="W604" s="133"/>
      <c r="AF604" s="1"/>
      <c r="AN604" s="1"/>
      <c r="AV604" s="1"/>
    </row>
    <row r="605" spans="19:48" s="20" customFormat="1" ht="22.5" customHeight="1" x14ac:dyDescent="0.25">
      <c r="S605" s="1"/>
      <c r="V605" s="133"/>
      <c r="W605" s="133"/>
      <c r="AF605" s="1"/>
      <c r="AN605" s="1"/>
      <c r="AV605" s="1"/>
    </row>
    <row r="606" spans="19:48" s="20" customFormat="1" ht="22.5" customHeight="1" x14ac:dyDescent="0.25">
      <c r="S606" s="1"/>
      <c r="V606" s="133"/>
      <c r="W606" s="133"/>
      <c r="AF606" s="1"/>
      <c r="AN606" s="1"/>
      <c r="AV606" s="1"/>
    </row>
    <row r="607" spans="19:48" s="20" customFormat="1" ht="22.5" customHeight="1" x14ac:dyDescent="0.25">
      <c r="S607" s="1"/>
      <c r="V607" s="133"/>
      <c r="W607" s="133"/>
      <c r="AF607" s="1"/>
      <c r="AN607" s="1"/>
      <c r="AV607" s="1"/>
    </row>
    <row r="608" spans="19:48" s="20" customFormat="1" ht="22.5" customHeight="1" x14ac:dyDescent="0.25">
      <c r="S608" s="1"/>
      <c r="V608" s="133"/>
      <c r="W608" s="133"/>
      <c r="AF608" s="1"/>
      <c r="AN608" s="1"/>
      <c r="AV608" s="1"/>
    </row>
    <row r="609" spans="19:48" s="20" customFormat="1" ht="22.5" customHeight="1" x14ac:dyDescent="0.25">
      <c r="S609" s="1"/>
      <c r="V609" s="133"/>
      <c r="W609" s="133"/>
      <c r="AF609" s="1"/>
      <c r="AN609" s="1"/>
      <c r="AV609" s="1"/>
    </row>
    <row r="610" spans="19:48" s="20" customFormat="1" ht="22.5" customHeight="1" x14ac:dyDescent="0.25">
      <c r="S610" s="1"/>
      <c r="V610" s="133"/>
      <c r="W610" s="133"/>
      <c r="AF610" s="1"/>
      <c r="AN610" s="1"/>
      <c r="AV610" s="1"/>
    </row>
    <row r="611" spans="19:48" s="20" customFormat="1" ht="22.5" customHeight="1" x14ac:dyDescent="0.25">
      <c r="S611" s="1"/>
      <c r="V611" s="133"/>
      <c r="W611" s="133"/>
      <c r="AF611" s="1"/>
      <c r="AN611" s="1"/>
      <c r="AV611" s="1"/>
    </row>
    <row r="612" spans="19:48" s="20" customFormat="1" ht="22.5" customHeight="1" x14ac:dyDescent="0.25">
      <c r="S612" s="1"/>
      <c r="V612" s="133"/>
      <c r="W612" s="133"/>
      <c r="AF612" s="1"/>
      <c r="AN612" s="1"/>
      <c r="AV612" s="1"/>
    </row>
    <row r="613" spans="19:48" s="20" customFormat="1" ht="22.5" customHeight="1" x14ac:dyDescent="0.25">
      <c r="S613" s="1"/>
      <c r="V613" s="133"/>
      <c r="W613" s="133"/>
      <c r="AF613" s="1"/>
      <c r="AN613" s="1"/>
      <c r="AV613" s="1"/>
    </row>
    <row r="614" spans="19:48" s="20" customFormat="1" ht="22.5" customHeight="1" x14ac:dyDescent="0.25">
      <c r="S614" s="1"/>
      <c r="V614" s="133"/>
      <c r="W614" s="133"/>
      <c r="AF614" s="1"/>
      <c r="AN614" s="1"/>
      <c r="AV614" s="1"/>
    </row>
    <row r="615" spans="19:48" s="20" customFormat="1" ht="22.5" customHeight="1" x14ac:dyDescent="0.25">
      <c r="S615" s="1"/>
      <c r="V615" s="133"/>
      <c r="W615" s="133"/>
      <c r="AF615" s="1"/>
      <c r="AN615" s="1"/>
      <c r="AV615" s="1"/>
    </row>
    <row r="616" spans="19:48" s="20" customFormat="1" ht="22.5" customHeight="1" x14ac:dyDescent="0.25">
      <c r="S616" s="1"/>
      <c r="V616" s="133"/>
      <c r="W616" s="133"/>
      <c r="AF616" s="1"/>
      <c r="AN616" s="1"/>
      <c r="AV616" s="1"/>
    </row>
    <row r="617" spans="19:48" s="20" customFormat="1" ht="22.5" customHeight="1" x14ac:dyDescent="0.25">
      <c r="S617" s="1"/>
      <c r="V617" s="133"/>
      <c r="W617" s="133"/>
      <c r="AF617" s="1"/>
      <c r="AN617" s="1"/>
      <c r="AV617" s="1"/>
    </row>
    <row r="618" spans="19:48" s="20" customFormat="1" ht="22.5" customHeight="1" x14ac:dyDescent="0.25">
      <c r="S618" s="1"/>
      <c r="V618" s="133"/>
      <c r="W618" s="133"/>
      <c r="AF618" s="1"/>
      <c r="AN618" s="1"/>
      <c r="AV618" s="1"/>
    </row>
  </sheetData>
  <sheetProtection algorithmName="SHA-512" hashValue="Hz4B2YTz9fpSo1jVY5G317c4lm11ZVEheb3zAComY41KZG0bGuqNBmb4N7gA3LD5ygsPhwgPdzXY1oVHCeosmg==" saltValue="1t6sU27/2CQJYBDRx0CDwA==" spinCount="100000" sheet="1" objects="1" scenarios="1" selectLockedCells="1" selectUnlockedCells="1"/>
  <mergeCells count="649">
    <mergeCell ref="C1:X3"/>
    <mergeCell ref="A4:K4"/>
    <mergeCell ref="L4:P5"/>
    <mergeCell ref="Q4:U5"/>
    <mergeCell ref="V4:W5"/>
    <mergeCell ref="X4:X5"/>
    <mergeCell ref="Y4:AF4"/>
    <mergeCell ref="AG4:AN4"/>
    <mergeCell ref="AO4:AV4"/>
    <mergeCell ref="A5:C5"/>
    <mergeCell ref="E5:F5"/>
    <mergeCell ref="G5:I5"/>
    <mergeCell ref="J5:J6"/>
    <mergeCell ref="K5:K6"/>
    <mergeCell ref="Y5:AB5"/>
    <mergeCell ref="AC5:AF5"/>
    <mergeCell ref="AG5:AJ5"/>
    <mergeCell ref="AK5:AN5"/>
    <mergeCell ref="AO5:AR5"/>
    <mergeCell ref="AS5:AV5"/>
    <mergeCell ref="A7:A12"/>
    <mergeCell ref="B7:B12"/>
    <mergeCell ref="C7:C8"/>
    <mergeCell ref="D7:D8"/>
    <mergeCell ref="E7:E8"/>
    <mergeCell ref="F7:F8"/>
    <mergeCell ref="M7:M8"/>
    <mergeCell ref="N7:N8"/>
    <mergeCell ref="O7:O8"/>
    <mergeCell ref="P7:P8"/>
    <mergeCell ref="Y7:Y8"/>
    <mergeCell ref="G7:G8"/>
    <mergeCell ref="H7:H8"/>
    <mergeCell ref="I7:I8"/>
    <mergeCell ref="J7:J8"/>
    <mergeCell ref="K7:K8"/>
    <mergeCell ref="L7:L8"/>
    <mergeCell ref="L10:L12"/>
    <mergeCell ref="M10:M12"/>
    <mergeCell ref="N10:N12"/>
    <mergeCell ref="O10:O12"/>
    <mergeCell ref="P10:P12"/>
    <mergeCell ref="Y10:Y12"/>
    <mergeCell ref="W7:W75"/>
    <mergeCell ref="V7:V12"/>
    <mergeCell ref="V14:V20"/>
    <mergeCell ref="V22:V28"/>
    <mergeCell ref="V30:V36"/>
    <mergeCell ref="V38:V44"/>
    <mergeCell ref="V46:V52"/>
    <mergeCell ref="V54:V56"/>
    <mergeCell ref="V58:V60"/>
    <mergeCell ref="AJ7:AJ8"/>
    <mergeCell ref="AO7:AO8"/>
    <mergeCell ref="AP7:AP8"/>
    <mergeCell ref="AQ7:AQ8"/>
    <mergeCell ref="AR7:AR8"/>
    <mergeCell ref="AC9:AF9"/>
    <mergeCell ref="AK9:AN9"/>
    <mergeCell ref="Z7:Z8"/>
    <mergeCell ref="AA7:AA8"/>
    <mergeCell ref="AB7:AB8"/>
    <mergeCell ref="AG7:AG8"/>
    <mergeCell ref="AH7:AH8"/>
    <mergeCell ref="AI7:AI8"/>
    <mergeCell ref="Z10:Z12"/>
    <mergeCell ref="AA10:AA12"/>
    <mergeCell ref="AB10:AB12"/>
    <mergeCell ref="AG10:AG12"/>
    <mergeCell ref="AH10:AH12"/>
    <mergeCell ref="AI10:AI12"/>
    <mergeCell ref="AS9:AV9"/>
    <mergeCell ref="C10:C12"/>
    <mergeCell ref="D10:D12"/>
    <mergeCell ref="E10:E12"/>
    <mergeCell ref="F10:F12"/>
    <mergeCell ref="G10:G12"/>
    <mergeCell ref="H10:H12"/>
    <mergeCell ref="I10:I12"/>
    <mergeCell ref="J10:J12"/>
    <mergeCell ref="K10:K12"/>
    <mergeCell ref="AJ10:AJ12"/>
    <mergeCell ref="AO10:AO12"/>
    <mergeCell ref="AP10:AP12"/>
    <mergeCell ref="AQ10:AQ12"/>
    <mergeCell ref="AR10:AR12"/>
    <mergeCell ref="AS13:AT13"/>
    <mergeCell ref="A14:A15"/>
    <mergeCell ref="B14:B15"/>
    <mergeCell ref="C14:C15"/>
    <mergeCell ref="D14:D15"/>
    <mergeCell ref="E14:E15"/>
    <mergeCell ref="F14:F15"/>
    <mergeCell ref="G14:G15"/>
    <mergeCell ref="H14:H15"/>
    <mergeCell ref="I14:I15"/>
    <mergeCell ref="Z14:Z15"/>
    <mergeCell ref="AA14:AA15"/>
    <mergeCell ref="AP14:AP15"/>
    <mergeCell ref="AQ14:AQ15"/>
    <mergeCell ref="AR14:AR15"/>
    <mergeCell ref="AH14:AH15"/>
    <mergeCell ref="AI14:AI15"/>
    <mergeCell ref="AJ14:AJ15"/>
    <mergeCell ref="AO14:AO15"/>
    <mergeCell ref="Y13:Z13"/>
    <mergeCell ref="AC13:AD13"/>
    <mergeCell ref="AG13:AH13"/>
    <mergeCell ref="AK13:AL13"/>
    <mergeCell ref="AO13:AP13"/>
    <mergeCell ref="AA16:AA17"/>
    <mergeCell ref="J14:J15"/>
    <mergeCell ref="K14:K15"/>
    <mergeCell ref="L14:L15"/>
    <mergeCell ref="M14:M15"/>
    <mergeCell ref="N14:N15"/>
    <mergeCell ref="O14:O15"/>
    <mergeCell ref="J16:J17"/>
    <mergeCell ref="K16:K17"/>
    <mergeCell ref="L16:L17"/>
    <mergeCell ref="M16:M17"/>
    <mergeCell ref="A16:A17"/>
    <mergeCell ref="B16:B17"/>
    <mergeCell ref="C16:C17"/>
    <mergeCell ref="D16:D17"/>
    <mergeCell ref="E16:E17"/>
    <mergeCell ref="F16:F17"/>
    <mergeCell ref="G16:G17"/>
    <mergeCell ref="AB14:AB15"/>
    <mergeCell ref="AG14:AG15"/>
    <mergeCell ref="P14:P15"/>
    <mergeCell ref="Y14:Y15"/>
    <mergeCell ref="N18:N20"/>
    <mergeCell ref="O18:O20"/>
    <mergeCell ref="P18:P20"/>
    <mergeCell ref="Y18:Y20"/>
    <mergeCell ref="Z18:Z20"/>
    <mergeCell ref="AA18:AA20"/>
    <mergeCell ref="H18:H20"/>
    <mergeCell ref="I18:I20"/>
    <mergeCell ref="J18:J20"/>
    <mergeCell ref="K18:K20"/>
    <mergeCell ref="L18:L20"/>
    <mergeCell ref="AP16:AP17"/>
    <mergeCell ref="AQ16:AQ17"/>
    <mergeCell ref="AR16:AR17"/>
    <mergeCell ref="A18:A20"/>
    <mergeCell ref="B18:B20"/>
    <mergeCell ref="C18:C20"/>
    <mergeCell ref="D18:D20"/>
    <mergeCell ref="E18:E20"/>
    <mergeCell ref="F18:F20"/>
    <mergeCell ref="G18:G20"/>
    <mergeCell ref="AB16:AB17"/>
    <mergeCell ref="AG16:AG17"/>
    <mergeCell ref="AH16:AH17"/>
    <mergeCell ref="AI16:AI17"/>
    <mergeCell ref="AJ16:AJ17"/>
    <mergeCell ref="AO16:AO17"/>
    <mergeCell ref="N16:N17"/>
    <mergeCell ref="O16:O17"/>
    <mergeCell ref="P16:P17"/>
    <mergeCell ref="Y16:Y17"/>
    <mergeCell ref="Z16:Z17"/>
    <mergeCell ref="H16:H17"/>
    <mergeCell ref="I16:I17"/>
    <mergeCell ref="M18:M20"/>
    <mergeCell ref="AP18:AP20"/>
    <mergeCell ref="AQ18:AQ20"/>
    <mergeCell ref="AR18:AR20"/>
    <mergeCell ref="Y21:Z21"/>
    <mergeCell ref="AC21:AD21"/>
    <mergeCell ref="AG21:AH21"/>
    <mergeCell ref="AK21:AL21"/>
    <mergeCell ref="AO21:AP21"/>
    <mergeCell ref="AB18:AB20"/>
    <mergeCell ref="AG18:AG20"/>
    <mergeCell ref="AH18:AH20"/>
    <mergeCell ref="AI18:AI20"/>
    <mergeCell ref="AJ18:AJ20"/>
    <mergeCell ref="AO18:AO20"/>
    <mergeCell ref="AS21:AT21"/>
    <mergeCell ref="A22:A23"/>
    <mergeCell ref="B22:B23"/>
    <mergeCell ref="C22:C23"/>
    <mergeCell ref="D22:D23"/>
    <mergeCell ref="E22:E23"/>
    <mergeCell ref="F22:F23"/>
    <mergeCell ref="G22:G23"/>
    <mergeCell ref="H22:H23"/>
    <mergeCell ref="I22:I23"/>
    <mergeCell ref="Z22:Z23"/>
    <mergeCell ref="AA22:AA23"/>
    <mergeCell ref="AP22:AP23"/>
    <mergeCell ref="AQ22:AQ23"/>
    <mergeCell ref="AR22:AR23"/>
    <mergeCell ref="AH22:AH23"/>
    <mergeCell ref="AI22:AI23"/>
    <mergeCell ref="AJ22:AJ23"/>
    <mergeCell ref="AO22:AO23"/>
    <mergeCell ref="AA24:AA25"/>
    <mergeCell ref="AA26:AA28"/>
    <mergeCell ref="J22:J23"/>
    <mergeCell ref="K22:K23"/>
    <mergeCell ref="L22:L23"/>
    <mergeCell ref="M22:M23"/>
    <mergeCell ref="N22:N23"/>
    <mergeCell ref="O22:O23"/>
    <mergeCell ref="J24:J25"/>
    <mergeCell ref="K24:K25"/>
    <mergeCell ref="L24:L25"/>
    <mergeCell ref="M24:M25"/>
    <mergeCell ref="M26:M28"/>
    <mergeCell ref="A24:A25"/>
    <mergeCell ref="B24:B25"/>
    <mergeCell ref="C24:C25"/>
    <mergeCell ref="D24:D25"/>
    <mergeCell ref="E24:E25"/>
    <mergeCell ref="F24:F25"/>
    <mergeCell ref="G24:G25"/>
    <mergeCell ref="AB22:AB23"/>
    <mergeCell ref="AG22:AG23"/>
    <mergeCell ref="P22:P23"/>
    <mergeCell ref="Y22:Y23"/>
    <mergeCell ref="N26:N28"/>
    <mergeCell ref="O26:O28"/>
    <mergeCell ref="P26:P28"/>
    <mergeCell ref="Y26:Y28"/>
    <mergeCell ref="Z26:Z28"/>
    <mergeCell ref="H26:H28"/>
    <mergeCell ref="I26:I28"/>
    <mergeCell ref="J26:J28"/>
    <mergeCell ref="K26:K28"/>
    <mergeCell ref="L26:L28"/>
    <mergeCell ref="AP24:AP25"/>
    <mergeCell ref="AQ24:AQ25"/>
    <mergeCell ref="AR24:AR25"/>
    <mergeCell ref="A26:A28"/>
    <mergeCell ref="B26:B28"/>
    <mergeCell ref="C26:C28"/>
    <mergeCell ref="D26:D28"/>
    <mergeCell ref="E26:E28"/>
    <mergeCell ref="F26:F28"/>
    <mergeCell ref="G26:G28"/>
    <mergeCell ref="AB24:AB25"/>
    <mergeCell ref="AG24:AG25"/>
    <mergeCell ref="AH24:AH25"/>
    <mergeCell ref="AI24:AI25"/>
    <mergeCell ref="AJ24:AJ25"/>
    <mergeCell ref="AO24:AO25"/>
    <mergeCell ref="N24:N25"/>
    <mergeCell ref="O24:O25"/>
    <mergeCell ref="P24:P25"/>
    <mergeCell ref="Y24:Y25"/>
    <mergeCell ref="Z24:Z25"/>
    <mergeCell ref="H24:H25"/>
    <mergeCell ref="I24:I25"/>
    <mergeCell ref="AP26:AP28"/>
    <mergeCell ref="AQ26:AQ28"/>
    <mergeCell ref="AR26:AR28"/>
    <mergeCell ref="Y29:Z29"/>
    <mergeCell ref="AC29:AD29"/>
    <mergeCell ref="AG29:AH29"/>
    <mergeCell ref="AK29:AL29"/>
    <mergeCell ref="AO29:AP29"/>
    <mergeCell ref="AB26:AB28"/>
    <mergeCell ref="AG26:AG28"/>
    <mergeCell ref="AH26:AH28"/>
    <mergeCell ref="AI26:AI28"/>
    <mergeCell ref="AJ26:AJ28"/>
    <mergeCell ref="AO26:AO28"/>
    <mergeCell ref="AS29:AT29"/>
    <mergeCell ref="A30:A31"/>
    <mergeCell ref="B30:B31"/>
    <mergeCell ref="C30:C31"/>
    <mergeCell ref="D30:D31"/>
    <mergeCell ref="E30:E31"/>
    <mergeCell ref="F30:F31"/>
    <mergeCell ref="G30:G31"/>
    <mergeCell ref="H30:H31"/>
    <mergeCell ref="I30:I31"/>
    <mergeCell ref="Z30:Z31"/>
    <mergeCell ref="AA30:AA31"/>
    <mergeCell ref="AP30:AP31"/>
    <mergeCell ref="AQ30:AQ31"/>
    <mergeCell ref="AR30:AR31"/>
    <mergeCell ref="AH30:AH31"/>
    <mergeCell ref="AI30:AI31"/>
    <mergeCell ref="AJ30:AJ31"/>
    <mergeCell ref="AO30:AO31"/>
    <mergeCell ref="AA32:AA33"/>
    <mergeCell ref="AA34:AA36"/>
    <mergeCell ref="J30:J31"/>
    <mergeCell ref="K30:K31"/>
    <mergeCell ref="L30:L31"/>
    <mergeCell ref="M30:M31"/>
    <mergeCell ref="N30:N31"/>
    <mergeCell ref="O30:O31"/>
    <mergeCell ref="J32:J33"/>
    <mergeCell ref="K32:K33"/>
    <mergeCell ref="L32:L33"/>
    <mergeCell ref="M32:M33"/>
    <mergeCell ref="M34:M36"/>
    <mergeCell ref="A32:A33"/>
    <mergeCell ref="B32:B33"/>
    <mergeCell ref="C32:C33"/>
    <mergeCell ref="D32:D33"/>
    <mergeCell ref="E32:E33"/>
    <mergeCell ref="F32:F33"/>
    <mergeCell ref="G32:G33"/>
    <mergeCell ref="AB30:AB31"/>
    <mergeCell ref="AG30:AG31"/>
    <mergeCell ref="P30:P31"/>
    <mergeCell ref="Y30:Y31"/>
    <mergeCell ref="N34:N36"/>
    <mergeCell ref="O34:O36"/>
    <mergeCell ref="P34:P36"/>
    <mergeCell ref="Y34:Y36"/>
    <mergeCell ref="Z34:Z36"/>
    <mergeCell ref="H34:H36"/>
    <mergeCell ref="I34:I36"/>
    <mergeCell ref="J34:J36"/>
    <mergeCell ref="K34:K36"/>
    <mergeCell ref="L34:L36"/>
    <mergeCell ref="AP32:AP33"/>
    <mergeCell ref="AQ32:AQ33"/>
    <mergeCell ref="AR32:AR33"/>
    <mergeCell ref="A34:A36"/>
    <mergeCell ref="B34:B36"/>
    <mergeCell ref="C34:C36"/>
    <mergeCell ref="D34:D36"/>
    <mergeCell ref="E34:E36"/>
    <mergeCell ref="F34:F36"/>
    <mergeCell ref="G34:G36"/>
    <mergeCell ref="AB32:AB33"/>
    <mergeCell ref="AG32:AG33"/>
    <mergeCell ref="AH32:AH33"/>
    <mergeCell ref="AI32:AI33"/>
    <mergeCell ref="AJ32:AJ33"/>
    <mergeCell ref="AO32:AO33"/>
    <mergeCell ref="N32:N33"/>
    <mergeCell ref="O32:O33"/>
    <mergeCell ref="P32:P33"/>
    <mergeCell ref="Y32:Y33"/>
    <mergeCell ref="Z32:Z33"/>
    <mergeCell ref="H32:H33"/>
    <mergeCell ref="I32:I33"/>
    <mergeCell ref="AP34:AP36"/>
    <mergeCell ref="AQ34:AQ36"/>
    <mergeCell ref="AR34:AR36"/>
    <mergeCell ref="Y37:Z37"/>
    <mergeCell ref="AC37:AD37"/>
    <mergeCell ref="AG37:AH37"/>
    <mergeCell ref="AK37:AL37"/>
    <mergeCell ref="AO37:AP37"/>
    <mergeCell ref="AB34:AB36"/>
    <mergeCell ref="AG34:AG36"/>
    <mergeCell ref="AH34:AH36"/>
    <mergeCell ref="AI34:AI36"/>
    <mergeCell ref="AJ34:AJ36"/>
    <mergeCell ref="AO34:AO36"/>
    <mergeCell ref="AS37:AT37"/>
    <mergeCell ref="A38:A39"/>
    <mergeCell ref="B38:B39"/>
    <mergeCell ref="C38:C39"/>
    <mergeCell ref="D38:D39"/>
    <mergeCell ref="E38:E39"/>
    <mergeCell ref="F38:F39"/>
    <mergeCell ref="G38:G39"/>
    <mergeCell ref="H38:H39"/>
    <mergeCell ref="I38:I39"/>
    <mergeCell ref="Z38:Z39"/>
    <mergeCell ref="AA38:AA39"/>
    <mergeCell ref="AP38:AP39"/>
    <mergeCell ref="AQ38:AQ39"/>
    <mergeCell ref="AR38:AR39"/>
    <mergeCell ref="AH38:AH39"/>
    <mergeCell ref="AI38:AI39"/>
    <mergeCell ref="AJ38:AJ39"/>
    <mergeCell ref="AO38:AO39"/>
    <mergeCell ref="AA40:AA41"/>
    <mergeCell ref="AA42:AA44"/>
    <mergeCell ref="J38:J39"/>
    <mergeCell ref="K38:K39"/>
    <mergeCell ref="L38:L39"/>
    <mergeCell ref="M38:M39"/>
    <mergeCell ref="N38:N39"/>
    <mergeCell ref="O38:O39"/>
    <mergeCell ref="J40:J41"/>
    <mergeCell ref="K40:K41"/>
    <mergeCell ref="L40:L41"/>
    <mergeCell ref="M40:M41"/>
    <mergeCell ref="M42:M44"/>
    <mergeCell ref="A40:A41"/>
    <mergeCell ref="B40:B41"/>
    <mergeCell ref="C40:C41"/>
    <mergeCell ref="D40:D41"/>
    <mergeCell ref="E40:E41"/>
    <mergeCell ref="F40:F41"/>
    <mergeCell ref="G40:G41"/>
    <mergeCell ref="AB38:AB39"/>
    <mergeCell ref="AG38:AG39"/>
    <mergeCell ref="P38:P39"/>
    <mergeCell ref="Y38:Y39"/>
    <mergeCell ref="N42:N44"/>
    <mergeCell ref="O42:O44"/>
    <mergeCell ref="P42:P44"/>
    <mergeCell ref="Y42:Y44"/>
    <mergeCell ref="Z42:Z44"/>
    <mergeCell ref="H42:H44"/>
    <mergeCell ref="I42:I44"/>
    <mergeCell ref="J42:J44"/>
    <mergeCell ref="K42:K44"/>
    <mergeCell ref="L42:L44"/>
    <mergeCell ref="AP40:AP41"/>
    <mergeCell ref="AQ40:AQ41"/>
    <mergeCell ref="AR40:AR41"/>
    <mergeCell ref="A42:A44"/>
    <mergeCell ref="B42:B44"/>
    <mergeCell ref="C42:C44"/>
    <mergeCell ref="D42:D44"/>
    <mergeCell ref="E42:E44"/>
    <mergeCell ref="F42:F44"/>
    <mergeCell ref="G42:G44"/>
    <mergeCell ref="AB40:AB41"/>
    <mergeCell ref="AG40:AG41"/>
    <mergeCell ref="AH40:AH41"/>
    <mergeCell ref="AI40:AI41"/>
    <mergeCell ref="AJ40:AJ41"/>
    <mergeCell ref="AO40:AO41"/>
    <mergeCell ref="N40:N41"/>
    <mergeCell ref="O40:O41"/>
    <mergeCell ref="P40:P41"/>
    <mergeCell ref="Y40:Y41"/>
    <mergeCell ref="Z40:Z41"/>
    <mergeCell ref="H40:H41"/>
    <mergeCell ref="I40:I41"/>
    <mergeCell ref="AP42:AP44"/>
    <mergeCell ref="AQ42:AQ44"/>
    <mergeCell ref="AR42:AR44"/>
    <mergeCell ref="Y45:Z45"/>
    <mergeCell ref="AC45:AD45"/>
    <mergeCell ref="AG45:AH45"/>
    <mergeCell ref="AK45:AL45"/>
    <mergeCell ref="AO45:AP45"/>
    <mergeCell ref="AB42:AB44"/>
    <mergeCell ref="AG42:AG44"/>
    <mergeCell ref="AH42:AH44"/>
    <mergeCell ref="AI42:AI44"/>
    <mergeCell ref="AJ42:AJ44"/>
    <mergeCell ref="AO42:AO44"/>
    <mergeCell ref="AS45:AT45"/>
    <mergeCell ref="A46:A47"/>
    <mergeCell ref="B46:B47"/>
    <mergeCell ref="C46:C47"/>
    <mergeCell ref="D46:D47"/>
    <mergeCell ref="E46:E47"/>
    <mergeCell ref="F46:F47"/>
    <mergeCell ref="G46:G47"/>
    <mergeCell ref="H46:H47"/>
    <mergeCell ref="I46:I47"/>
    <mergeCell ref="Z46:Z47"/>
    <mergeCell ref="AA46:AA47"/>
    <mergeCell ref="AP46:AP47"/>
    <mergeCell ref="AQ46:AQ47"/>
    <mergeCell ref="AR46:AR47"/>
    <mergeCell ref="AH46:AH47"/>
    <mergeCell ref="AI46:AI47"/>
    <mergeCell ref="AJ46:AJ47"/>
    <mergeCell ref="AO46:AO47"/>
    <mergeCell ref="AA48:AA49"/>
    <mergeCell ref="AA50:AA52"/>
    <mergeCell ref="J46:J47"/>
    <mergeCell ref="K46:K47"/>
    <mergeCell ref="L46:L47"/>
    <mergeCell ref="M46:M47"/>
    <mergeCell ref="N46:N47"/>
    <mergeCell ref="O46:O47"/>
    <mergeCell ref="J48:J49"/>
    <mergeCell ref="K48:K49"/>
    <mergeCell ref="L48:L49"/>
    <mergeCell ref="M48:M49"/>
    <mergeCell ref="M50:M52"/>
    <mergeCell ref="A48:A49"/>
    <mergeCell ref="B48:B49"/>
    <mergeCell ref="C48:C49"/>
    <mergeCell ref="D48:D49"/>
    <mergeCell ref="E48:E49"/>
    <mergeCell ref="F48:F49"/>
    <mergeCell ref="G48:G49"/>
    <mergeCell ref="AB46:AB47"/>
    <mergeCell ref="AG46:AG47"/>
    <mergeCell ref="P46:P47"/>
    <mergeCell ref="Y46:Y47"/>
    <mergeCell ref="N50:N52"/>
    <mergeCell ref="O50:O52"/>
    <mergeCell ref="P50:P52"/>
    <mergeCell ref="Y50:Y52"/>
    <mergeCell ref="Z50:Z52"/>
    <mergeCell ref="H50:H52"/>
    <mergeCell ref="I50:I52"/>
    <mergeCell ref="J50:J52"/>
    <mergeCell ref="K50:K52"/>
    <mergeCell ref="L50:L52"/>
    <mergeCell ref="AP48:AP49"/>
    <mergeCell ref="AQ48:AQ49"/>
    <mergeCell ref="AR48:AR49"/>
    <mergeCell ref="A50:A52"/>
    <mergeCell ref="B50:B52"/>
    <mergeCell ref="C50:C52"/>
    <mergeCell ref="D50:D52"/>
    <mergeCell ref="E50:E52"/>
    <mergeCell ref="F50:F52"/>
    <mergeCell ref="G50:G52"/>
    <mergeCell ref="AB48:AB49"/>
    <mergeCell ref="AG48:AG49"/>
    <mergeCell ref="AH48:AH49"/>
    <mergeCell ref="AI48:AI49"/>
    <mergeCell ref="AJ48:AJ49"/>
    <mergeCell ref="AO48:AO49"/>
    <mergeCell ref="N48:N49"/>
    <mergeCell ref="O48:O49"/>
    <mergeCell ref="P48:P49"/>
    <mergeCell ref="Y48:Y49"/>
    <mergeCell ref="Z48:Z49"/>
    <mergeCell ref="H48:H49"/>
    <mergeCell ref="I48:I49"/>
    <mergeCell ref="AP50:AP52"/>
    <mergeCell ref="AQ50:AQ52"/>
    <mergeCell ref="AR50:AR52"/>
    <mergeCell ref="Y53:Z53"/>
    <mergeCell ref="AC53:AD53"/>
    <mergeCell ref="AG53:AH53"/>
    <mergeCell ref="AK53:AL53"/>
    <mergeCell ref="AO53:AP53"/>
    <mergeCell ref="AB50:AB52"/>
    <mergeCell ref="AG50:AG52"/>
    <mergeCell ref="AH50:AH52"/>
    <mergeCell ref="AI50:AI52"/>
    <mergeCell ref="AJ50:AJ52"/>
    <mergeCell ref="AO50:AO52"/>
    <mergeCell ref="AS53:AT53"/>
    <mergeCell ref="Q54:U54"/>
    <mergeCell ref="AC54:AF54"/>
    <mergeCell ref="AK54:AN54"/>
    <mergeCell ref="AS54:AV54"/>
    <mergeCell ref="Q55:U55"/>
    <mergeCell ref="AC55:AF55"/>
    <mergeCell ref="AK55:AN55"/>
    <mergeCell ref="AS55:AV55"/>
    <mergeCell ref="Q56:U56"/>
    <mergeCell ref="AC56:AF56"/>
    <mergeCell ref="AK56:AN56"/>
    <mergeCell ref="AS56:AV56"/>
    <mergeCell ref="Y57:Z57"/>
    <mergeCell ref="AC57:AD57"/>
    <mergeCell ref="AG57:AH57"/>
    <mergeCell ref="AK57:AL57"/>
    <mergeCell ref="AO57:AP57"/>
    <mergeCell ref="AS57:AT57"/>
    <mergeCell ref="Y61:Z61"/>
    <mergeCell ref="AC61:AD61"/>
    <mergeCell ref="AG61:AH61"/>
    <mergeCell ref="AK61:AL61"/>
    <mergeCell ref="AO61:AP61"/>
    <mergeCell ref="AS61:AT61"/>
    <mergeCell ref="Q59:U59"/>
    <mergeCell ref="AC59:AF59"/>
    <mergeCell ref="AK59:AN59"/>
    <mergeCell ref="AS59:AV59"/>
    <mergeCell ref="Q60:U60"/>
    <mergeCell ref="AC60:AF60"/>
    <mergeCell ref="AK60:AN60"/>
    <mergeCell ref="AS60:AV60"/>
    <mergeCell ref="Q64:U64"/>
    <mergeCell ref="AC64:AF64"/>
    <mergeCell ref="AK64:AN64"/>
    <mergeCell ref="AS64:AV64"/>
    <mergeCell ref="Q65:U65"/>
    <mergeCell ref="AC65:AF65"/>
    <mergeCell ref="AK65:AN65"/>
    <mergeCell ref="AS65:AV65"/>
    <mergeCell ref="Q62:U62"/>
    <mergeCell ref="AC62:AF62"/>
    <mergeCell ref="AK62:AN62"/>
    <mergeCell ref="AS62:AV62"/>
    <mergeCell ref="Q63:U63"/>
    <mergeCell ref="AC63:AF63"/>
    <mergeCell ref="AK63:AN63"/>
    <mergeCell ref="AS63:AV63"/>
    <mergeCell ref="V62:V65"/>
    <mergeCell ref="Q67:U67"/>
    <mergeCell ref="AC67:AF67"/>
    <mergeCell ref="AK67:AN67"/>
    <mergeCell ref="AS67:AV67"/>
    <mergeCell ref="Q68:U68"/>
    <mergeCell ref="AC68:AF68"/>
    <mergeCell ref="AK68:AN68"/>
    <mergeCell ref="AS68:AV68"/>
    <mergeCell ref="Y66:Z66"/>
    <mergeCell ref="AC66:AD66"/>
    <mergeCell ref="AG66:AH66"/>
    <mergeCell ref="AK66:AL66"/>
    <mergeCell ref="AO66:AP66"/>
    <mergeCell ref="AS66:AT66"/>
    <mergeCell ref="V67:V72"/>
    <mergeCell ref="Q71:U71"/>
    <mergeCell ref="AC71:AF71"/>
    <mergeCell ref="AK71:AN71"/>
    <mergeCell ref="AS71:AV71"/>
    <mergeCell ref="Q72:U72"/>
    <mergeCell ref="AC72:AF72"/>
    <mergeCell ref="AK72:AN72"/>
    <mergeCell ref="AS72:AV72"/>
    <mergeCell ref="Q69:U69"/>
    <mergeCell ref="AC69:AF69"/>
    <mergeCell ref="AK69:AN69"/>
    <mergeCell ref="AS69:AV69"/>
    <mergeCell ref="Q70:U70"/>
    <mergeCell ref="AC70:AF70"/>
    <mergeCell ref="AK70:AN70"/>
    <mergeCell ref="AS70:AV70"/>
    <mergeCell ref="Q74:U74"/>
    <mergeCell ref="AC74:AF74"/>
    <mergeCell ref="AK74:AN74"/>
    <mergeCell ref="AS74:AV74"/>
    <mergeCell ref="Q75:U75"/>
    <mergeCell ref="AC75:AF75"/>
    <mergeCell ref="AK75:AN75"/>
    <mergeCell ref="AS75:AV75"/>
    <mergeCell ref="Y73:Z73"/>
    <mergeCell ref="AC73:AD73"/>
    <mergeCell ref="AG73:AH73"/>
    <mergeCell ref="AK73:AL73"/>
    <mergeCell ref="AO73:AP73"/>
    <mergeCell ref="AS73:AT73"/>
    <mergeCell ref="V74:V75"/>
    <mergeCell ref="Y79:Z79"/>
    <mergeCell ref="AC79:AD79"/>
    <mergeCell ref="AG79:AH79"/>
    <mergeCell ref="AK79:AL79"/>
    <mergeCell ref="AO79:AP79"/>
    <mergeCell ref="AS79:AT79"/>
    <mergeCell ref="Y76:Z76"/>
    <mergeCell ref="AC76:AD76"/>
    <mergeCell ref="AG76:AH76"/>
    <mergeCell ref="AK76:AL76"/>
    <mergeCell ref="AO76:AP76"/>
    <mergeCell ref="AS76:AT7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11AFE-B691-4330-8B36-7A9A7B9275BE}">
  <sheetPr>
    <tabColor rgb="FFFF0000"/>
  </sheetPr>
  <dimension ref="A1:BU410"/>
  <sheetViews>
    <sheetView topLeftCell="BD1" zoomScale="90" zoomScaleNormal="90" workbookViewId="0">
      <selection activeCell="BH3" sqref="BH3"/>
    </sheetView>
  </sheetViews>
  <sheetFormatPr baseColWidth="10" defaultColWidth="11.42578125" defaultRowHeight="15" x14ac:dyDescent="0.25"/>
  <cols>
    <col min="1" max="1" width="21.140625" style="247" customWidth="1"/>
    <col min="2" max="2" width="17.85546875" style="247" customWidth="1"/>
    <col min="3" max="3" width="24.140625" style="247" customWidth="1"/>
    <col min="4" max="4" width="26.42578125" style="247" customWidth="1"/>
    <col min="5" max="5" width="18.140625" style="247" customWidth="1"/>
    <col min="6" max="6" width="20.5703125" style="247" customWidth="1"/>
    <col min="7" max="7" width="14" style="247" customWidth="1"/>
    <col min="8" max="8" width="16.5703125" style="247" customWidth="1"/>
    <col min="9" max="9" width="15.140625" style="247" customWidth="1"/>
    <col min="10" max="10" width="15.85546875" style="247" customWidth="1"/>
    <col min="11" max="11" width="16.42578125" style="247" customWidth="1"/>
    <col min="12" max="12" width="21.85546875" style="247" customWidth="1"/>
    <col min="13" max="13" width="23" style="247" customWidth="1"/>
    <col min="14" max="14" width="11.42578125" style="247"/>
    <col min="15" max="15" width="13.5703125" style="247" customWidth="1"/>
    <col min="16" max="16" width="11.42578125" style="247"/>
    <col min="17" max="17" width="20.28515625" style="247" customWidth="1"/>
    <col min="18" max="18" width="20.140625" style="247" customWidth="1"/>
    <col min="19" max="19" width="12.28515625" style="247" customWidth="1"/>
    <col min="20" max="20" width="11.42578125" style="247"/>
    <col min="21" max="21" width="11.5703125" style="247" customWidth="1"/>
    <col min="22" max="22" width="15.5703125" style="248" customWidth="1"/>
    <col min="23" max="23" width="16.7109375" style="248" customWidth="1"/>
    <col min="24" max="24" width="16.7109375" style="247" customWidth="1"/>
    <col min="25" max="25" width="16.28515625" style="247" customWidth="1"/>
    <col min="26" max="26" width="11.42578125" style="247"/>
    <col min="27" max="27" width="16" style="247" customWidth="1"/>
    <col min="28" max="28" width="40.5703125" style="247" customWidth="1"/>
    <col min="29" max="29" width="14.5703125" style="247" customWidth="1"/>
    <col min="30" max="30" width="11.42578125" style="247"/>
    <col min="31" max="31" width="13" style="247" customWidth="1"/>
    <col min="32" max="32" width="32.85546875" style="247" customWidth="1"/>
    <col min="33" max="33" width="18.140625" style="247" bestFit="1" customWidth="1"/>
    <col min="34" max="34" width="11.42578125" style="247"/>
    <col min="35" max="35" width="16" style="247" customWidth="1"/>
    <col min="36" max="36" width="40.5703125" style="247" customWidth="1"/>
    <col min="37" max="37" width="17.140625" style="247" bestFit="1" customWidth="1"/>
    <col min="38" max="38" width="11.42578125" style="247"/>
    <col min="39" max="39" width="13" style="247" customWidth="1"/>
    <col min="40" max="40" width="32.85546875" style="247" customWidth="1"/>
    <col min="41" max="41" width="18.140625" style="247" bestFit="1" customWidth="1"/>
    <col min="42" max="42" width="11.42578125" style="247"/>
    <col min="43" max="43" width="16" style="247" customWidth="1"/>
    <col min="44" max="44" width="40.5703125" style="247" customWidth="1"/>
    <col min="45" max="45" width="17.140625" style="247" bestFit="1" customWidth="1"/>
    <col min="46" max="46" width="11.42578125" style="247"/>
    <col min="47" max="47" width="13" style="247" customWidth="1"/>
    <col min="48" max="48" width="32.85546875" style="247" customWidth="1"/>
    <col min="49" max="49" width="18.140625" style="247" bestFit="1" customWidth="1"/>
    <col min="50" max="50" width="11.42578125" style="247"/>
    <col min="51" max="51" width="16" style="247" customWidth="1"/>
    <col min="52" max="52" width="40.5703125" style="247" customWidth="1"/>
    <col min="53" max="53" width="17.140625" style="247" bestFit="1" customWidth="1"/>
    <col min="54" max="54" width="11.42578125" style="247"/>
    <col min="55" max="55" width="13" style="247" customWidth="1"/>
    <col min="56" max="56" width="32.85546875" style="247" customWidth="1"/>
    <col min="57" max="57" width="18.140625" style="247" bestFit="1" customWidth="1"/>
    <col min="58" max="58" width="11.42578125" style="247"/>
    <col min="59" max="59" width="16" style="247" customWidth="1"/>
    <col min="60" max="60" width="40.5703125" style="247" customWidth="1"/>
    <col min="61" max="61" width="17.140625" style="247" bestFit="1" customWidth="1"/>
    <col min="62" max="62" width="11.42578125" style="247"/>
    <col min="63" max="63" width="13" style="247" customWidth="1"/>
    <col min="64" max="64" width="48.28515625" style="247" customWidth="1"/>
    <col min="65" max="65" width="18.140625" style="247" bestFit="1" customWidth="1"/>
    <col min="66" max="66" width="11.42578125" style="247"/>
    <col min="67" max="67" width="16" style="247" customWidth="1"/>
    <col min="68" max="68" width="49.85546875" style="247" customWidth="1"/>
    <col min="69" max="69" width="17.140625" style="247" bestFit="1" customWidth="1"/>
    <col min="70" max="70" width="11.42578125" style="247"/>
    <col min="71" max="71" width="13" style="247" customWidth="1"/>
    <col min="72" max="72" width="53.5703125" style="247" customWidth="1"/>
    <col min="73" max="73" width="11.42578125" style="271"/>
    <col min="74" max="16384" width="11.42578125" style="247"/>
  </cols>
  <sheetData>
    <row r="1" spans="1:73" s="1" customFormat="1" ht="15.75" x14ac:dyDescent="0.25">
      <c r="C1" s="769" t="s">
        <v>0</v>
      </c>
      <c r="D1" s="769"/>
      <c r="E1" s="769"/>
      <c r="F1" s="769"/>
      <c r="G1" s="769"/>
      <c r="H1" s="769"/>
      <c r="I1" s="769"/>
      <c r="J1" s="769"/>
      <c r="K1" s="769"/>
      <c r="L1" s="769"/>
      <c r="M1" s="769"/>
      <c r="N1" s="769"/>
      <c r="O1" s="769"/>
      <c r="P1" s="769"/>
      <c r="Q1" s="769"/>
      <c r="R1" s="769"/>
      <c r="S1" s="769"/>
      <c r="T1" s="769"/>
      <c r="U1" s="769"/>
      <c r="V1" s="769"/>
      <c r="W1" s="769"/>
      <c r="X1" s="769"/>
      <c r="AE1" s="2"/>
      <c r="AF1" s="3"/>
      <c r="AM1" s="2"/>
      <c r="AN1" s="3"/>
      <c r="AU1" s="2"/>
      <c r="AV1" s="3"/>
      <c r="BC1" s="2"/>
      <c r="BD1" s="3"/>
      <c r="BK1" s="2"/>
      <c r="BL1" s="3"/>
      <c r="BS1" s="4" t="s">
        <v>1</v>
      </c>
      <c r="BT1" s="5">
        <v>43458</v>
      </c>
    </row>
    <row r="2" spans="1:73" s="1" customFormat="1" ht="24.75" customHeight="1" x14ac:dyDescent="0.25">
      <c r="C2" s="769"/>
      <c r="D2" s="769"/>
      <c r="E2" s="769"/>
      <c r="F2" s="769"/>
      <c r="G2" s="769"/>
      <c r="H2" s="769"/>
      <c r="I2" s="769"/>
      <c r="J2" s="769"/>
      <c r="K2" s="769"/>
      <c r="L2" s="769"/>
      <c r="M2" s="769"/>
      <c r="N2" s="769"/>
      <c r="O2" s="769"/>
      <c r="P2" s="769"/>
      <c r="Q2" s="769"/>
      <c r="R2" s="769"/>
      <c r="S2" s="769"/>
      <c r="T2" s="769"/>
      <c r="U2" s="769"/>
      <c r="V2" s="769"/>
      <c r="W2" s="769"/>
      <c r="X2" s="769"/>
      <c r="AE2" s="2"/>
      <c r="AF2" s="2"/>
      <c r="AM2" s="2"/>
      <c r="AN2" s="2"/>
      <c r="AU2" s="2"/>
      <c r="AV2" s="2"/>
      <c r="BC2" s="2"/>
      <c r="BD2" s="2"/>
      <c r="BK2" s="2"/>
      <c r="BL2" s="2"/>
      <c r="BS2" s="4" t="s">
        <v>2</v>
      </c>
      <c r="BT2" s="4">
        <v>5</v>
      </c>
    </row>
    <row r="3" spans="1:73" s="1" customFormat="1" ht="27.75" customHeight="1" x14ac:dyDescent="0.25">
      <c r="C3" s="769"/>
      <c r="D3" s="769"/>
      <c r="E3" s="769"/>
      <c r="F3" s="769"/>
      <c r="G3" s="769"/>
      <c r="H3" s="769"/>
      <c r="I3" s="769"/>
      <c r="J3" s="769"/>
      <c r="K3" s="769"/>
      <c r="L3" s="769"/>
      <c r="M3" s="769"/>
      <c r="N3" s="769"/>
      <c r="O3" s="769"/>
      <c r="P3" s="769"/>
      <c r="Q3" s="769"/>
      <c r="R3" s="769"/>
      <c r="S3" s="769"/>
      <c r="T3" s="769"/>
      <c r="U3" s="769"/>
      <c r="V3" s="769"/>
      <c r="W3" s="769"/>
      <c r="X3" s="769"/>
      <c r="AE3" s="2"/>
      <c r="AF3" s="2"/>
      <c r="AM3" s="2"/>
      <c r="AN3" s="2"/>
      <c r="AU3" s="559"/>
      <c r="AV3" s="559"/>
      <c r="AW3" s="560"/>
      <c r="AX3" s="560"/>
      <c r="AY3" s="560"/>
      <c r="AZ3" s="560"/>
      <c r="BA3" s="560"/>
      <c r="BB3" s="560"/>
      <c r="BC3" s="559"/>
      <c r="BD3" s="559"/>
      <c r="BE3" s="560"/>
      <c r="BF3" s="560"/>
      <c r="BG3" s="560"/>
      <c r="BH3" s="560"/>
      <c r="BI3" s="560"/>
      <c r="BJ3" s="560"/>
      <c r="BK3" s="559"/>
      <c r="BL3" s="559"/>
      <c r="BM3" s="560"/>
      <c r="BN3" s="560"/>
      <c r="BO3" s="560"/>
      <c r="BP3" s="560"/>
      <c r="BS3" s="4" t="s">
        <v>3</v>
      </c>
      <c r="BT3" s="4" t="s">
        <v>4</v>
      </c>
    </row>
    <row r="4" spans="1:73" s="194" customFormat="1" x14ac:dyDescent="0.25">
      <c r="A4" s="815" t="s">
        <v>5</v>
      </c>
      <c r="B4" s="816"/>
      <c r="C4" s="816"/>
      <c r="D4" s="816"/>
      <c r="E4" s="816"/>
      <c r="F4" s="816"/>
      <c r="G4" s="816"/>
      <c r="H4" s="816"/>
      <c r="I4" s="816"/>
      <c r="J4" s="816"/>
      <c r="K4" s="817"/>
      <c r="L4" s="818" t="s">
        <v>6</v>
      </c>
      <c r="M4" s="819"/>
      <c r="N4" s="819"/>
      <c r="O4" s="819"/>
      <c r="P4" s="820"/>
      <c r="Q4" s="818" t="s">
        <v>7</v>
      </c>
      <c r="R4" s="819"/>
      <c r="S4" s="819"/>
      <c r="T4" s="819"/>
      <c r="U4" s="820"/>
      <c r="V4" s="821" t="s">
        <v>8</v>
      </c>
      <c r="W4" s="822"/>
      <c r="X4" s="825" t="s">
        <v>9</v>
      </c>
      <c r="Y4" s="812" t="s">
        <v>10</v>
      </c>
      <c r="Z4" s="813"/>
      <c r="AA4" s="813"/>
      <c r="AB4" s="813"/>
      <c r="AC4" s="813"/>
      <c r="AD4" s="813"/>
      <c r="AE4" s="813"/>
      <c r="AF4" s="814"/>
      <c r="AG4" s="812" t="s">
        <v>11</v>
      </c>
      <c r="AH4" s="813"/>
      <c r="AI4" s="813"/>
      <c r="AJ4" s="813"/>
      <c r="AK4" s="813"/>
      <c r="AL4" s="813"/>
      <c r="AM4" s="813"/>
      <c r="AN4" s="814"/>
      <c r="AO4" s="812" t="s">
        <v>12</v>
      </c>
      <c r="AP4" s="813"/>
      <c r="AQ4" s="813"/>
      <c r="AR4" s="813"/>
      <c r="AS4" s="813"/>
      <c r="AT4" s="813"/>
      <c r="AU4" s="813"/>
      <c r="AV4" s="814"/>
      <c r="AW4" s="812" t="s">
        <v>892</v>
      </c>
      <c r="AX4" s="813"/>
      <c r="AY4" s="813"/>
      <c r="AZ4" s="813"/>
      <c r="BA4" s="813"/>
      <c r="BB4" s="813"/>
      <c r="BC4" s="813"/>
      <c r="BD4" s="814"/>
      <c r="BE4" s="812" t="s">
        <v>893</v>
      </c>
      <c r="BF4" s="813"/>
      <c r="BG4" s="813"/>
      <c r="BH4" s="813"/>
      <c r="BI4" s="813"/>
      <c r="BJ4" s="813"/>
      <c r="BK4" s="813"/>
      <c r="BL4" s="814"/>
      <c r="BM4" s="812" t="s">
        <v>894</v>
      </c>
      <c r="BN4" s="813"/>
      <c r="BO4" s="813"/>
      <c r="BP4" s="813"/>
      <c r="BQ4" s="813"/>
      <c r="BR4" s="813"/>
      <c r="BS4" s="813"/>
      <c r="BT4" s="814"/>
      <c r="BU4" s="263"/>
    </row>
    <row r="5" spans="1:73" s="194" customFormat="1" ht="30" x14ac:dyDescent="0.25">
      <c r="A5" s="808" t="s">
        <v>13</v>
      </c>
      <c r="B5" s="803"/>
      <c r="C5" s="804"/>
      <c r="D5" s="522" t="s">
        <v>14</v>
      </c>
      <c r="E5" s="808" t="s">
        <v>15</v>
      </c>
      <c r="F5" s="804"/>
      <c r="G5" s="808" t="s">
        <v>16</v>
      </c>
      <c r="H5" s="803"/>
      <c r="I5" s="804"/>
      <c r="J5" s="810" t="s">
        <v>17</v>
      </c>
      <c r="K5" s="810" t="s">
        <v>18</v>
      </c>
      <c r="L5" s="812"/>
      <c r="M5" s="813"/>
      <c r="N5" s="813"/>
      <c r="O5" s="813"/>
      <c r="P5" s="814"/>
      <c r="Q5" s="812"/>
      <c r="R5" s="813"/>
      <c r="S5" s="813"/>
      <c r="T5" s="813"/>
      <c r="U5" s="814"/>
      <c r="V5" s="823"/>
      <c r="W5" s="824"/>
      <c r="X5" s="826"/>
      <c r="Y5" s="808" t="s">
        <v>19</v>
      </c>
      <c r="Z5" s="803"/>
      <c r="AA5" s="803"/>
      <c r="AB5" s="809"/>
      <c r="AC5" s="802" t="s">
        <v>20</v>
      </c>
      <c r="AD5" s="803"/>
      <c r="AE5" s="803"/>
      <c r="AF5" s="804"/>
      <c r="AG5" s="808" t="s">
        <v>19</v>
      </c>
      <c r="AH5" s="803"/>
      <c r="AI5" s="803"/>
      <c r="AJ5" s="809"/>
      <c r="AK5" s="802" t="s">
        <v>20</v>
      </c>
      <c r="AL5" s="803"/>
      <c r="AM5" s="803"/>
      <c r="AN5" s="804"/>
      <c r="AO5" s="808" t="s">
        <v>19</v>
      </c>
      <c r="AP5" s="803"/>
      <c r="AQ5" s="803"/>
      <c r="AR5" s="809"/>
      <c r="AS5" s="802" t="s">
        <v>20</v>
      </c>
      <c r="AT5" s="803"/>
      <c r="AU5" s="803"/>
      <c r="AV5" s="804"/>
      <c r="AW5" s="808" t="s">
        <v>19</v>
      </c>
      <c r="AX5" s="803"/>
      <c r="AY5" s="803"/>
      <c r="AZ5" s="809"/>
      <c r="BA5" s="802" t="s">
        <v>20</v>
      </c>
      <c r="BB5" s="803"/>
      <c r="BC5" s="803"/>
      <c r="BD5" s="804"/>
      <c r="BE5" s="808" t="s">
        <v>19</v>
      </c>
      <c r="BF5" s="803"/>
      <c r="BG5" s="803"/>
      <c r="BH5" s="809"/>
      <c r="BI5" s="802" t="s">
        <v>20</v>
      </c>
      <c r="BJ5" s="803"/>
      <c r="BK5" s="803"/>
      <c r="BL5" s="804"/>
      <c r="BM5" s="808" t="s">
        <v>19</v>
      </c>
      <c r="BN5" s="803"/>
      <c r="BO5" s="803"/>
      <c r="BP5" s="809"/>
      <c r="BQ5" s="802" t="s">
        <v>20</v>
      </c>
      <c r="BR5" s="803"/>
      <c r="BS5" s="803"/>
      <c r="BT5" s="804"/>
      <c r="BU5" s="263"/>
    </row>
    <row r="6" spans="1:73" s="194" customFormat="1" ht="45" x14ac:dyDescent="0.25">
      <c r="A6" s="235" t="s">
        <v>21</v>
      </c>
      <c r="B6" s="235" t="s">
        <v>22</v>
      </c>
      <c r="C6" s="235" t="s">
        <v>23</v>
      </c>
      <c r="D6" s="235" t="s">
        <v>24</v>
      </c>
      <c r="E6" s="235" t="s">
        <v>25</v>
      </c>
      <c r="F6" s="235" t="s">
        <v>26</v>
      </c>
      <c r="G6" s="235" t="s">
        <v>27</v>
      </c>
      <c r="H6" s="235" t="s">
        <v>28</v>
      </c>
      <c r="I6" s="235" t="s">
        <v>29</v>
      </c>
      <c r="J6" s="811"/>
      <c r="K6" s="811"/>
      <c r="L6" s="235" t="s">
        <v>6</v>
      </c>
      <c r="M6" s="235" t="s">
        <v>30</v>
      </c>
      <c r="N6" s="235" t="s">
        <v>31</v>
      </c>
      <c r="O6" s="235" t="s">
        <v>32</v>
      </c>
      <c r="P6" s="235" t="s">
        <v>33</v>
      </c>
      <c r="Q6" s="235" t="s">
        <v>7</v>
      </c>
      <c r="R6" s="235" t="s">
        <v>34</v>
      </c>
      <c r="S6" s="235" t="s">
        <v>31</v>
      </c>
      <c r="T6" s="235" t="s">
        <v>32</v>
      </c>
      <c r="U6" s="235" t="s">
        <v>35</v>
      </c>
      <c r="V6" s="246" t="s">
        <v>36</v>
      </c>
      <c r="W6" s="246" t="s">
        <v>37</v>
      </c>
      <c r="X6" s="235" t="s">
        <v>38</v>
      </c>
      <c r="Y6" s="235" t="s">
        <v>39</v>
      </c>
      <c r="Z6" s="235" t="s">
        <v>40</v>
      </c>
      <c r="AA6" s="235" t="s">
        <v>41</v>
      </c>
      <c r="AB6" s="235" t="s">
        <v>42</v>
      </c>
      <c r="AC6" s="235" t="s">
        <v>39</v>
      </c>
      <c r="AD6" s="235" t="s">
        <v>40</v>
      </c>
      <c r="AE6" s="235" t="s">
        <v>41</v>
      </c>
      <c r="AF6" s="235" t="s">
        <v>42</v>
      </c>
      <c r="AG6" s="235" t="s">
        <v>39</v>
      </c>
      <c r="AH6" s="235" t="s">
        <v>40</v>
      </c>
      <c r="AI6" s="235" t="s">
        <v>41</v>
      </c>
      <c r="AJ6" s="235" t="s">
        <v>42</v>
      </c>
      <c r="AK6" s="235" t="s">
        <v>39</v>
      </c>
      <c r="AL6" s="235" t="s">
        <v>40</v>
      </c>
      <c r="AM6" s="235" t="s">
        <v>41</v>
      </c>
      <c r="AN6" s="235" t="s">
        <v>42</v>
      </c>
      <c r="AO6" s="235" t="s">
        <v>39</v>
      </c>
      <c r="AP6" s="235" t="s">
        <v>40</v>
      </c>
      <c r="AQ6" s="235" t="s">
        <v>41</v>
      </c>
      <c r="AR6" s="235" t="s">
        <v>42</v>
      </c>
      <c r="AS6" s="235" t="s">
        <v>39</v>
      </c>
      <c r="AT6" s="235" t="s">
        <v>40</v>
      </c>
      <c r="AU6" s="235" t="s">
        <v>41</v>
      </c>
      <c r="AV6" s="235" t="s">
        <v>42</v>
      </c>
      <c r="AW6" s="235" t="s">
        <v>39</v>
      </c>
      <c r="AX6" s="235" t="s">
        <v>40</v>
      </c>
      <c r="AY6" s="235" t="s">
        <v>41</v>
      </c>
      <c r="AZ6" s="235" t="s">
        <v>42</v>
      </c>
      <c r="BA6" s="235" t="s">
        <v>39</v>
      </c>
      <c r="BB6" s="235" t="s">
        <v>40</v>
      </c>
      <c r="BC6" s="235" t="s">
        <v>41</v>
      </c>
      <c r="BD6" s="235" t="s">
        <v>42</v>
      </c>
      <c r="BE6" s="235" t="s">
        <v>39</v>
      </c>
      <c r="BF6" s="235" t="s">
        <v>40</v>
      </c>
      <c r="BG6" s="235" t="s">
        <v>41</v>
      </c>
      <c r="BH6" s="235" t="s">
        <v>42</v>
      </c>
      <c r="BI6" s="235" t="s">
        <v>39</v>
      </c>
      <c r="BJ6" s="235" t="s">
        <v>40</v>
      </c>
      <c r="BK6" s="235" t="s">
        <v>41</v>
      </c>
      <c r="BL6" s="235" t="s">
        <v>42</v>
      </c>
      <c r="BM6" s="235" t="s">
        <v>39</v>
      </c>
      <c r="BN6" s="235" t="s">
        <v>40</v>
      </c>
      <c r="BO6" s="235" t="s">
        <v>41</v>
      </c>
      <c r="BP6" s="235" t="s">
        <v>42</v>
      </c>
      <c r="BQ6" s="235" t="s">
        <v>39</v>
      </c>
      <c r="BR6" s="235" t="s">
        <v>40</v>
      </c>
      <c r="BS6" s="235" t="s">
        <v>41</v>
      </c>
      <c r="BT6" s="235" t="s">
        <v>42</v>
      </c>
      <c r="BU6" s="263"/>
    </row>
    <row r="7" spans="1:73" s="250" customFormat="1" ht="408" x14ac:dyDescent="0.25">
      <c r="A7" s="805" t="s">
        <v>43</v>
      </c>
      <c r="B7" s="806" t="s">
        <v>44</v>
      </c>
      <c r="C7" s="799" t="s">
        <v>45</v>
      </c>
      <c r="D7" s="792" t="s">
        <v>306</v>
      </c>
      <c r="E7" s="799" t="s">
        <v>47</v>
      </c>
      <c r="F7" s="792" t="s">
        <v>678</v>
      </c>
      <c r="G7" s="799" t="s">
        <v>377</v>
      </c>
      <c r="H7" s="792" t="s">
        <v>541</v>
      </c>
      <c r="I7" s="799" t="s">
        <v>679</v>
      </c>
      <c r="J7" s="792" t="s">
        <v>680</v>
      </c>
      <c r="K7" s="799" t="s">
        <v>681</v>
      </c>
      <c r="L7" s="690" t="s">
        <v>682</v>
      </c>
      <c r="M7" s="690" t="s">
        <v>683</v>
      </c>
      <c r="N7" s="690" t="s">
        <v>56</v>
      </c>
      <c r="O7" s="690"/>
      <c r="P7" s="690">
        <v>5</v>
      </c>
      <c r="Q7" s="63" t="s">
        <v>684</v>
      </c>
      <c r="R7" s="63" t="s">
        <v>685</v>
      </c>
      <c r="S7" s="524" t="s">
        <v>56</v>
      </c>
      <c r="T7" s="524"/>
      <c r="U7" s="524">
        <v>8</v>
      </c>
      <c r="V7" s="555">
        <v>2197500000</v>
      </c>
      <c r="W7" s="794">
        <v>10000000000</v>
      </c>
      <c r="X7" s="797" t="s">
        <v>686</v>
      </c>
      <c r="Y7" s="690">
        <v>0</v>
      </c>
      <c r="Z7" s="690">
        <v>5</v>
      </c>
      <c r="AA7" s="690">
        <v>0</v>
      </c>
      <c r="AB7" s="690" t="s">
        <v>687</v>
      </c>
      <c r="AC7" s="524">
        <v>0</v>
      </c>
      <c r="AD7" s="524">
        <v>8</v>
      </c>
      <c r="AE7" s="525">
        <v>0</v>
      </c>
      <c r="AF7" s="524" t="s">
        <v>688</v>
      </c>
      <c r="AG7" s="690">
        <v>0</v>
      </c>
      <c r="AH7" s="690">
        <v>5</v>
      </c>
      <c r="AI7" s="690">
        <v>0</v>
      </c>
      <c r="AJ7" s="690" t="s">
        <v>687</v>
      </c>
      <c r="AK7" s="524">
        <v>0</v>
      </c>
      <c r="AL7" s="524">
        <v>8</v>
      </c>
      <c r="AM7" s="525">
        <v>0</v>
      </c>
      <c r="AN7" s="524" t="s">
        <v>688</v>
      </c>
      <c r="AO7" s="690">
        <v>0</v>
      </c>
      <c r="AP7" s="690">
        <v>5</v>
      </c>
      <c r="AQ7" s="690">
        <v>0</v>
      </c>
      <c r="AR7" s="690" t="s">
        <v>689</v>
      </c>
      <c r="AS7" s="524">
        <v>1</v>
      </c>
      <c r="AT7" s="524">
        <v>8</v>
      </c>
      <c r="AU7" s="525">
        <f>+AS7/AT7</f>
        <v>0.125</v>
      </c>
      <c r="AV7" s="524" t="s">
        <v>690</v>
      </c>
      <c r="AW7" s="690">
        <v>0</v>
      </c>
      <c r="AX7" s="690">
        <v>5</v>
      </c>
      <c r="AY7" s="690">
        <v>0</v>
      </c>
      <c r="AZ7" s="690" t="s">
        <v>689</v>
      </c>
      <c r="BA7" s="524">
        <v>1</v>
      </c>
      <c r="BB7" s="524">
        <v>8</v>
      </c>
      <c r="BC7" s="525">
        <f>+BA7/BB7</f>
        <v>0.125</v>
      </c>
      <c r="BD7" s="524" t="s">
        <v>1093</v>
      </c>
      <c r="BE7" s="690">
        <v>0</v>
      </c>
      <c r="BF7" s="690">
        <v>5</v>
      </c>
      <c r="BG7" s="690">
        <v>0</v>
      </c>
      <c r="BH7" s="690" t="s">
        <v>689</v>
      </c>
      <c r="BI7" s="524">
        <v>1</v>
      </c>
      <c r="BJ7" s="524">
        <v>8</v>
      </c>
      <c r="BK7" s="525">
        <v>0.125</v>
      </c>
      <c r="BL7" s="524" t="s">
        <v>1094</v>
      </c>
      <c r="BM7" s="690">
        <v>0</v>
      </c>
      <c r="BN7" s="690">
        <v>5</v>
      </c>
      <c r="BO7" s="690">
        <v>0</v>
      </c>
      <c r="BP7" s="690" t="s">
        <v>1095</v>
      </c>
      <c r="BQ7" s="524">
        <v>2</v>
      </c>
      <c r="BR7" s="524">
        <v>8</v>
      </c>
      <c r="BS7" s="525">
        <v>0.25</v>
      </c>
      <c r="BT7" s="524" t="s">
        <v>1096</v>
      </c>
      <c r="BU7" s="265"/>
    </row>
    <row r="8" spans="1:73" s="250" customFormat="1" ht="312" x14ac:dyDescent="0.25">
      <c r="A8" s="797"/>
      <c r="B8" s="807"/>
      <c r="C8" s="800"/>
      <c r="D8" s="798"/>
      <c r="E8" s="800"/>
      <c r="F8" s="798"/>
      <c r="G8" s="800"/>
      <c r="H8" s="798"/>
      <c r="I8" s="800"/>
      <c r="J8" s="798"/>
      <c r="K8" s="800"/>
      <c r="L8" s="690"/>
      <c r="M8" s="690"/>
      <c r="N8" s="690"/>
      <c r="O8" s="690"/>
      <c r="P8" s="690"/>
      <c r="Q8" s="70" t="s">
        <v>691</v>
      </c>
      <c r="R8" s="70" t="s">
        <v>692</v>
      </c>
      <c r="S8" s="527" t="s">
        <v>56</v>
      </c>
      <c r="T8" s="527"/>
      <c r="U8" s="527">
        <v>4</v>
      </c>
      <c r="V8" s="243">
        <v>3024477452</v>
      </c>
      <c r="W8" s="795"/>
      <c r="X8" s="797"/>
      <c r="Y8" s="690"/>
      <c r="Z8" s="690"/>
      <c r="AA8" s="690"/>
      <c r="AB8" s="690"/>
      <c r="AC8" s="527">
        <v>0</v>
      </c>
      <c r="AD8" s="527">
        <v>4</v>
      </c>
      <c r="AE8" s="526">
        <v>0</v>
      </c>
      <c r="AF8" s="527" t="s">
        <v>688</v>
      </c>
      <c r="AG8" s="690"/>
      <c r="AH8" s="690"/>
      <c r="AI8" s="690"/>
      <c r="AJ8" s="690"/>
      <c r="AK8" s="527">
        <v>0</v>
      </c>
      <c r="AL8" s="527">
        <v>4</v>
      </c>
      <c r="AM8" s="526">
        <v>0</v>
      </c>
      <c r="AN8" s="527" t="s">
        <v>688</v>
      </c>
      <c r="AO8" s="690"/>
      <c r="AP8" s="690"/>
      <c r="AQ8" s="690"/>
      <c r="AR8" s="690"/>
      <c r="AS8" s="527">
        <v>0</v>
      </c>
      <c r="AT8" s="527">
        <v>4</v>
      </c>
      <c r="AU8" s="526">
        <v>0</v>
      </c>
      <c r="AV8" s="527" t="s">
        <v>688</v>
      </c>
      <c r="AW8" s="690"/>
      <c r="AX8" s="690"/>
      <c r="AY8" s="690"/>
      <c r="AZ8" s="690"/>
      <c r="BA8" s="527">
        <v>0</v>
      </c>
      <c r="BB8" s="527">
        <v>4</v>
      </c>
      <c r="BC8" s="526">
        <v>0</v>
      </c>
      <c r="BD8" s="527" t="s">
        <v>688</v>
      </c>
      <c r="BE8" s="690"/>
      <c r="BF8" s="690"/>
      <c r="BG8" s="690"/>
      <c r="BH8" s="690"/>
      <c r="BI8" s="527">
        <v>0</v>
      </c>
      <c r="BJ8" s="527">
        <v>4</v>
      </c>
      <c r="BK8" s="526">
        <v>0</v>
      </c>
      <c r="BL8" s="527" t="s">
        <v>688</v>
      </c>
      <c r="BM8" s="690"/>
      <c r="BN8" s="690"/>
      <c r="BO8" s="690"/>
      <c r="BP8" s="690"/>
      <c r="BQ8" s="527">
        <v>0</v>
      </c>
      <c r="BR8" s="527">
        <v>4</v>
      </c>
      <c r="BS8" s="526">
        <v>0</v>
      </c>
      <c r="BT8" s="527" t="s">
        <v>1097</v>
      </c>
      <c r="BU8" s="265"/>
    </row>
    <row r="9" spans="1:73" s="250" customFormat="1" ht="336" x14ac:dyDescent="0.25">
      <c r="A9" s="797"/>
      <c r="B9" s="807"/>
      <c r="C9" s="800"/>
      <c r="D9" s="798"/>
      <c r="E9" s="800"/>
      <c r="F9" s="793"/>
      <c r="G9" s="800"/>
      <c r="H9" s="798"/>
      <c r="I9" s="800"/>
      <c r="J9" s="798"/>
      <c r="K9" s="800"/>
      <c r="L9" s="70" t="s">
        <v>693</v>
      </c>
      <c r="M9" s="70" t="s">
        <v>694</v>
      </c>
      <c r="N9" s="70" t="s">
        <v>56</v>
      </c>
      <c r="O9" s="70"/>
      <c r="P9" s="70">
        <v>1000</v>
      </c>
      <c r="Q9" s="70" t="s">
        <v>695</v>
      </c>
      <c r="R9" s="70" t="s">
        <v>696</v>
      </c>
      <c r="S9" s="527" t="s">
        <v>56</v>
      </c>
      <c r="T9" s="70"/>
      <c r="U9" s="527">
        <v>5</v>
      </c>
      <c r="V9" s="555">
        <v>1081803196</v>
      </c>
      <c r="W9" s="795"/>
      <c r="X9" s="797"/>
      <c r="Y9" s="527">
        <v>0</v>
      </c>
      <c r="Z9" s="527">
        <v>1000</v>
      </c>
      <c r="AA9" s="527">
        <v>0</v>
      </c>
      <c r="AB9" s="70" t="s">
        <v>697</v>
      </c>
      <c r="AC9" s="527">
        <v>1</v>
      </c>
      <c r="AD9" s="527">
        <v>5</v>
      </c>
      <c r="AE9" s="526">
        <f>+AC9/AD9</f>
        <v>0.2</v>
      </c>
      <c r="AF9" s="527" t="s">
        <v>698</v>
      </c>
      <c r="AG9" s="527">
        <v>385</v>
      </c>
      <c r="AH9" s="527">
        <v>1000</v>
      </c>
      <c r="AI9" s="526">
        <f>+AG9/AH9</f>
        <v>0.38500000000000001</v>
      </c>
      <c r="AJ9" s="527" t="s">
        <v>699</v>
      </c>
      <c r="AK9" s="527">
        <v>2</v>
      </c>
      <c r="AL9" s="527">
        <v>5</v>
      </c>
      <c r="AM9" s="526">
        <f>+AK9/AL9</f>
        <v>0.4</v>
      </c>
      <c r="AN9" s="527" t="s">
        <v>698</v>
      </c>
      <c r="AO9" s="527">
        <v>385</v>
      </c>
      <c r="AP9" s="527">
        <v>1000</v>
      </c>
      <c r="AQ9" s="526">
        <f>+AO9/AP9</f>
        <v>0.38500000000000001</v>
      </c>
      <c r="AR9" s="527" t="s">
        <v>700</v>
      </c>
      <c r="AS9" s="527">
        <v>3</v>
      </c>
      <c r="AT9" s="527">
        <v>5</v>
      </c>
      <c r="AU9" s="526">
        <f>+AS9/AT9</f>
        <v>0.6</v>
      </c>
      <c r="AV9" s="527" t="s">
        <v>701</v>
      </c>
      <c r="AW9" s="527">
        <v>385</v>
      </c>
      <c r="AX9" s="527">
        <v>1000</v>
      </c>
      <c r="AY9" s="526">
        <f>+AW9/AX9</f>
        <v>0.38500000000000001</v>
      </c>
      <c r="AZ9" s="527" t="s">
        <v>700</v>
      </c>
      <c r="BA9" s="527">
        <v>4</v>
      </c>
      <c r="BB9" s="527">
        <v>5</v>
      </c>
      <c r="BC9" s="526">
        <f>+BA9/BB9</f>
        <v>0.8</v>
      </c>
      <c r="BD9" s="527" t="s">
        <v>1098</v>
      </c>
      <c r="BE9" s="527">
        <v>385</v>
      </c>
      <c r="BF9" s="527">
        <v>1000</v>
      </c>
      <c r="BG9" s="526">
        <f>+BE9/BF9</f>
        <v>0.38500000000000001</v>
      </c>
      <c r="BH9" s="527" t="s">
        <v>700</v>
      </c>
      <c r="BI9" s="527">
        <v>4</v>
      </c>
      <c r="BJ9" s="527">
        <v>5</v>
      </c>
      <c r="BK9" s="526">
        <f>+BI9/BJ9</f>
        <v>0.8</v>
      </c>
      <c r="BL9" s="527" t="s">
        <v>1098</v>
      </c>
      <c r="BM9" s="527">
        <v>1000</v>
      </c>
      <c r="BN9" s="527">
        <v>1000</v>
      </c>
      <c r="BO9" s="526">
        <f>100%*50%</f>
        <v>0.5</v>
      </c>
      <c r="BP9" s="527" t="s">
        <v>1099</v>
      </c>
      <c r="BQ9" s="527">
        <v>4</v>
      </c>
      <c r="BR9" s="527">
        <v>5</v>
      </c>
      <c r="BS9" s="526">
        <v>0.8</v>
      </c>
      <c r="BT9" s="527" t="s">
        <v>1100</v>
      </c>
      <c r="BU9" s="265"/>
    </row>
    <row r="10" spans="1:73" s="250" customFormat="1" ht="231" customHeight="1" x14ac:dyDescent="0.25">
      <c r="A10" s="797"/>
      <c r="B10" s="807"/>
      <c r="C10" s="800"/>
      <c r="D10" s="798"/>
      <c r="E10" s="800"/>
      <c r="F10" s="690" t="s">
        <v>326</v>
      </c>
      <c r="G10" s="800"/>
      <c r="H10" s="798"/>
      <c r="I10" s="800"/>
      <c r="J10" s="798"/>
      <c r="K10" s="800"/>
      <c r="L10" s="690" t="s">
        <v>702</v>
      </c>
      <c r="M10" s="690" t="s">
        <v>703</v>
      </c>
      <c r="N10" s="690" t="s">
        <v>56</v>
      </c>
      <c r="O10" s="690"/>
      <c r="P10" s="690">
        <v>5</v>
      </c>
      <c r="Q10" s="63" t="s">
        <v>704</v>
      </c>
      <c r="R10" s="63" t="s">
        <v>705</v>
      </c>
      <c r="S10" s="524" t="s">
        <v>56</v>
      </c>
      <c r="T10" s="524"/>
      <c r="U10" s="524">
        <v>7</v>
      </c>
      <c r="V10" s="243">
        <v>2415200000</v>
      </c>
      <c r="W10" s="795"/>
      <c r="X10" s="797"/>
      <c r="Y10" s="690">
        <v>1</v>
      </c>
      <c r="Z10" s="690">
        <v>5</v>
      </c>
      <c r="AA10" s="700">
        <f>+Y10/Z10</f>
        <v>0.2</v>
      </c>
      <c r="AB10" s="690" t="s">
        <v>706</v>
      </c>
      <c r="AC10" s="524">
        <v>0</v>
      </c>
      <c r="AD10" s="524">
        <v>7</v>
      </c>
      <c r="AE10" s="525">
        <v>0</v>
      </c>
      <c r="AF10" s="524" t="s">
        <v>688</v>
      </c>
      <c r="AG10" s="690">
        <v>2</v>
      </c>
      <c r="AH10" s="690">
        <v>5</v>
      </c>
      <c r="AI10" s="700">
        <f>+AG10/AH10</f>
        <v>0.4</v>
      </c>
      <c r="AJ10" s="690" t="s">
        <v>707</v>
      </c>
      <c r="AK10" s="524">
        <v>0</v>
      </c>
      <c r="AL10" s="524">
        <v>7</v>
      </c>
      <c r="AM10" s="525">
        <v>0</v>
      </c>
      <c r="AN10" s="524" t="s">
        <v>688</v>
      </c>
      <c r="AO10" s="690">
        <v>2</v>
      </c>
      <c r="AP10" s="690">
        <v>5</v>
      </c>
      <c r="AQ10" s="700">
        <f>+AO10/AP10</f>
        <v>0.4</v>
      </c>
      <c r="AR10" s="690" t="s">
        <v>707</v>
      </c>
      <c r="AS10" s="524">
        <v>0</v>
      </c>
      <c r="AT10" s="524">
        <v>7</v>
      </c>
      <c r="AU10" s="525">
        <v>0</v>
      </c>
      <c r="AV10" s="524" t="s">
        <v>688</v>
      </c>
      <c r="AW10" s="690">
        <v>2</v>
      </c>
      <c r="AX10" s="690">
        <v>5</v>
      </c>
      <c r="AY10" s="700">
        <f>+AW10/AX10</f>
        <v>0.4</v>
      </c>
      <c r="AZ10" s="690" t="s">
        <v>707</v>
      </c>
      <c r="BA10" s="524">
        <v>0</v>
      </c>
      <c r="BB10" s="524">
        <v>7</v>
      </c>
      <c r="BC10" s="525">
        <v>0</v>
      </c>
      <c r="BD10" s="524" t="s">
        <v>688</v>
      </c>
      <c r="BE10" s="690">
        <v>2</v>
      </c>
      <c r="BF10" s="690">
        <v>5</v>
      </c>
      <c r="BG10" s="700">
        <f>+BE10/BF10</f>
        <v>0.4</v>
      </c>
      <c r="BH10" s="690" t="s">
        <v>707</v>
      </c>
      <c r="BI10" s="524">
        <v>0</v>
      </c>
      <c r="BJ10" s="524">
        <v>7</v>
      </c>
      <c r="BK10" s="525">
        <v>0</v>
      </c>
      <c r="BL10" s="524" t="s">
        <v>688</v>
      </c>
      <c r="BM10" s="690">
        <v>2</v>
      </c>
      <c r="BN10" s="690">
        <v>5</v>
      </c>
      <c r="BO10" s="700">
        <f>+BM10/BN10</f>
        <v>0.4</v>
      </c>
      <c r="BP10" s="690" t="s">
        <v>1101</v>
      </c>
      <c r="BQ10" s="524">
        <v>1</v>
      </c>
      <c r="BR10" s="524">
        <v>7</v>
      </c>
      <c r="BS10" s="525">
        <v>0.14285714285714285</v>
      </c>
      <c r="BT10" s="524" t="s">
        <v>1102</v>
      </c>
      <c r="BU10" s="265"/>
    </row>
    <row r="11" spans="1:73" s="250" customFormat="1" ht="276" x14ac:dyDescent="0.25">
      <c r="A11" s="797"/>
      <c r="B11" s="807"/>
      <c r="C11" s="800"/>
      <c r="D11" s="798"/>
      <c r="E11" s="800"/>
      <c r="F11" s="690"/>
      <c r="G11" s="800"/>
      <c r="H11" s="798"/>
      <c r="I11" s="800"/>
      <c r="J11" s="798"/>
      <c r="K11" s="800"/>
      <c r="L11" s="690"/>
      <c r="M11" s="690"/>
      <c r="N11" s="690"/>
      <c r="O11" s="690"/>
      <c r="P11" s="690"/>
      <c r="Q11" s="70" t="s">
        <v>708</v>
      </c>
      <c r="R11" s="70" t="s">
        <v>709</v>
      </c>
      <c r="S11" s="70" t="s">
        <v>74</v>
      </c>
      <c r="T11" s="70"/>
      <c r="U11" s="527">
        <v>1</v>
      </c>
      <c r="V11" s="555">
        <v>2415200000</v>
      </c>
      <c r="W11" s="795"/>
      <c r="X11" s="797"/>
      <c r="Y11" s="690"/>
      <c r="Z11" s="690"/>
      <c r="AA11" s="700"/>
      <c r="AB11" s="690"/>
      <c r="AC11" s="526">
        <v>0.05</v>
      </c>
      <c r="AD11" s="527">
        <v>1</v>
      </c>
      <c r="AE11" s="526">
        <v>0.05</v>
      </c>
      <c r="AF11" s="527" t="s">
        <v>710</v>
      </c>
      <c r="AG11" s="690"/>
      <c r="AH11" s="690">
        <v>5</v>
      </c>
      <c r="AI11" s="700"/>
      <c r="AJ11" s="690"/>
      <c r="AK11" s="526">
        <v>0.05</v>
      </c>
      <c r="AL11" s="527">
        <v>1</v>
      </c>
      <c r="AM11" s="526">
        <v>0.05</v>
      </c>
      <c r="AN11" s="527" t="s">
        <v>710</v>
      </c>
      <c r="AO11" s="690"/>
      <c r="AP11" s="690">
        <v>5</v>
      </c>
      <c r="AQ11" s="700"/>
      <c r="AR11" s="690"/>
      <c r="AS11" s="526">
        <v>0.25</v>
      </c>
      <c r="AT11" s="527">
        <v>1</v>
      </c>
      <c r="AU11" s="526">
        <v>0.3</v>
      </c>
      <c r="AV11" s="527" t="s">
        <v>711</v>
      </c>
      <c r="AW11" s="690"/>
      <c r="AX11" s="690">
        <v>5</v>
      </c>
      <c r="AY11" s="700"/>
      <c r="AZ11" s="690"/>
      <c r="BA11" s="526">
        <v>0</v>
      </c>
      <c r="BB11" s="527">
        <v>1</v>
      </c>
      <c r="BC11" s="526">
        <v>0.3</v>
      </c>
      <c r="BD11" s="527" t="s">
        <v>711</v>
      </c>
      <c r="BE11" s="690"/>
      <c r="BF11" s="690">
        <v>5</v>
      </c>
      <c r="BG11" s="700"/>
      <c r="BH11" s="690"/>
      <c r="BI11" s="526">
        <f>BK11-BC11</f>
        <v>0.5</v>
      </c>
      <c r="BJ11" s="527">
        <v>1</v>
      </c>
      <c r="BK11" s="526">
        <v>0.8</v>
      </c>
      <c r="BL11" s="527" t="s">
        <v>1103</v>
      </c>
      <c r="BM11" s="690"/>
      <c r="BN11" s="690">
        <v>5</v>
      </c>
      <c r="BO11" s="700"/>
      <c r="BP11" s="690"/>
      <c r="BQ11" s="526">
        <f>BS11-BK11</f>
        <v>9.9999999999999978E-2</v>
      </c>
      <c r="BR11" s="527">
        <v>1</v>
      </c>
      <c r="BS11" s="526">
        <v>0.9</v>
      </c>
      <c r="BT11" s="527" t="s">
        <v>1104</v>
      </c>
      <c r="BU11" s="265"/>
    </row>
    <row r="12" spans="1:73" s="250" customFormat="1" ht="300" x14ac:dyDescent="0.25">
      <c r="A12" s="797"/>
      <c r="B12" s="807"/>
      <c r="C12" s="800"/>
      <c r="D12" s="798"/>
      <c r="E12" s="800"/>
      <c r="F12" s="690"/>
      <c r="G12" s="800"/>
      <c r="H12" s="798"/>
      <c r="I12" s="800"/>
      <c r="J12" s="798"/>
      <c r="K12" s="800"/>
      <c r="L12" s="690"/>
      <c r="M12" s="690"/>
      <c r="N12" s="690"/>
      <c r="O12" s="690"/>
      <c r="P12" s="690"/>
      <c r="Q12" s="63" t="s">
        <v>712</v>
      </c>
      <c r="R12" s="63" t="s">
        <v>713</v>
      </c>
      <c r="S12" s="524" t="s">
        <v>74</v>
      </c>
      <c r="T12" s="524"/>
      <c r="U12" s="524">
        <v>1</v>
      </c>
      <c r="V12" s="243">
        <v>2415200000</v>
      </c>
      <c r="W12" s="795"/>
      <c r="X12" s="797"/>
      <c r="Y12" s="690"/>
      <c r="Z12" s="690"/>
      <c r="AA12" s="700"/>
      <c r="AB12" s="690"/>
      <c r="AC12" s="525">
        <v>0.05</v>
      </c>
      <c r="AD12" s="524">
        <v>1</v>
      </c>
      <c r="AE12" s="525">
        <v>0.05</v>
      </c>
      <c r="AF12" s="524" t="s">
        <v>714</v>
      </c>
      <c r="AG12" s="690"/>
      <c r="AH12" s="690"/>
      <c r="AI12" s="700"/>
      <c r="AJ12" s="690"/>
      <c r="AK12" s="525">
        <v>0.05</v>
      </c>
      <c r="AL12" s="524">
        <v>1</v>
      </c>
      <c r="AM12" s="525">
        <v>0.05</v>
      </c>
      <c r="AN12" s="524" t="s">
        <v>714</v>
      </c>
      <c r="AO12" s="690"/>
      <c r="AP12" s="690"/>
      <c r="AQ12" s="700"/>
      <c r="AR12" s="690"/>
      <c r="AS12" s="525">
        <v>0.15</v>
      </c>
      <c r="AT12" s="524">
        <v>1</v>
      </c>
      <c r="AU12" s="525">
        <v>0.2</v>
      </c>
      <c r="AV12" s="524" t="s">
        <v>715</v>
      </c>
      <c r="AW12" s="690"/>
      <c r="AX12" s="690"/>
      <c r="AY12" s="700"/>
      <c r="AZ12" s="690"/>
      <c r="BA12" s="525">
        <v>0</v>
      </c>
      <c r="BB12" s="524">
        <v>1</v>
      </c>
      <c r="BC12" s="525">
        <v>0.2</v>
      </c>
      <c r="BD12" s="524" t="s">
        <v>715</v>
      </c>
      <c r="BE12" s="690"/>
      <c r="BF12" s="690"/>
      <c r="BG12" s="700"/>
      <c r="BH12" s="690"/>
      <c r="BI12" s="525">
        <v>0</v>
      </c>
      <c r="BJ12" s="524">
        <v>1</v>
      </c>
      <c r="BK12" s="525">
        <v>0.2</v>
      </c>
      <c r="BL12" s="524" t="s">
        <v>715</v>
      </c>
      <c r="BM12" s="690"/>
      <c r="BN12" s="690"/>
      <c r="BO12" s="700"/>
      <c r="BP12" s="690"/>
      <c r="BQ12" s="525">
        <f>+BS12-BK12</f>
        <v>0.25829999999999997</v>
      </c>
      <c r="BR12" s="524">
        <v>1</v>
      </c>
      <c r="BS12" s="525">
        <v>0.45829999999999999</v>
      </c>
      <c r="BT12" s="524" t="s">
        <v>1105</v>
      </c>
      <c r="BU12" s="265"/>
    </row>
    <row r="13" spans="1:73" s="250" customFormat="1" ht="132" x14ac:dyDescent="0.25">
      <c r="A13" s="797"/>
      <c r="B13" s="807"/>
      <c r="C13" s="800"/>
      <c r="D13" s="798"/>
      <c r="E13" s="800"/>
      <c r="F13" s="792" t="s">
        <v>678</v>
      </c>
      <c r="G13" s="800"/>
      <c r="H13" s="798"/>
      <c r="I13" s="800"/>
      <c r="J13" s="798"/>
      <c r="K13" s="800"/>
      <c r="L13" s="698" t="s">
        <v>716</v>
      </c>
      <c r="M13" s="698" t="s">
        <v>713</v>
      </c>
      <c r="N13" s="698" t="s">
        <v>74</v>
      </c>
      <c r="O13" s="698"/>
      <c r="P13" s="698">
        <v>100</v>
      </c>
      <c r="Q13" s="70" t="s">
        <v>717</v>
      </c>
      <c r="R13" s="70" t="s">
        <v>709</v>
      </c>
      <c r="S13" s="527" t="s">
        <v>56</v>
      </c>
      <c r="T13" s="70"/>
      <c r="U13" s="527">
        <v>3</v>
      </c>
      <c r="V13" s="555">
        <v>1281019352</v>
      </c>
      <c r="W13" s="795"/>
      <c r="X13" s="797"/>
      <c r="Y13" s="699">
        <v>0.05</v>
      </c>
      <c r="Z13" s="699">
        <v>1</v>
      </c>
      <c r="AA13" s="699">
        <v>0.05</v>
      </c>
      <c r="AB13" s="698" t="s">
        <v>718</v>
      </c>
      <c r="AC13" s="527">
        <v>1</v>
      </c>
      <c r="AD13" s="527">
        <v>3</v>
      </c>
      <c r="AE13" s="526">
        <f>+AC13/AD13</f>
        <v>0.33333333333333331</v>
      </c>
      <c r="AF13" s="527" t="s">
        <v>719</v>
      </c>
      <c r="AG13" s="699">
        <v>0.05</v>
      </c>
      <c r="AH13" s="699">
        <v>1</v>
      </c>
      <c r="AI13" s="699">
        <v>0.05</v>
      </c>
      <c r="AJ13" s="698" t="s">
        <v>718</v>
      </c>
      <c r="AK13" s="527">
        <v>1</v>
      </c>
      <c r="AL13" s="527">
        <v>3</v>
      </c>
      <c r="AM13" s="526">
        <f>+AK13/AL13</f>
        <v>0.33333333333333331</v>
      </c>
      <c r="AN13" s="527" t="s">
        <v>719</v>
      </c>
      <c r="AO13" s="699">
        <v>0.25</v>
      </c>
      <c r="AP13" s="699">
        <v>1</v>
      </c>
      <c r="AQ13" s="699">
        <f>+AO13/AP13</f>
        <v>0.25</v>
      </c>
      <c r="AR13" s="698" t="s">
        <v>720</v>
      </c>
      <c r="AS13" s="527">
        <v>1</v>
      </c>
      <c r="AT13" s="527">
        <v>3</v>
      </c>
      <c r="AU13" s="526">
        <v>0.33</v>
      </c>
      <c r="AV13" s="527" t="s">
        <v>719</v>
      </c>
      <c r="AW13" s="699">
        <v>0.25</v>
      </c>
      <c r="AX13" s="699">
        <v>1</v>
      </c>
      <c r="AY13" s="699">
        <f>+AW13/AX13</f>
        <v>0.25</v>
      </c>
      <c r="AZ13" s="698" t="s">
        <v>720</v>
      </c>
      <c r="BA13" s="527">
        <v>1</v>
      </c>
      <c r="BB13" s="527">
        <v>3</v>
      </c>
      <c r="BC13" s="526">
        <v>0.33</v>
      </c>
      <c r="BD13" s="527" t="s">
        <v>719</v>
      </c>
      <c r="BE13" s="699">
        <f>+BG13-AY13</f>
        <v>0.125</v>
      </c>
      <c r="BF13" s="699">
        <v>1</v>
      </c>
      <c r="BG13" s="699">
        <v>0.375</v>
      </c>
      <c r="BH13" s="698" t="s">
        <v>1106</v>
      </c>
      <c r="BI13" s="527">
        <v>1</v>
      </c>
      <c r="BJ13" s="527">
        <v>3</v>
      </c>
      <c r="BK13" s="526">
        <v>0.33</v>
      </c>
      <c r="BL13" s="527" t="s">
        <v>719</v>
      </c>
      <c r="BM13" s="699">
        <f>+BO13-BG13</f>
        <v>0.3206</v>
      </c>
      <c r="BN13" s="699">
        <v>1</v>
      </c>
      <c r="BO13" s="699">
        <v>0.6956</v>
      </c>
      <c r="BP13" s="698" t="s">
        <v>1107</v>
      </c>
      <c r="BQ13" s="527">
        <v>2</v>
      </c>
      <c r="BR13" s="527">
        <v>3</v>
      </c>
      <c r="BS13" s="526">
        <v>0.66666666666666663</v>
      </c>
      <c r="BT13" s="527" t="s">
        <v>1108</v>
      </c>
      <c r="BU13" s="265"/>
    </row>
    <row r="14" spans="1:73" s="250" customFormat="1" ht="168" x14ac:dyDescent="0.25">
      <c r="A14" s="797"/>
      <c r="B14" s="807"/>
      <c r="C14" s="801"/>
      <c r="D14" s="793"/>
      <c r="E14" s="801"/>
      <c r="F14" s="793"/>
      <c r="G14" s="801"/>
      <c r="H14" s="793"/>
      <c r="I14" s="801"/>
      <c r="J14" s="793"/>
      <c r="K14" s="801"/>
      <c r="L14" s="698"/>
      <c r="M14" s="698"/>
      <c r="N14" s="698"/>
      <c r="O14" s="698"/>
      <c r="P14" s="698"/>
      <c r="Q14" s="63" t="s">
        <v>721</v>
      </c>
      <c r="R14" s="63" t="s">
        <v>722</v>
      </c>
      <c r="S14" s="524" t="s">
        <v>56</v>
      </c>
      <c r="T14" s="524"/>
      <c r="U14" s="524">
        <v>3</v>
      </c>
      <c r="V14" s="273">
        <v>1281019352</v>
      </c>
      <c r="W14" s="796"/>
      <c r="X14" s="797"/>
      <c r="Y14" s="699"/>
      <c r="Z14" s="699"/>
      <c r="AA14" s="699"/>
      <c r="AB14" s="698"/>
      <c r="AC14" s="524">
        <v>0</v>
      </c>
      <c r="AD14" s="524">
        <v>1</v>
      </c>
      <c r="AE14" s="525">
        <v>0</v>
      </c>
      <c r="AF14" s="524" t="s">
        <v>723</v>
      </c>
      <c r="AG14" s="699"/>
      <c r="AH14" s="699"/>
      <c r="AI14" s="699"/>
      <c r="AJ14" s="698"/>
      <c r="AK14" s="524">
        <v>0</v>
      </c>
      <c r="AL14" s="524">
        <v>1</v>
      </c>
      <c r="AM14" s="525">
        <v>0</v>
      </c>
      <c r="AN14" s="524" t="s">
        <v>723</v>
      </c>
      <c r="AO14" s="699"/>
      <c r="AP14" s="699"/>
      <c r="AQ14" s="699"/>
      <c r="AR14" s="698"/>
      <c r="AS14" s="524">
        <v>0</v>
      </c>
      <c r="AT14" s="524">
        <v>1</v>
      </c>
      <c r="AU14" s="525">
        <v>0</v>
      </c>
      <c r="AV14" s="524" t="s">
        <v>723</v>
      </c>
      <c r="AW14" s="699"/>
      <c r="AX14" s="699"/>
      <c r="AY14" s="699"/>
      <c r="AZ14" s="698"/>
      <c r="BA14" s="524">
        <v>0</v>
      </c>
      <c r="BB14" s="524">
        <v>1</v>
      </c>
      <c r="BC14" s="525">
        <v>0</v>
      </c>
      <c r="BD14" s="524" t="s">
        <v>723</v>
      </c>
      <c r="BE14" s="699"/>
      <c r="BF14" s="699"/>
      <c r="BG14" s="699"/>
      <c r="BH14" s="698"/>
      <c r="BI14" s="524">
        <v>0</v>
      </c>
      <c r="BJ14" s="524">
        <v>1</v>
      </c>
      <c r="BK14" s="525">
        <v>0</v>
      </c>
      <c r="BL14" s="524" t="s">
        <v>723</v>
      </c>
      <c r="BM14" s="699"/>
      <c r="BN14" s="699"/>
      <c r="BO14" s="699"/>
      <c r="BP14" s="698"/>
      <c r="BQ14" s="524">
        <v>0</v>
      </c>
      <c r="BR14" s="524">
        <v>3</v>
      </c>
      <c r="BS14" s="525">
        <v>0</v>
      </c>
      <c r="BT14" s="524" t="s">
        <v>1109</v>
      </c>
      <c r="BU14" s="265"/>
    </row>
    <row r="15" spans="1:73" s="270" customFormat="1" ht="36" customHeight="1" x14ac:dyDescent="0.25">
      <c r="A15" s="267"/>
      <c r="B15" s="267"/>
      <c r="C15" s="267"/>
      <c r="D15" s="267"/>
      <c r="E15" s="267"/>
      <c r="F15" s="267"/>
      <c r="G15" s="267"/>
      <c r="H15" s="267"/>
      <c r="I15" s="267"/>
      <c r="J15" s="267"/>
      <c r="K15" s="267"/>
      <c r="L15" s="267"/>
      <c r="M15" s="267"/>
      <c r="N15" s="267"/>
      <c r="O15" s="267"/>
      <c r="P15" s="267"/>
      <c r="Q15" s="267"/>
      <c r="R15" s="267"/>
      <c r="S15" s="267"/>
      <c r="T15" s="267"/>
      <c r="U15" s="267"/>
      <c r="V15" s="268"/>
      <c r="W15" s="268"/>
      <c r="X15" s="267"/>
      <c r="Y15" s="657" t="s">
        <v>99</v>
      </c>
      <c r="Z15" s="657"/>
      <c r="AA15" s="55">
        <f>+AVERAGE(AA10:AA13)</f>
        <v>0.125</v>
      </c>
      <c r="AB15" s="56"/>
      <c r="AC15" s="657" t="s">
        <v>866</v>
      </c>
      <c r="AD15" s="657"/>
      <c r="AE15" s="55">
        <f>+AVERAGE(AE11:AE13,AE9)</f>
        <v>0.15833333333333333</v>
      </c>
      <c r="AF15" s="267"/>
      <c r="AG15" s="657" t="s">
        <v>865</v>
      </c>
      <c r="AH15" s="657"/>
      <c r="AI15" s="55">
        <f>+AVERAGE(AI9:AI13)</f>
        <v>0.27833333333333338</v>
      </c>
      <c r="AJ15" s="56"/>
      <c r="AK15" s="657" t="s">
        <v>866</v>
      </c>
      <c r="AL15" s="657"/>
      <c r="AM15" s="55">
        <f>+AVERAGE(AM11:AM13,AM9)</f>
        <v>0.20833333333333334</v>
      </c>
      <c r="AN15" s="267"/>
      <c r="AO15" s="657" t="s">
        <v>865</v>
      </c>
      <c r="AP15" s="657"/>
      <c r="AQ15" s="55">
        <f>+AVERAGE(AQ9:AQ13)</f>
        <v>0.34500000000000003</v>
      </c>
      <c r="AR15" s="56"/>
      <c r="AS15" s="657" t="s">
        <v>866</v>
      </c>
      <c r="AT15" s="657"/>
      <c r="AU15" s="55">
        <f>+AVERAGE(AU11:AU13,AU9,AU7)</f>
        <v>0.31100000000000005</v>
      </c>
      <c r="AV15" s="267"/>
      <c r="AW15" s="657" t="s">
        <v>865</v>
      </c>
      <c r="AX15" s="657"/>
      <c r="AY15" s="55">
        <f>+AVERAGE(AY9:AY13)</f>
        <v>0.34500000000000003</v>
      </c>
      <c r="AZ15" s="56"/>
      <c r="BA15" s="657" t="s">
        <v>866</v>
      </c>
      <c r="BB15" s="657"/>
      <c r="BC15" s="55">
        <f>+AVERAGE(BC11:BC13,BC9,BC7)</f>
        <v>0.35100000000000003</v>
      </c>
      <c r="BD15" s="267"/>
      <c r="BE15" s="657" t="s">
        <v>865</v>
      </c>
      <c r="BF15" s="657"/>
      <c r="BG15" s="55">
        <f>+AVERAGE(BG9:BG13)</f>
        <v>0.38666666666666671</v>
      </c>
      <c r="BH15" s="56"/>
      <c r="BI15" s="657" t="s">
        <v>866</v>
      </c>
      <c r="BJ15" s="657"/>
      <c r="BK15" s="55">
        <f>+AVERAGE(BK11:BK13,BK9,BK7)</f>
        <v>0.45099999999999996</v>
      </c>
      <c r="BL15" s="267"/>
      <c r="BM15" s="657" t="s">
        <v>865</v>
      </c>
      <c r="BN15" s="657"/>
      <c r="BO15" s="55">
        <f>+AVERAGE(BO9:BO13)</f>
        <v>0.53186666666666671</v>
      </c>
      <c r="BP15" s="56"/>
      <c r="BQ15" s="657" t="s">
        <v>866</v>
      </c>
      <c r="BR15" s="657"/>
      <c r="BS15" s="55">
        <f>+AVERAGE(BS11:BS13,BS9,BS7)</f>
        <v>0.61499333333333328</v>
      </c>
      <c r="BT15" s="267"/>
      <c r="BU15" s="267"/>
    </row>
    <row r="16" spans="1:73" s="271" customFormat="1" x14ac:dyDescent="0.25">
      <c r="V16" s="272"/>
      <c r="W16" s="272"/>
    </row>
    <row r="17" spans="22:23" s="271" customFormat="1" x14ac:dyDescent="0.25">
      <c r="V17" s="272"/>
      <c r="W17" s="272"/>
    </row>
    <row r="18" spans="22:23" s="271" customFormat="1" x14ac:dyDescent="0.25">
      <c r="V18" s="272"/>
      <c r="W18" s="272"/>
    </row>
    <row r="19" spans="22:23" s="271" customFormat="1" x14ac:dyDescent="0.25">
      <c r="V19" s="272"/>
      <c r="W19" s="272"/>
    </row>
    <row r="20" spans="22:23" s="271" customFormat="1" x14ac:dyDescent="0.25">
      <c r="V20" s="272"/>
      <c r="W20" s="272"/>
    </row>
    <row r="21" spans="22:23" s="271" customFormat="1" x14ac:dyDescent="0.25">
      <c r="V21" s="272"/>
      <c r="W21" s="272"/>
    </row>
    <row r="22" spans="22:23" s="271" customFormat="1" x14ac:dyDescent="0.25">
      <c r="V22" s="272"/>
      <c r="W22" s="272"/>
    </row>
    <row r="23" spans="22:23" s="271" customFormat="1" x14ac:dyDescent="0.25">
      <c r="V23" s="272"/>
      <c r="W23" s="272"/>
    </row>
    <row r="24" spans="22:23" s="271" customFormat="1" x14ac:dyDescent="0.25">
      <c r="V24" s="272"/>
      <c r="W24" s="272"/>
    </row>
    <row r="25" spans="22:23" s="271" customFormat="1" x14ac:dyDescent="0.25">
      <c r="V25" s="272"/>
      <c r="W25" s="272"/>
    </row>
    <row r="26" spans="22:23" s="271" customFormat="1" x14ac:dyDescent="0.25">
      <c r="V26" s="272"/>
      <c r="W26" s="272"/>
    </row>
    <row r="27" spans="22:23" s="271" customFormat="1" x14ac:dyDescent="0.25">
      <c r="V27" s="272"/>
      <c r="W27" s="272"/>
    </row>
    <row r="28" spans="22:23" s="271" customFormat="1" x14ac:dyDescent="0.25">
      <c r="V28" s="272"/>
      <c r="W28" s="272"/>
    </row>
    <row r="29" spans="22:23" s="271" customFormat="1" x14ac:dyDescent="0.25">
      <c r="V29" s="272"/>
      <c r="W29" s="272"/>
    </row>
    <row r="30" spans="22:23" s="271" customFormat="1" x14ac:dyDescent="0.25">
      <c r="V30" s="272"/>
      <c r="W30" s="272"/>
    </row>
    <row r="31" spans="22:23" s="271" customFormat="1" x14ac:dyDescent="0.25">
      <c r="V31" s="272"/>
      <c r="W31" s="272"/>
    </row>
    <row r="32" spans="22:23" s="271" customFormat="1" x14ac:dyDescent="0.25">
      <c r="V32" s="272"/>
      <c r="W32" s="272"/>
    </row>
    <row r="33" spans="22:23" s="271" customFormat="1" x14ac:dyDescent="0.25">
      <c r="V33" s="272"/>
      <c r="W33" s="272"/>
    </row>
    <row r="34" spans="22:23" s="271" customFormat="1" x14ac:dyDescent="0.25">
      <c r="V34" s="272"/>
      <c r="W34" s="272"/>
    </row>
    <row r="35" spans="22:23" s="271" customFormat="1" x14ac:dyDescent="0.25">
      <c r="V35" s="272"/>
      <c r="W35" s="272"/>
    </row>
    <row r="36" spans="22:23" s="271" customFormat="1" x14ac:dyDescent="0.25">
      <c r="V36" s="272"/>
      <c r="W36" s="272"/>
    </row>
    <row r="37" spans="22:23" s="271" customFormat="1" x14ac:dyDescent="0.25">
      <c r="V37" s="272"/>
      <c r="W37" s="272"/>
    </row>
    <row r="38" spans="22:23" s="271" customFormat="1" x14ac:dyDescent="0.25">
      <c r="V38" s="272"/>
      <c r="W38" s="272"/>
    </row>
    <row r="39" spans="22:23" s="271" customFormat="1" x14ac:dyDescent="0.25">
      <c r="V39" s="272"/>
      <c r="W39" s="272"/>
    </row>
    <row r="40" spans="22:23" s="271" customFormat="1" x14ac:dyDescent="0.25">
      <c r="V40" s="272"/>
      <c r="W40" s="272"/>
    </row>
    <row r="41" spans="22:23" s="271" customFormat="1" x14ac:dyDescent="0.25">
      <c r="V41" s="272"/>
      <c r="W41" s="272"/>
    </row>
    <row r="42" spans="22:23" s="271" customFormat="1" x14ac:dyDescent="0.25">
      <c r="V42" s="272"/>
      <c r="W42" s="272"/>
    </row>
    <row r="43" spans="22:23" s="271" customFormat="1" x14ac:dyDescent="0.25">
      <c r="V43" s="272"/>
      <c r="W43" s="272"/>
    </row>
    <row r="44" spans="22:23" s="271" customFormat="1" x14ac:dyDescent="0.25">
      <c r="V44" s="272"/>
      <c r="W44" s="272"/>
    </row>
    <row r="45" spans="22:23" s="271" customFormat="1" x14ac:dyDescent="0.25">
      <c r="V45" s="272"/>
      <c r="W45" s="272"/>
    </row>
    <row r="46" spans="22:23" s="271" customFormat="1" x14ac:dyDescent="0.25">
      <c r="V46" s="272"/>
      <c r="W46" s="272"/>
    </row>
    <row r="47" spans="22:23" s="271" customFormat="1" x14ac:dyDescent="0.25">
      <c r="V47" s="272"/>
      <c r="W47" s="272"/>
    </row>
    <row r="48" spans="22:23" s="271" customFormat="1" x14ac:dyDescent="0.25">
      <c r="V48" s="272"/>
      <c r="W48" s="272"/>
    </row>
    <row r="49" spans="22:23" s="271" customFormat="1" x14ac:dyDescent="0.25">
      <c r="V49" s="272"/>
      <c r="W49" s="272"/>
    </row>
    <row r="50" spans="22:23" s="271" customFormat="1" x14ac:dyDescent="0.25">
      <c r="V50" s="272"/>
      <c r="W50" s="272"/>
    </row>
    <row r="51" spans="22:23" s="271" customFormat="1" x14ac:dyDescent="0.25">
      <c r="V51" s="272"/>
      <c r="W51" s="272"/>
    </row>
    <row r="52" spans="22:23" s="271" customFormat="1" x14ac:dyDescent="0.25">
      <c r="V52" s="272"/>
      <c r="W52" s="272"/>
    </row>
    <row r="53" spans="22:23" s="271" customFormat="1" x14ac:dyDescent="0.25">
      <c r="V53" s="272"/>
      <c r="W53" s="272"/>
    </row>
    <row r="54" spans="22:23" s="271" customFormat="1" x14ac:dyDescent="0.25">
      <c r="V54" s="272"/>
      <c r="W54" s="272"/>
    </row>
    <row r="55" spans="22:23" s="271" customFormat="1" x14ac:dyDescent="0.25">
      <c r="V55" s="272"/>
      <c r="W55" s="272"/>
    </row>
    <row r="56" spans="22:23" s="271" customFormat="1" x14ac:dyDescent="0.25">
      <c r="V56" s="272"/>
      <c r="W56" s="272"/>
    </row>
    <row r="57" spans="22:23" s="271" customFormat="1" x14ac:dyDescent="0.25">
      <c r="V57" s="272"/>
      <c r="W57" s="272"/>
    </row>
    <row r="58" spans="22:23" s="271" customFormat="1" x14ac:dyDescent="0.25">
      <c r="V58" s="272"/>
      <c r="W58" s="272"/>
    </row>
    <row r="59" spans="22:23" s="271" customFormat="1" x14ac:dyDescent="0.25">
      <c r="V59" s="272"/>
      <c r="W59" s="272"/>
    </row>
    <row r="60" spans="22:23" s="271" customFormat="1" x14ac:dyDescent="0.25">
      <c r="V60" s="272"/>
      <c r="W60" s="272"/>
    </row>
    <row r="61" spans="22:23" s="271" customFormat="1" x14ac:dyDescent="0.25">
      <c r="V61" s="272"/>
      <c r="W61" s="272"/>
    </row>
    <row r="62" spans="22:23" s="271" customFormat="1" x14ac:dyDescent="0.25">
      <c r="V62" s="272"/>
      <c r="W62" s="272"/>
    </row>
    <row r="63" spans="22:23" s="271" customFormat="1" x14ac:dyDescent="0.25">
      <c r="V63" s="272"/>
      <c r="W63" s="272"/>
    </row>
    <row r="64" spans="22:23" s="271" customFormat="1" x14ac:dyDescent="0.25">
      <c r="V64" s="272"/>
      <c r="W64" s="272"/>
    </row>
    <row r="65" spans="22:23" s="271" customFormat="1" x14ac:dyDescent="0.25">
      <c r="V65" s="272"/>
      <c r="W65" s="272"/>
    </row>
    <row r="66" spans="22:23" s="271" customFormat="1" x14ac:dyDescent="0.25">
      <c r="V66" s="272"/>
      <c r="W66" s="272"/>
    </row>
    <row r="67" spans="22:23" s="271" customFormat="1" x14ac:dyDescent="0.25">
      <c r="V67" s="272"/>
      <c r="W67" s="272"/>
    </row>
    <row r="68" spans="22:23" s="271" customFormat="1" x14ac:dyDescent="0.25">
      <c r="V68" s="272"/>
      <c r="W68" s="272"/>
    </row>
    <row r="69" spans="22:23" s="271" customFormat="1" x14ac:dyDescent="0.25">
      <c r="V69" s="272"/>
      <c r="W69" s="272"/>
    </row>
    <row r="70" spans="22:23" s="271" customFormat="1" x14ac:dyDescent="0.25">
      <c r="V70" s="272"/>
      <c r="W70" s="272"/>
    </row>
    <row r="71" spans="22:23" s="271" customFormat="1" x14ac:dyDescent="0.25">
      <c r="V71" s="272"/>
      <c r="W71" s="272"/>
    </row>
    <row r="72" spans="22:23" s="271" customFormat="1" x14ac:dyDescent="0.25">
      <c r="V72" s="272"/>
      <c r="W72" s="272"/>
    </row>
    <row r="73" spans="22:23" s="271" customFormat="1" x14ac:dyDescent="0.25">
      <c r="V73" s="272"/>
      <c r="W73" s="272"/>
    </row>
    <row r="74" spans="22:23" s="271" customFormat="1" x14ac:dyDescent="0.25">
      <c r="V74" s="272"/>
      <c r="W74" s="272"/>
    </row>
    <row r="75" spans="22:23" s="271" customFormat="1" x14ac:dyDescent="0.25">
      <c r="V75" s="272"/>
      <c r="W75" s="272"/>
    </row>
    <row r="76" spans="22:23" s="271" customFormat="1" x14ac:dyDescent="0.25">
      <c r="V76" s="272"/>
      <c r="W76" s="272"/>
    </row>
    <row r="77" spans="22:23" s="271" customFormat="1" x14ac:dyDescent="0.25">
      <c r="V77" s="272"/>
      <c r="W77" s="272"/>
    </row>
    <row r="78" spans="22:23" s="271" customFormat="1" x14ac:dyDescent="0.25">
      <c r="V78" s="272"/>
      <c r="W78" s="272"/>
    </row>
    <row r="79" spans="22:23" s="271" customFormat="1" x14ac:dyDescent="0.25">
      <c r="V79" s="272"/>
      <c r="W79" s="272"/>
    </row>
    <row r="80" spans="22:23" s="271" customFormat="1" x14ac:dyDescent="0.25">
      <c r="V80" s="272"/>
      <c r="W80" s="272"/>
    </row>
    <row r="81" spans="22:23" s="271" customFormat="1" x14ac:dyDescent="0.25">
      <c r="V81" s="272"/>
      <c r="W81" s="272"/>
    </row>
    <row r="82" spans="22:23" s="271" customFormat="1" x14ac:dyDescent="0.25">
      <c r="V82" s="272"/>
      <c r="W82" s="272"/>
    </row>
    <row r="83" spans="22:23" s="271" customFormat="1" x14ac:dyDescent="0.25">
      <c r="V83" s="272"/>
      <c r="W83" s="272"/>
    </row>
    <row r="84" spans="22:23" s="271" customFormat="1" x14ac:dyDescent="0.25">
      <c r="V84" s="272"/>
      <c r="W84" s="272"/>
    </row>
    <row r="85" spans="22:23" s="271" customFormat="1" x14ac:dyDescent="0.25">
      <c r="V85" s="272"/>
      <c r="W85" s="272"/>
    </row>
    <row r="86" spans="22:23" s="271" customFormat="1" x14ac:dyDescent="0.25">
      <c r="V86" s="272"/>
      <c r="W86" s="272"/>
    </row>
    <row r="87" spans="22:23" s="271" customFormat="1" x14ac:dyDescent="0.25">
      <c r="V87" s="272"/>
      <c r="W87" s="272"/>
    </row>
    <row r="88" spans="22:23" s="271" customFormat="1" x14ac:dyDescent="0.25">
      <c r="V88" s="272"/>
      <c r="W88" s="272"/>
    </row>
    <row r="89" spans="22:23" s="271" customFormat="1" x14ac:dyDescent="0.25">
      <c r="V89" s="272"/>
      <c r="W89" s="272"/>
    </row>
    <row r="90" spans="22:23" s="271" customFormat="1" x14ac:dyDescent="0.25">
      <c r="V90" s="272"/>
      <c r="W90" s="272"/>
    </row>
    <row r="91" spans="22:23" s="271" customFormat="1" x14ac:dyDescent="0.25">
      <c r="V91" s="272"/>
      <c r="W91" s="272"/>
    </row>
    <row r="92" spans="22:23" s="271" customFormat="1" x14ac:dyDescent="0.25">
      <c r="V92" s="272"/>
      <c r="W92" s="272"/>
    </row>
    <row r="93" spans="22:23" s="271" customFormat="1" x14ac:dyDescent="0.25">
      <c r="V93" s="272"/>
      <c r="W93" s="272"/>
    </row>
    <row r="94" spans="22:23" s="271" customFormat="1" x14ac:dyDescent="0.25">
      <c r="V94" s="272"/>
      <c r="W94" s="272"/>
    </row>
    <row r="95" spans="22:23" s="271" customFormat="1" x14ac:dyDescent="0.25">
      <c r="V95" s="272"/>
      <c r="W95" s="272"/>
    </row>
    <row r="96" spans="22:23" s="271" customFormat="1" x14ac:dyDescent="0.25">
      <c r="V96" s="272"/>
      <c r="W96" s="272"/>
    </row>
    <row r="97" spans="22:23" s="271" customFormat="1" x14ac:dyDescent="0.25">
      <c r="V97" s="272"/>
      <c r="W97" s="272"/>
    </row>
    <row r="98" spans="22:23" s="271" customFormat="1" x14ac:dyDescent="0.25">
      <c r="V98" s="272"/>
      <c r="W98" s="272"/>
    </row>
    <row r="99" spans="22:23" s="271" customFormat="1" x14ac:dyDescent="0.25">
      <c r="V99" s="272"/>
      <c r="W99" s="272"/>
    </row>
    <row r="100" spans="22:23" s="271" customFormat="1" x14ac:dyDescent="0.25">
      <c r="V100" s="272"/>
      <c r="W100" s="272"/>
    </row>
    <row r="101" spans="22:23" s="271" customFormat="1" x14ac:dyDescent="0.25">
      <c r="V101" s="272"/>
      <c r="W101" s="272"/>
    </row>
    <row r="102" spans="22:23" s="271" customFormat="1" x14ac:dyDescent="0.25">
      <c r="V102" s="272"/>
      <c r="W102" s="272"/>
    </row>
    <row r="103" spans="22:23" s="271" customFormat="1" x14ac:dyDescent="0.25">
      <c r="V103" s="272"/>
      <c r="W103" s="272"/>
    </row>
    <row r="104" spans="22:23" s="271" customFormat="1" x14ac:dyDescent="0.25">
      <c r="V104" s="272"/>
      <c r="W104" s="272"/>
    </row>
    <row r="105" spans="22:23" s="271" customFormat="1" x14ac:dyDescent="0.25">
      <c r="V105" s="272"/>
      <c r="W105" s="272"/>
    </row>
    <row r="106" spans="22:23" s="271" customFormat="1" x14ac:dyDescent="0.25">
      <c r="V106" s="272"/>
      <c r="W106" s="272"/>
    </row>
    <row r="107" spans="22:23" s="271" customFormat="1" x14ac:dyDescent="0.25">
      <c r="V107" s="272"/>
      <c r="W107" s="272"/>
    </row>
    <row r="108" spans="22:23" s="271" customFormat="1" x14ac:dyDescent="0.25">
      <c r="V108" s="272"/>
      <c r="W108" s="272"/>
    </row>
    <row r="109" spans="22:23" s="271" customFormat="1" x14ac:dyDescent="0.25">
      <c r="V109" s="272"/>
      <c r="W109" s="272"/>
    </row>
    <row r="110" spans="22:23" s="271" customFormat="1" x14ac:dyDescent="0.25">
      <c r="V110" s="272"/>
      <c r="W110" s="272"/>
    </row>
    <row r="111" spans="22:23" s="271" customFormat="1" x14ac:dyDescent="0.25">
      <c r="V111" s="272"/>
      <c r="W111" s="272"/>
    </row>
    <row r="112" spans="22:23" s="271" customFormat="1" x14ac:dyDescent="0.25">
      <c r="V112" s="272"/>
      <c r="W112" s="272"/>
    </row>
    <row r="113" spans="22:23" s="271" customFormat="1" x14ac:dyDescent="0.25">
      <c r="V113" s="272"/>
      <c r="W113" s="272"/>
    </row>
    <row r="114" spans="22:23" s="271" customFormat="1" x14ac:dyDescent="0.25">
      <c r="V114" s="272"/>
      <c r="W114" s="272"/>
    </row>
    <row r="115" spans="22:23" s="271" customFormat="1" x14ac:dyDescent="0.25">
      <c r="V115" s="272"/>
      <c r="W115" s="272"/>
    </row>
    <row r="116" spans="22:23" s="271" customFormat="1" x14ac:dyDescent="0.25">
      <c r="V116" s="272"/>
      <c r="W116" s="272"/>
    </row>
    <row r="117" spans="22:23" s="271" customFormat="1" x14ac:dyDescent="0.25">
      <c r="V117" s="272"/>
      <c r="W117" s="272"/>
    </row>
    <row r="118" spans="22:23" s="271" customFormat="1" x14ac:dyDescent="0.25">
      <c r="V118" s="272"/>
      <c r="W118" s="272"/>
    </row>
    <row r="119" spans="22:23" s="271" customFormat="1" x14ac:dyDescent="0.25">
      <c r="V119" s="272"/>
      <c r="W119" s="272"/>
    </row>
    <row r="120" spans="22:23" s="271" customFormat="1" x14ac:dyDescent="0.25">
      <c r="V120" s="272"/>
      <c r="W120" s="272"/>
    </row>
    <row r="121" spans="22:23" s="271" customFormat="1" x14ac:dyDescent="0.25">
      <c r="V121" s="272"/>
      <c r="W121" s="272"/>
    </row>
    <row r="122" spans="22:23" s="271" customFormat="1" x14ac:dyDescent="0.25">
      <c r="V122" s="272"/>
      <c r="W122" s="272"/>
    </row>
    <row r="123" spans="22:23" s="271" customFormat="1" x14ac:dyDescent="0.25">
      <c r="V123" s="272"/>
      <c r="W123" s="272"/>
    </row>
    <row r="124" spans="22:23" s="271" customFormat="1" x14ac:dyDescent="0.25">
      <c r="V124" s="272"/>
      <c r="W124" s="272"/>
    </row>
    <row r="125" spans="22:23" s="271" customFormat="1" x14ac:dyDescent="0.25">
      <c r="V125" s="272"/>
      <c r="W125" s="272"/>
    </row>
    <row r="126" spans="22:23" s="271" customFormat="1" x14ac:dyDescent="0.25">
      <c r="V126" s="272"/>
      <c r="W126" s="272"/>
    </row>
    <row r="127" spans="22:23" s="271" customFormat="1" x14ac:dyDescent="0.25">
      <c r="V127" s="272"/>
      <c r="W127" s="272"/>
    </row>
    <row r="128" spans="22:23" s="271" customFormat="1" x14ac:dyDescent="0.25">
      <c r="V128" s="272"/>
      <c r="W128" s="272"/>
    </row>
    <row r="129" spans="22:23" s="271" customFormat="1" x14ac:dyDescent="0.25">
      <c r="V129" s="272"/>
      <c r="W129" s="272"/>
    </row>
    <row r="130" spans="22:23" s="271" customFormat="1" x14ac:dyDescent="0.25">
      <c r="V130" s="272"/>
      <c r="W130" s="272"/>
    </row>
    <row r="131" spans="22:23" s="271" customFormat="1" x14ac:dyDescent="0.25">
      <c r="V131" s="272"/>
      <c r="W131" s="272"/>
    </row>
    <row r="132" spans="22:23" s="271" customFormat="1" x14ac:dyDescent="0.25">
      <c r="V132" s="272"/>
      <c r="W132" s="272"/>
    </row>
    <row r="133" spans="22:23" s="271" customFormat="1" x14ac:dyDescent="0.25">
      <c r="V133" s="272"/>
      <c r="W133" s="272"/>
    </row>
    <row r="134" spans="22:23" s="271" customFormat="1" x14ac:dyDescent="0.25">
      <c r="V134" s="272"/>
      <c r="W134" s="272"/>
    </row>
    <row r="135" spans="22:23" s="271" customFormat="1" x14ac:dyDescent="0.25">
      <c r="V135" s="272"/>
      <c r="W135" s="272"/>
    </row>
    <row r="136" spans="22:23" s="271" customFormat="1" x14ac:dyDescent="0.25">
      <c r="V136" s="272"/>
      <c r="W136" s="272"/>
    </row>
    <row r="137" spans="22:23" s="271" customFormat="1" x14ac:dyDescent="0.25">
      <c r="V137" s="272"/>
      <c r="W137" s="272"/>
    </row>
    <row r="138" spans="22:23" s="271" customFormat="1" x14ac:dyDescent="0.25">
      <c r="V138" s="272"/>
      <c r="W138" s="272"/>
    </row>
    <row r="139" spans="22:23" s="271" customFormat="1" x14ac:dyDescent="0.25">
      <c r="V139" s="272"/>
      <c r="W139" s="272"/>
    </row>
    <row r="140" spans="22:23" s="271" customFormat="1" x14ac:dyDescent="0.25">
      <c r="V140" s="272"/>
      <c r="W140" s="272"/>
    </row>
    <row r="141" spans="22:23" s="271" customFormat="1" x14ac:dyDescent="0.25">
      <c r="V141" s="272"/>
      <c r="W141" s="272"/>
    </row>
    <row r="142" spans="22:23" s="271" customFormat="1" x14ac:dyDescent="0.25">
      <c r="V142" s="272"/>
      <c r="W142" s="272"/>
    </row>
    <row r="143" spans="22:23" s="271" customFormat="1" x14ac:dyDescent="0.25">
      <c r="V143" s="272"/>
      <c r="W143" s="272"/>
    </row>
    <row r="144" spans="22:23" s="271" customFormat="1" x14ac:dyDescent="0.25">
      <c r="V144" s="272"/>
      <c r="W144" s="272"/>
    </row>
    <row r="145" spans="22:23" s="271" customFormat="1" x14ac:dyDescent="0.25">
      <c r="V145" s="272"/>
      <c r="W145" s="272"/>
    </row>
    <row r="146" spans="22:23" s="271" customFormat="1" x14ac:dyDescent="0.25">
      <c r="V146" s="272"/>
      <c r="W146" s="272"/>
    </row>
    <row r="147" spans="22:23" s="271" customFormat="1" x14ac:dyDescent="0.25">
      <c r="V147" s="272"/>
      <c r="W147" s="272"/>
    </row>
    <row r="148" spans="22:23" s="271" customFormat="1" x14ac:dyDescent="0.25">
      <c r="V148" s="272"/>
      <c r="W148" s="272"/>
    </row>
    <row r="149" spans="22:23" s="271" customFormat="1" x14ac:dyDescent="0.25">
      <c r="V149" s="272"/>
      <c r="W149" s="272"/>
    </row>
    <row r="150" spans="22:23" s="271" customFormat="1" x14ac:dyDescent="0.25">
      <c r="V150" s="272"/>
      <c r="W150" s="272"/>
    </row>
    <row r="151" spans="22:23" s="271" customFormat="1" x14ac:dyDescent="0.25">
      <c r="V151" s="272"/>
      <c r="W151" s="272"/>
    </row>
    <row r="152" spans="22:23" s="271" customFormat="1" x14ac:dyDescent="0.25">
      <c r="V152" s="272"/>
      <c r="W152" s="272"/>
    </row>
    <row r="153" spans="22:23" s="271" customFormat="1" x14ac:dyDescent="0.25">
      <c r="V153" s="272"/>
      <c r="W153" s="272"/>
    </row>
    <row r="154" spans="22:23" s="271" customFormat="1" x14ac:dyDescent="0.25">
      <c r="V154" s="272"/>
      <c r="W154" s="272"/>
    </row>
    <row r="155" spans="22:23" s="271" customFormat="1" x14ac:dyDescent="0.25">
      <c r="V155" s="272"/>
      <c r="W155" s="272"/>
    </row>
    <row r="156" spans="22:23" s="271" customFormat="1" x14ac:dyDescent="0.25">
      <c r="V156" s="272"/>
      <c r="W156" s="272"/>
    </row>
    <row r="157" spans="22:23" s="271" customFormat="1" x14ac:dyDescent="0.25">
      <c r="V157" s="272"/>
      <c r="W157" s="272"/>
    </row>
    <row r="158" spans="22:23" s="271" customFormat="1" x14ac:dyDescent="0.25">
      <c r="V158" s="272"/>
      <c r="W158" s="272"/>
    </row>
    <row r="159" spans="22:23" s="271" customFormat="1" x14ac:dyDescent="0.25">
      <c r="V159" s="272"/>
      <c r="W159" s="272"/>
    </row>
    <row r="160" spans="22:23" s="271" customFormat="1" x14ac:dyDescent="0.25">
      <c r="V160" s="272"/>
      <c r="W160" s="272"/>
    </row>
    <row r="161" spans="22:23" s="271" customFormat="1" x14ac:dyDescent="0.25">
      <c r="V161" s="272"/>
      <c r="W161" s="272"/>
    </row>
    <row r="162" spans="22:23" s="271" customFormat="1" x14ac:dyDescent="0.25">
      <c r="V162" s="272"/>
      <c r="W162" s="272"/>
    </row>
    <row r="163" spans="22:23" s="271" customFormat="1" x14ac:dyDescent="0.25">
      <c r="V163" s="272"/>
      <c r="W163" s="272"/>
    </row>
    <row r="164" spans="22:23" s="271" customFormat="1" x14ac:dyDescent="0.25">
      <c r="V164" s="272"/>
      <c r="W164" s="272"/>
    </row>
    <row r="165" spans="22:23" s="271" customFormat="1" x14ac:dyDescent="0.25">
      <c r="V165" s="272"/>
      <c r="W165" s="272"/>
    </row>
    <row r="166" spans="22:23" s="271" customFormat="1" x14ac:dyDescent="0.25">
      <c r="V166" s="272"/>
      <c r="W166" s="272"/>
    </row>
    <row r="167" spans="22:23" s="271" customFormat="1" x14ac:dyDescent="0.25">
      <c r="V167" s="272"/>
      <c r="W167" s="272"/>
    </row>
    <row r="168" spans="22:23" s="271" customFormat="1" x14ac:dyDescent="0.25">
      <c r="V168" s="272"/>
      <c r="W168" s="272"/>
    </row>
    <row r="169" spans="22:23" s="271" customFormat="1" x14ac:dyDescent="0.25">
      <c r="V169" s="272"/>
      <c r="W169" s="272"/>
    </row>
    <row r="170" spans="22:23" s="271" customFormat="1" x14ac:dyDescent="0.25">
      <c r="V170" s="272"/>
      <c r="W170" s="272"/>
    </row>
    <row r="171" spans="22:23" s="271" customFormat="1" x14ac:dyDescent="0.25">
      <c r="V171" s="272"/>
      <c r="W171" s="272"/>
    </row>
    <row r="172" spans="22:23" s="271" customFormat="1" x14ac:dyDescent="0.25">
      <c r="V172" s="272"/>
      <c r="W172" s="272"/>
    </row>
    <row r="173" spans="22:23" s="271" customFormat="1" x14ac:dyDescent="0.25">
      <c r="V173" s="272"/>
      <c r="W173" s="272"/>
    </row>
    <row r="174" spans="22:23" s="271" customFormat="1" x14ac:dyDescent="0.25">
      <c r="V174" s="272"/>
      <c r="W174" s="272"/>
    </row>
    <row r="175" spans="22:23" s="271" customFormat="1" x14ac:dyDescent="0.25">
      <c r="V175" s="272"/>
      <c r="W175" s="272"/>
    </row>
    <row r="176" spans="22:23" s="271" customFormat="1" x14ac:dyDescent="0.25">
      <c r="V176" s="272"/>
      <c r="W176" s="272"/>
    </row>
    <row r="177" spans="22:23" s="271" customFormat="1" x14ac:dyDescent="0.25">
      <c r="V177" s="272"/>
      <c r="W177" s="272"/>
    </row>
    <row r="178" spans="22:23" s="271" customFormat="1" x14ac:dyDescent="0.25">
      <c r="V178" s="272"/>
      <c r="W178" s="272"/>
    </row>
    <row r="179" spans="22:23" s="271" customFormat="1" x14ac:dyDescent="0.25">
      <c r="V179" s="272"/>
      <c r="W179" s="272"/>
    </row>
    <row r="180" spans="22:23" s="271" customFormat="1" x14ac:dyDescent="0.25">
      <c r="V180" s="272"/>
      <c r="W180" s="272"/>
    </row>
    <row r="181" spans="22:23" s="271" customFormat="1" x14ac:dyDescent="0.25">
      <c r="V181" s="272"/>
      <c r="W181" s="272"/>
    </row>
    <row r="182" spans="22:23" s="271" customFormat="1" x14ac:dyDescent="0.25">
      <c r="V182" s="272"/>
      <c r="W182" s="272"/>
    </row>
    <row r="183" spans="22:23" s="271" customFormat="1" x14ac:dyDescent="0.25">
      <c r="V183" s="272"/>
      <c r="W183" s="272"/>
    </row>
    <row r="184" spans="22:23" s="271" customFormat="1" x14ac:dyDescent="0.25">
      <c r="V184" s="272"/>
      <c r="W184" s="272"/>
    </row>
    <row r="185" spans="22:23" s="271" customFormat="1" x14ac:dyDescent="0.25">
      <c r="V185" s="272"/>
      <c r="W185" s="272"/>
    </row>
    <row r="186" spans="22:23" s="271" customFormat="1" x14ac:dyDescent="0.25">
      <c r="V186" s="272"/>
      <c r="W186" s="272"/>
    </row>
    <row r="187" spans="22:23" s="271" customFormat="1" x14ac:dyDescent="0.25">
      <c r="V187" s="272"/>
      <c r="W187" s="272"/>
    </row>
    <row r="188" spans="22:23" s="271" customFormat="1" x14ac:dyDescent="0.25">
      <c r="V188" s="272"/>
      <c r="W188" s="272"/>
    </row>
    <row r="189" spans="22:23" s="271" customFormat="1" x14ac:dyDescent="0.25">
      <c r="V189" s="272"/>
      <c r="W189" s="272"/>
    </row>
    <row r="190" spans="22:23" s="271" customFormat="1" x14ac:dyDescent="0.25">
      <c r="V190" s="272"/>
      <c r="W190" s="272"/>
    </row>
    <row r="191" spans="22:23" s="271" customFormat="1" x14ac:dyDescent="0.25">
      <c r="V191" s="272"/>
      <c r="W191" s="272"/>
    </row>
    <row r="192" spans="22:23" s="271" customFormat="1" x14ac:dyDescent="0.25">
      <c r="V192" s="272"/>
      <c r="W192" s="272"/>
    </row>
    <row r="193" spans="22:23" s="271" customFormat="1" x14ac:dyDescent="0.25">
      <c r="V193" s="272"/>
      <c r="W193" s="272"/>
    </row>
    <row r="194" spans="22:23" s="271" customFormat="1" x14ac:dyDescent="0.25">
      <c r="V194" s="272"/>
      <c r="W194" s="272"/>
    </row>
    <row r="195" spans="22:23" s="271" customFormat="1" x14ac:dyDescent="0.25">
      <c r="V195" s="272"/>
      <c r="W195" s="272"/>
    </row>
    <row r="196" spans="22:23" s="271" customFormat="1" x14ac:dyDescent="0.25">
      <c r="V196" s="272"/>
      <c r="W196" s="272"/>
    </row>
    <row r="197" spans="22:23" s="271" customFormat="1" x14ac:dyDescent="0.25">
      <c r="V197" s="272"/>
      <c r="W197" s="272"/>
    </row>
    <row r="198" spans="22:23" s="271" customFormat="1" x14ac:dyDescent="0.25">
      <c r="V198" s="272"/>
      <c r="W198" s="272"/>
    </row>
    <row r="199" spans="22:23" s="271" customFormat="1" x14ac:dyDescent="0.25">
      <c r="V199" s="272"/>
      <c r="W199" s="272"/>
    </row>
    <row r="200" spans="22:23" s="271" customFormat="1" x14ac:dyDescent="0.25">
      <c r="V200" s="272"/>
      <c r="W200" s="272"/>
    </row>
    <row r="201" spans="22:23" s="271" customFormat="1" x14ac:dyDescent="0.25">
      <c r="V201" s="272"/>
      <c r="W201" s="272"/>
    </row>
    <row r="202" spans="22:23" s="271" customFormat="1" x14ac:dyDescent="0.25">
      <c r="V202" s="272"/>
      <c r="W202" s="272"/>
    </row>
    <row r="203" spans="22:23" s="271" customFormat="1" x14ac:dyDescent="0.25">
      <c r="V203" s="272"/>
      <c r="W203" s="272"/>
    </row>
    <row r="204" spans="22:23" s="271" customFormat="1" x14ac:dyDescent="0.25">
      <c r="V204" s="272"/>
      <c r="W204" s="272"/>
    </row>
    <row r="205" spans="22:23" s="271" customFormat="1" x14ac:dyDescent="0.25">
      <c r="V205" s="272"/>
      <c r="W205" s="272"/>
    </row>
    <row r="206" spans="22:23" s="271" customFormat="1" x14ac:dyDescent="0.25">
      <c r="V206" s="272"/>
      <c r="W206" s="272"/>
    </row>
    <row r="207" spans="22:23" s="271" customFormat="1" x14ac:dyDescent="0.25">
      <c r="V207" s="272"/>
      <c r="W207" s="272"/>
    </row>
    <row r="208" spans="22:23" s="271" customFormat="1" x14ac:dyDescent="0.25">
      <c r="V208" s="272"/>
      <c r="W208" s="272"/>
    </row>
    <row r="209" spans="22:23" s="271" customFormat="1" x14ac:dyDescent="0.25">
      <c r="V209" s="272"/>
      <c r="W209" s="272"/>
    </row>
    <row r="210" spans="22:23" s="271" customFormat="1" x14ac:dyDescent="0.25">
      <c r="V210" s="272"/>
      <c r="W210" s="272"/>
    </row>
    <row r="211" spans="22:23" s="271" customFormat="1" x14ac:dyDescent="0.25">
      <c r="V211" s="272"/>
      <c r="W211" s="272"/>
    </row>
    <row r="212" spans="22:23" s="271" customFormat="1" x14ac:dyDescent="0.25">
      <c r="V212" s="272"/>
      <c r="W212" s="272"/>
    </row>
    <row r="213" spans="22:23" s="271" customFormat="1" x14ac:dyDescent="0.25">
      <c r="V213" s="272"/>
      <c r="W213" s="272"/>
    </row>
    <row r="214" spans="22:23" s="271" customFormat="1" x14ac:dyDescent="0.25">
      <c r="V214" s="272"/>
      <c r="W214" s="272"/>
    </row>
    <row r="215" spans="22:23" s="271" customFormat="1" x14ac:dyDescent="0.25">
      <c r="V215" s="272"/>
      <c r="W215" s="272"/>
    </row>
    <row r="216" spans="22:23" s="271" customFormat="1" x14ac:dyDescent="0.25">
      <c r="V216" s="272"/>
      <c r="W216" s="272"/>
    </row>
    <row r="217" spans="22:23" s="271" customFormat="1" x14ac:dyDescent="0.25">
      <c r="V217" s="272"/>
      <c r="W217" s="272"/>
    </row>
    <row r="218" spans="22:23" s="271" customFormat="1" x14ac:dyDescent="0.25">
      <c r="V218" s="272"/>
      <c r="W218" s="272"/>
    </row>
    <row r="219" spans="22:23" s="271" customFormat="1" x14ac:dyDescent="0.25">
      <c r="V219" s="272"/>
      <c r="W219" s="272"/>
    </row>
    <row r="220" spans="22:23" s="271" customFormat="1" x14ac:dyDescent="0.25">
      <c r="V220" s="272"/>
      <c r="W220" s="272"/>
    </row>
    <row r="221" spans="22:23" s="271" customFormat="1" x14ac:dyDescent="0.25">
      <c r="V221" s="272"/>
      <c r="W221" s="272"/>
    </row>
    <row r="222" spans="22:23" s="271" customFormat="1" x14ac:dyDescent="0.25">
      <c r="V222" s="272"/>
      <c r="W222" s="272"/>
    </row>
    <row r="223" spans="22:23" s="271" customFormat="1" x14ac:dyDescent="0.25">
      <c r="V223" s="272"/>
      <c r="W223" s="272"/>
    </row>
    <row r="224" spans="22:23" s="271" customFormat="1" x14ac:dyDescent="0.25">
      <c r="V224" s="272"/>
      <c r="W224" s="272"/>
    </row>
    <row r="225" spans="22:23" s="271" customFormat="1" x14ac:dyDescent="0.25">
      <c r="V225" s="272"/>
      <c r="W225" s="272"/>
    </row>
    <row r="226" spans="22:23" s="271" customFormat="1" x14ac:dyDescent="0.25">
      <c r="V226" s="272"/>
      <c r="W226" s="272"/>
    </row>
    <row r="227" spans="22:23" s="271" customFormat="1" x14ac:dyDescent="0.25">
      <c r="V227" s="272"/>
      <c r="W227" s="272"/>
    </row>
    <row r="228" spans="22:23" s="271" customFormat="1" x14ac:dyDescent="0.25">
      <c r="V228" s="272"/>
      <c r="W228" s="272"/>
    </row>
    <row r="229" spans="22:23" s="271" customFormat="1" x14ac:dyDescent="0.25">
      <c r="V229" s="272"/>
      <c r="W229" s="272"/>
    </row>
    <row r="230" spans="22:23" s="271" customFormat="1" x14ac:dyDescent="0.25">
      <c r="V230" s="272"/>
      <c r="W230" s="272"/>
    </row>
    <row r="231" spans="22:23" s="271" customFormat="1" x14ac:dyDescent="0.25">
      <c r="V231" s="272"/>
      <c r="W231" s="272"/>
    </row>
    <row r="232" spans="22:23" s="271" customFormat="1" x14ac:dyDescent="0.25">
      <c r="V232" s="272"/>
      <c r="W232" s="272"/>
    </row>
    <row r="233" spans="22:23" s="271" customFormat="1" x14ac:dyDescent="0.25">
      <c r="V233" s="272"/>
      <c r="W233" s="272"/>
    </row>
    <row r="234" spans="22:23" s="271" customFormat="1" x14ac:dyDescent="0.25">
      <c r="V234" s="272"/>
      <c r="W234" s="272"/>
    </row>
    <row r="235" spans="22:23" s="271" customFormat="1" x14ac:dyDescent="0.25">
      <c r="V235" s="272"/>
      <c r="W235" s="272"/>
    </row>
    <row r="236" spans="22:23" s="271" customFormat="1" x14ac:dyDescent="0.25">
      <c r="V236" s="272"/>
      <c r="W236" s="272"/>
    </row>
    <row r="237" spans="22:23" s="271" customFormat="1" x14ac:dyDescent="0.25">
      <c r="V237" s="272"/>
      <c r="W237" s="272"/>
    </row>
    <row r="238" spans="22:23" s="271" customFormat="1" x14ac:dyDescent="0.25">
      <c r="V238" s="272"/>
      <c r="W238" s="272"/>
    </row>
    <row r="239" spans="22:23" s="271" customFormat="1" x14ac:dyDescent="0.25">
      <c r="V239" s="272"/>
      <c r="W239" s="272"/>
    </row>
    <row r="240" spans="22:23" s="271" customFormat="1" x14ac:dyDescent="0.25">
      <c r="V240" s="272"/>
      <c r="W240" s="272"/>
    </row>
    <row r="241" spans="22:23" s="271" customFormat="1" x14ac:dyDescent="0.25">
      <c r="V241" s="272"/>
      <c r="W241" s="272"/>
    </row>
    <row r="242" spans="22:23" s="271" customFormat="1" x14ac:dyDescent="0.25">
      <c r="V242" s="272"/>
      <c r="W242" s="272"/>
    </row>
    <row r="243" spans="22:23" s="271" customFormat="1" x14ac:dyDescent="0.25">
      <c r="V243" s="272"/>
      <c r="W243" s="272"/>
    </row>
    <row r="244" spans="22:23" s="271" customFormat="1" x14ac:dyDescent="0.25">
      <c r="V244" s="272"/>
      <c r="W244" s="272"/>
    </row>
    <row r="245" spans="22:23" s="271" customFormat="1" x14ac:dyDescent="0.25">
      <c r="V245" s="272"/>
      <c r="W245" s="272"/>
    </row>
    <row r="246" spans="22:23" s="271" customFormat="1" x14ac:dyDescent="0.25">
      <c r="V246" s="272"/>
      <c r="W246" s="272"/>
    </row>
    <row r="247" spans="22:23" s="271" customFormat="1" x14ac:dyDescent="0.25">
      <c r="V247" s="272"/>
      <c r="W247" s="272"/>
    </row>
    <row r="248" spans="22:23" s="271" customFormat="1" x14ac:dyDescent="0.25">
      <c r="V248" s="272"/>
      <c r="W248" s="272"/>
    </row>
    <row r="249" spans="22:23" s="271" customFormat="1" x14ac:dyDescent="0.25">
      <c r="V249" s="272"/>
      <c r="W249" s="272"/>
    </row>
    <row r="250" spans="22:23" s="271" customFormat="1" x14ac:dyDescent="0.25">
      <c r="V250" s="272"/>
      <c r="W250" s="272"/>
    </row>
    <row r="251" spans="22:23" s="271" customFormat="1" x14ac:dyDescent="0.25">
      <c r="V251" s="272"/>
      <c r="W251" s="272"/>
    </row>
    <row r="252" spans="22:23" s="271" customFormat="1" x14ac:dyDescent="0.25">
      <c r="V252" s="272"/>
      <c r="W252" s="272"/>
    </row>
    <row r="253" spans="22:23" s="271" customFormat="1" x14ac:dyDescent="0.25">
      <c r="V253" s="272"/>
      <c r="W253" s="272"/>
    </row>
    <row r="254" spans="22:23" s="271" customFormat="1" x14ac:dyDescent="0.25">
      <c r="V254" s="272"/>
      <c r="W254" s="272"/>
    </row>
    <row r="255" spans="22:23" s="271" customFormat="1" x14ac:dyDescent="0.25">
      <c r="V255" s="272"/>
      <c r="W255" s="272"/>
    </row>
    <row r="256" spans="22:23" s="271" customFormat="1" x14ac:dyDescent="0.25">
      <c r="V256" s="272"/>
      <c r="W256" s="272"/>
    </row>
    <row r="257" spans="22:23" s="271" customFormat="1" x14ac:dyDescent="0.25">
      <c r="V257" s="272"/>
      <c r="W257" s="272"/>
    </row>
    <row r="258" spans="22:23" s="271" customFormat="1" x14ac:dyDescent="0.25">
      <c r="V258" s="272"/>
      <c r="W258" s="272"/>
    </row>
    <row r="259" spans="22:23" s="271" customFormat="1" x14ac:dyDescent="0.25">
      <c r="V259" s="272"/>
      <c r="W259" s="272"/>
    </row>
    <row r="260" spans="22:23" s="271" customFormat="1" x14ac:dyDescent="0.25">
      <c r="V260" s="272"/>
      <c r="W260" s="272"/>
    </row>
    <row r="261" spans="22:23" s="271" customFormat="1" x14ac:dyDescent="0.25">
      <c r="V261" s="272"/>
      <c r="W261" s="272"/>
    </row>
    <row r="262" spans="22:23" s="271" customFormat="1" x14ac:dyDescent="0.25">
      <c r="V262" s="272"/>
      <c r="W262" s="272"/>
    </row>
    <row r="263" spans="22:23" s="271" customFormat="1" x14ac:dyDescent="0.25">
      <c r="V263" s="272"/>
      <c r="W263" s="272"/>
    </row>
    <row r="264" spans="22:23" s="271" customFormat="1" x14ac:dyDescent="0.25">
      <c r="V264" s="272"/>
      <c r="W264" s="272"/>
    </row>
    <row r="265" spans="22:23" s="271" customFormat="1" x14ac:dyDescent="0.25">
      <c r="V265" s="272"/>
      <c r="W265" s="272"/>
    </row>
    <row r="266" spans="22:23" s="271" customFormat="1" x14ac:dyDescent="0.25">
      <c r="V266" s="272"/>
      <c r="W266" s="272"/>
    </row>
    <row r="267" spans="22:23" s="271" customFormat="1" x14ac:dyDescent="0.25">
      <c r="V267" s="272"/>
      <c r="W267" s="272"/>
    </row>
    <row r="268" spans="22:23" s="271" customFormat="1" x14ac:dyDescent="0.25">
      <c r="V268" s="272"/>
      <c r="W268" s="272"/>
    </row>
    <row r="269" spans="22:23" s="271" customFormat="1" x14ac:dyDescent="0.25">
      <c r="V269" s="272"/>
      <c r="W269" s="272"/>
    </row>
    <row r="270" spans="22:23" s="271" customFormat="1" x14ac:dyDescent="0.25">
      <c r="V270" s="272"/>
      <c r="W270" s="272"/>
    </row>
    <row r="271" spans="22:23" s="271" customFormat="1" x14ac:dyDescent="0.25">
      <c r="V271" s="272"/>
      <c r="W271" s="272"/>
    </row>
    <row r="272" spans="22:23" s="271" customFormat="1" x14ac:dyDescent="0.25">
      <c r="V272" s="272"/>
      <c r="W272" s="272"/>
    </row>
    <row r="273" spans="22:23" s="271" customFormat="1" x14ac:dyDescent="0.25">
      <c r="V273" s="272"/>
      <c r="W273" s="272"/>
    </row>
    <row r="274" spans="22:23" s="271" customFormat="1" x14ac:dyDescent="0.25">
      <c r="V274" s="272"/>
      <c r="W274" s="272"/>
    </row>
    <row r="275" spans="22:23" s="271" customFormat="1" x14ac:dyDescent="0.25">
      <c r="V275" s="272"/>
      <c r="W275" s="272"/>
    </row>
    <row r="276" spans="22:23" s="271" customFormat="1" x14ac:dyDescent="0.25">
      <c r="V276" s="272"/>
      <c r="W276" s="272"/>
    </row>
    <row r="277" spans="22:23" s="271" customFormat="1" x14ac:dyDescent="0.25">
      <c r="V277" s="272"/>
      <c r="W277" s="272"/>
    </row>
    <row r="278" spans="22:23" s="271" customFormat="1" x14ac:dyDescent="0.25">
      <c r="V278" s="272"/>
      <c r="W278" s="272"/>
    </row>
    <row r="279" spans="22:23" s="271" customFormat="1" x14ac:dyDescent="0.25">
      <c r="V279" s="272"/>
      <c r="W279" s="272"/>
    </row>
    <row r="280" spans="22:23" s="271" customFormat="1" x14ac:dyDescent="0.25">
      <c r="V280" s="272"/>
      <c r="W280" s="272"/>
    </row>
    <row r="281" spans="22:23" s="271" customFormat="1" x14ac:dyDescent="0.25">
      <c r="V281" s="272"/>
      <c r="W281" s="272"/>
    </row>
    <row r="282" spans="22:23" s="271" customFormat="1" x14ac:dyDescent="0.25">
      <c r="V282" s="272"/>
      <c r="W282" s="272"/>
    </row>
    <row r="283" spans="22:23" s="271" customFormat="1" x14ac:dyDescent="0.25">
      <c r="V283" s="272"/>
      <c r="W283" s="272"/>
    </row>
    <row r="284" spans="22:23" s="271" customFormat="1" x14ac:dyDescent="0.25">
      <c r="V284" s="272"/>
      <c r="W284" s="272"/>
    </row>
    <row r="285" spans="22:23" s="271" customFormat="1" x14ac:dyDescent="0.25">
      <c r="V285" s="272"/>
      <c r="W285" s="272"/>
    </row>
    <row r="286" spans="22:23" s="271" customFormat="1" x14ac:dyDescent="0.25">
      <c r="V286" s="272"/>
      <c r="W286" s="272"/>
    </row>
    <row r="287" spans="22:23" s="271" customFormat="1" x14ac:dyDescent="0.25">
      <c r="V287" s="272"/>
      <c r="W287" s="272"/>
    </row>
    <row r="288" spans="22:23" s="271" customFormat="1" x14ac:dyDescent="0.25">
      <c r="V288" s="272"/>
      <c r="W288" s="272"/>
    </row>
    <row r="289" spans="22:23" s="271" customFormat="1" x14ac:dyDescent="0.25">
      <c r="V289" s="272"/>
      <c r="W289" s="272"/>
    </row>
    <row r="290" spans="22:23" s="271" customFormat="1" x14ac:dyDescent="0.25">
      <c r="V290" s="272"/>
      <c r="W290" s="272"/>
    </row>
    <row r="291" spans="22:23" s="271" customFormat="1" x14ac:dyDescent="0.25">
      <c r="V291" s="272"/>
      <c r="W291" s="272"/>
    </row>
    <row r="292" spans="22:23" s="271" customFormat="1" x14ac:dyDescent="0.25">
      <c r="V292" s="272"/>
      <c r="W292" s="272"/>
    </row>
    <row r="293" spans="22:23" s="271" customFormat="1" x14ac:dyDescent="0.25">
      <c r="V293" s="272"/>
      <c r="W293" s="272"/>
    </row>
    <row r="294" spans="22:23" s="271" customFormat="1" x14ac:dyDescent="0.25">
      <c r="V294" s="272"/>
      <c r="W294" s="272"/>
    </row>
    <row r="295" spans="22:23" s="271" customFormat="1" x14ac:dyDescent="0.25">
      <c r="V295" s="272"/>
      <c r="W295" s="272"/>
    </row>
    <row r="296" spans="22:23" s="271" customFormat="1" x14ac:dyDescent="0.25">
      <c r="V296" s="272"/>
      <c r="W296" s="272"/>
    </row>
    <row r="297" spans="22:23" s="271" customFormat="1" x14ac:dyDescent="0.25">
      <c r="V297" s="272"/>
      <c r="W297" s="272"/>
    </row>
    <row r="298" spans="22:23" s="271" customFormat="1" x14ac:dyDescent="0.25">
      <c r="V298" s="272"/>
      <c r="W298" s="272"/>
    </row>
    <row r="299" spans="22:23" s="271" customFormat="1" x14ac:dyDescent="0.25">
      <c r="V299" s="272"/>
      <c r="W299" s="272"/>
    </row>
    <row r="300" spans="22:23" s="271" customFormat="1" x14ac:dyDescent="0.25">
      <c r="V300" s="272"/>
      <c r="W300" s="272"/>
    </row>
    <row r="301" spans="22:23" s="271" customFormat="1" x14ac:dyDescent="0.25">
      <c r="V301" s="272"/>
      <c r="W301" s="272"/>
    </row>
    <row r="302" spans="22:23" s="271" customFormat="1" x14ac:dyDescent="0.25">
      <c r="V302" s="272"/>
      <c r="W302" s="272"/>
    </row>
    <row r="303" spans="22:23" s="271" customFormat="1" x14ac:dyDescent="0.25">
      <c r="V303" s="272"/>
      <c r="W303" s="272"/>
    </row>
    <row r="304" spans="22:23" s="271" customFormat="1" x14ac:dyDescent="0.25">
      <c r="V304" s="272"/>
      <c r="W304" s="272"/>
    </row>
    <row r="305" spans="22:23" s="271" customFormat="1" x14ac:dyDescent="0.25">
      <c r="V305" s="272"/>
      <c r="W305" s="272"/>
    </row>
    <row r="306" spans="22:23" s="271" customFormat="1" x14ac:dyDescent="0.25">
      <c r="V306" s="272"/>
      <c r="W306" s="272"/>
    </row>
    <row r="307" spans="22:23" s="271" customFormat="1" x14ac:dyDescent="0.25">
      <c r="V307" s="272"/>
      <c r="W307" s="272"/>
    </row>
    <row r="308" spans="22:23" s="271" customFormat="1" x14ac:dyDescent="0.25">
      <c r="V308" s="272"/>
      <c r="W308" s="272"/>
    </row>
    <row r="309" spans="22:23" s="271" customFormat="1" x14ac:dyDescent="0.25">
      <c r="V309" s="272"/>
      <c r="W309" s="272"/>
    </row>
    <row r="310" spans="22:23" s="271" customFormat="1" x14ac:dyDescent="0.25">
      <c r="V310" s="272"/>
      <c r="W310" s="272"/>
    </row>
    <row r="311" spans="22:23" s="271" customFormat="1" x14ac:dyDescent="0.25">
      <c r="V311" s="272"/>
      <c r="W311" s="272"/>
    </row>
    <row r="312" spans="22:23" s="271" customFormat="1" x14ac:dyDescent="0.25">
      <c r="V312" s="272"/>
      <c r="W312" s="272"/>
    </row>
    <row r="313" spans="22:23" s="271" customFormat="1" x14ac:dyDescent="0.25">
      <c r="V313" s="272"/>
      <c r="W313" s="272"/>
    </row>
    <row r="314" spans="22:23" s="271" customFormat="1" x14ac:dyDescent="0.25">
      <c r="V314" s="272"/>
      <c r="W314" s="272"/>
    </row>
    <row r="315" spans="22:23" s="271" customFormat="1" x14ac:dyDescent="0.25">
      <c r="V315" s="272"/>
      <c r="W315" s="272"/>
    </row>
    <row r="316" spans="22:23" s="271" customFormat="1" x14ac:dyDescent="0.25">
      <c r="V316" s="272"/>
      <c r="W316" s="272"/>
    </row>
    <row r="317" spans="22:23" s="271" customFormat="1" x14ac:dyDescent="0.25">
      <c r="V317" s="272"/>
      <c r="W317" s="272"/>
    </row>
    <row r="318" spans="22:23" s="271" customFormat="1" x14ac:dyDescent="0.25">
      <c r="V318" s="272"/>
      <c r="W318" s="272"/>
    </row>
    <row r="319" spans="22:23" s="271" customFormat="1" x14ac:dyDescent="0.25">
      <c r="V319" s="272"/>
      <c r="W319" s="272"/>
    </row>
    <row r="320" spans="22:23" s="271" customFormat="1" x14ac:dyDescent="0.25">
      <c r="V320" s="272"/>
      <c r="W320" s="272"/>
    </row>
    <row r="321" spans="22:23" s="271" customFormat="1" x14ac:dyDescent="0.25">
      <c r="V321" s="272"/>
      <c r="W321" s="272"/>
    </row>
    <row r="322" spans="22:23" s="271" customFormat="1" x14ac:dyDescent="0.25">
      <c r="V322" s="272"/>
      <c r="W322" s="272"/>
    </row>
    <row r="323" spans="22:23" s="271" customFormat="1" x14ac:dyDescent="0.25">
      <c r="V323" s="272"/>
      <c r="W323" s="272"/>
    </row>
    <row r="324" spans="22:23" s="271" customFormat="1" x14ac:dyDescent="0.25">
      <c r="V324" s="272"/>
      <c r="W324" s="272"/>
    </row>
    <row r="325" spans="22:23" s="271" customFormat="1" x14ac:dyDescent="0.25">
      <c r="V325" s="272"/>
      <c r="W325" s="272"/>
    </row>
    <row r="326" spans="22:23" s="271" customFormat="1" x14ac:dyDescent="0.25">
      <c r="V326" s="272"/>
      <c r="W326" s="272"/>
    </row>
    <row r="327" spans="22:23" s="271" customFormat="1" x14ac:dyDescent="0.25">
      <c r="V327" s="272"/>
      <c r="W327" s="272"/>
    </row>
    <row r="328" spans="22:23" s="271" customFormat="1" x14ac:dyDescent="0.25">
      <c r="V328" s="272"/>
      <c r="W328" s="272"/>
    </row>
    <row r="329" spans="22:23" s="271" customFormat="1" x14ac:dyDescent="0.25">
      <c r="V329" s="272"/>
      <c r="W329" s="272"/>
    </row>
    <row r="330" spans="22:23" s="271" customFormat="1" x14ac:dyDescent="0.25">
      <c r="V330" s="272"/>
      <c r="W330" s="272"/>
    </row>
    <row r="331" spans="22:23" s="271" customFormat="1" x14ac:dyDescent="0.25">
      <c r="V331" s="272"/>
      <c r="W331" s="272"/>
    </row>
    <row r="332" spans="22:23" s="271" customFormat="1" x14ac:dyDescent="0.25">
      <c r="V332" s="272"/>
      <c r="W332" s="272"/>
    </row>
    <row r="333" spans="22:23" s="271" customFormat="1" x14ac:dyDescent="0.25">
      <c r="V333" s="272"/>
      <c r="W333" s="272"/>
    </row>
    <row r="334" spans="22:23" s="271" customFormat="1" x14ac:dyDescent="0.25">
      <c r="V334" s="272"/>
      <c r="W334" s="272"/>
    </row>
    <row r="335" spans="22:23" s="271" customFormat="1" x14ac:dyDescent="0.25">
      <c r="V335" s="272"/>
      <c r="W335" s="272"/>
    </row>
    <row r="336" spans="22:23" s="271" customFormat="1" x14ac:dyDescent="0.25">
      <c r="V336" s="272"/>
      <c r="W336" s="272"/>
    </row>
    <row r="337" spans="22:23" s="271" customFormat="1" x14ac:dyDescent="0.25">
      <c r="V337" s="272"/>
      <c r="W337" s="272"/>
    </row>
    <row r="338" spans="22:23" s="271" customFormat="1" x14ac:dyDescent="0.25">
      <c r="V338" s="272"/>
      <c r="W338" s="272"/>
    </row>
    <row r="339" spans="22:23" s="271" customFormat="1" x14ac:dyDescent="0.25">
      <c r="V339" s="272"/>
      <c r="W339" s="272"/>
    </row>
    <row r="340" spans="22:23" s="271" customFormat="1" x14ac:dyDescent="0.25">
      <c r="V340" s="272"/>
      <c r="W340" s="272"/>
    </row>
    <row r="341" spans="22:23" s="271" customFormat="1" x14ac:dyDescent="0.25">
      <c r="V341" s="272"/>
      <c r="W341" s="272"/>
    </row>
    <row r="342" spans="22:23" s="271" customFormat="1" x14ac:dyDescent="0.25">
      <c r="V342" s="272"/>
      <c r="W342" s="272"/>
    </row>
    <row r="343" spans="22:23" s="271" customFormat="1" x14ac:dyDescent="0.25">
      <c r="V343" s="272"/>
      <c r="W343" s="272"/>
    </row>
    <row r="344" spans="22:23" s="271" customFormat="1" x14ac:dyDescent="0.25">
      <c r="V344" s="272"/>
      <c r="W344" s="272"/>
    </row>
    <row r="345" spans="22:23" s="271" customFormat="1" x14ac:dyDescent="0.25">
      <c r="V345" s="272"/>
      <c r="W345" s="272"/>
    </row>
    <row r="346" spans="22:23" s="271" customFormat="1" x14ac:dyDescent="0.25">
      <c r="V346" s="272"/>
      <c r="W346" s="272"/>
    </row>
    <row r="347" spans="22:23" s="271" customFormat="1" x14ac:dyDescent="0.25">
      <c r="V347" s="272"/>
      <c r="W347" s="272"/>
    </row>
    <row r="348" spans="22:23" s="271" customFormat="1" x14ac:dyDescent="0.25">
      <c r="V348" s="272"/>
      <c r="W348" s="272"/>
    </row>
    <row r="349" spans="22:23" s="271" customFormat="1" x14ac:dyDescent="0.25">
      <c r="V349" s="272"/>
      <c r="W349" s="272"/>
    </row>
    <row r="350" spans="22:23" s="271" customFormat="1" x14ac:dyDescent="0.25">
      <c r="V350" s="272"/>
      <c r="W350" s="272"/>
    </row>
    <row r="351" spans="22:23" s="271" customFormat="1" x14ac:dyDescent="0.25">
      <c r="V351" s="272"/>
      <c r="W351" s="272"/>
    </row>
    <row r="352" spans="22:23" s="271" customFormat="1" x14ac:dyDescent="0.25">
      <c r="V352" s="272"/>
      <c r="W352" s="272"/>
    </row>
    <row r="353" spans="22:23" s="271" customFormat="1" x14ac:dyDescent="0.25">
      <c r="V353" s="272"/>
      <c r="W353" s="272"/>
    </row>
    <row r="354" spans="22:23" s="271" customFormat="1" x14ac:dyDescent="0.25">
      <c r="V354" s="272"/>
      <c r="W354" s="272"/>
    </row>
    <row r="355" spans="22:23" s="271" customFormat="1" x14ac:dyDescent="0.25">
      <c r="V355" s="272"/>
      <c r="W355" s="272"/>
    </row>
    <row r="356" spans="22:23" s="271" customFormat="1" x14ac:dyDescent="0.25">
      <c r="V356" s="272"/>
      <c r="W356" s="272"/>
    </row>
    <row r="357" spans="22:23" s="271" customFormat="1" x14ac:dyDescent="0.25">
      <c r="V357" s="272"/>
      <c r="W357" s="272"/>
    </row>
    <row r="358" spans="22:23" s="271" customFormat="1" x14ac:dyDescent="0.25">
      <c r="V358" s="272"/>
      <c r="W358" s="272"/>
    </row>
    <row r="359" spans="22:23" s="271" customFormat="1" x14ac:dyDescent="0.25">
      <c r="V359" s="272"/>
      <c r="W359" s="272"/>
    </row>
    <row r="360" spans="22:23" s="271" customFormat="1" x14ac:dyDescent="0.25">
      <c r="V360" s="272"/>
      <c r="W360" s="272"/>
    </row>
    <row r="361" spans="22:23" s="271" customFormat="1" x14ac:dyDescent="0.25">
      <c r="V361" s="272"/>
      <c r="W361" s="272"/>
    </row>
    <row r="362" spans="22:23" s="271" customFormat="1" x14ac:dyDescent="0.25">
      <c r="V362" s="272"/>
      <c r="W362" s="272"/>
    </row>
    <row r="363" spans="22:23" s="271" customFormat="1" x14ac:dyDescent="0.25">
      <c r="V363" s="272"/>
      <c r="W363" s="272"/>
    </row>
    <row r="364" spans="22:23" s="271" customFormat="1" x14ac:dyDescent="0.25">
      <c r="V364" s="272"/>
      <c r="W364" s="272"/>
    </row>
    <row r="365" spans="22:23" s="271" customFormat="1" x14ac:dyDescent="0.25">
      <c r="V365" s="272"/>
      <c r="W365" s="272"/>
    </row>
    <row r="366" spans="22:23" s="271" customFormat="1" x14ac:dyDescent="0.25">
      <c r="V366" s="272"/>
      <c r="W366" s="272"/>
    </row>
    <row r="367" spans="22:23" s="271" customFormat="1" x14ac:dyDescent="0.25">
      <c r="V367" s="272"/>
      <c r="W367" s="272"/>
    </row>
    <row r="368" spans="22:23" s="271" customFormat="1" x14ac:dyDescent="0.25">
      <c r="V368" s="272"/>
      <c r="W368" s="272"/>
    </row>
    <row r="369" spans="22:23" s="271" customFormat="1" x14ac:dyDescent="0.25">
      <c r="V369" s="272"/>
      <c r="W369" s="272"/>
    </row>
    <row r="370" spans="22:23" s="271" customFormat="1" x14ac:dyDescent="0.25">
      <c r="V370" s="272"/>
      <c r="W370" s="272"/>
    </row>
    <row r="371" spans="22:23" s="271" customFormat="1" x14ac:dyDescent="0.25">
      <c r="V371" s="272"/>
      <c r="W371" s="272"/>
    </row>
    <row r="372" spans="22:23" s="271" customFormat="1" x14ac:dyDescent="0.25">
      <c r="V372" s="272"/>
      <c r="W372" s="272"/>
    </row>
    <row r="373" spans="22:23" s="271" customFormat="1" x14ac:dyDescent="0.25">
      <c r="V373" s="272"/>
      <c r="W373" s="272"/>
    </row>
    <row r="374" spans="22:23" s="271" customFormat="1" x14ac:dyDescent="0.25">
      <c r="V374" s="272"/>
      <c r="W374" s="272"/>
    </row>
    <row r="375" spans="22:23" s="271" customFormat="1" x14ac:dyDescent="0.25">
      <c r="V375" s="272"/>
      <c r="W375" s="272"/>
    </row>
    <row r="376" spans="22:23" s="271" customFormat="1" x14ac:dyDescent="0.25">
      <c r="V376" s="272"/>
      <c r="W376" s="272"/>
    </row>
    <row r="377" spans="22:23" s="271" customFormat="1" x14ac:dyDescent="0.25">
      <c r="V377" s="272"/>
      <c r="W377" s="272"/>
    </row>
    <row r="378" spans="22:23" s="271" customFormat="1" x14ac:dyDescent="0.25">
      <c r="V378" s="272"/>
      <c r="W378" s="272"/>
    </row>
    <row r="379" spans="22:23" s="271" customFormat="1" x14ac:dyDescent="0.25">
      <c r="V379" s="272"/>
      <c r="W379" s="272"/>
    </row>
    <row r="380" spans="22:23" s="271" customFormat="1" x14ac:dyDescent="0.25">
      <c r="V380" s="272"/>
      <c r="W380" s="272"/>
    </row>
    <row r="381" spans="22:23" s="271" customFormat="1" x14ac:dyDescent="0.25">
      <c r="V381" s="272"/>
      <c r="W381" s="272"/>
    </row>
    <row r="382" spans="22:23" s="271" customFormat="1" x14ac:dyDescent="0.25">
      <c r="V382" s="272"/>
      <c r="W382" s="272"/>
    </row>
    <row r="383" spans="22:23" s="271" customFormat="1" x14ac:dyDescent="0.25">
      <c r="V383" s="272"/>
      <c r="W383" s="272"/>
    </row>
    <row r="384" spans="22:23" s="271" customFormat="1" x14ac:dyDescent="0.25">
      <c r="V384" s="272"/>
      <c r="W384" s="272"/>
    </row>
    <row r="385" spans="22:23" s="271" customFormat="1" x14ac:dyDescent="0.25">
      <c r="V385" s="272"/>
      <c r="W385" s="272"/>
    </row>
    <row r="386" spans="22:23" s="271" customFormat="1" x14ac:dyDescent="0.25">
      <c r="V386" s="272"/>
      <c r="W386" s="272"/>
    </row>
    <row r="387" spans="22:23" s="271" customFormat="1" x14ac:dyDescent="0.25">
      <c r="V387" s="272"/>
      <c r="W387" s="272"/>
    </row>
    <row r="388" spans="22:23" s="271" customFormat="1" x14ac:dyDescent="0.25">
      <c r="V388" s="272"/>
      <c r="W388" s="272"/>
    </row>
    <row r="389" spans="22:23" s="271" customFormat="1" x14ac:dyDescent="0.25">
      <c r="V389" s="272"/>
      <c r="W389" s="272"/>
    </row>
    <row r="390" spans="22:23" s="271" customFormat="1" x14ac:dyDescent="0.25">
      <c r="V390" s="272"/>
      <c r="W390" s="272"/>
    </row>
    <row r="391" spans="22:23" s="271" customFormat="1" x14ac:dyDescent="0.25">
      <c r="V391" s="272"/>
      <c r="W391" s="272"/>
    </row>
    <row r="392" spans="22:23" s="271" customFormat="1" x14ac:dyDescent="0.25">
      <c r="V392" s="272"/>
      <c r="W392" s="272"/>
    </row>
    <row r="393" spans="22:23" s="271" customFormat="1" x14ac:dyDescent="0.25">
      <c r="V393" s="272"/>
      <c r="W393" s="272"/>
    </row>
    <row r="394" spans="22:23" s="271" customFormat="1" x14ac:dyDescent="0.25">
      <c r="V394" s="272"/>
      <c r="W394" s="272"/>
    </row>
    <row r="395" spans="22:23" s="271" customFormat="1" x14ac:dyDescent="0.25">
      <c r="V395" s="272"/>
      <c r="W395" s="272"/>
    </row>
    <row r="396" spans="22:23" s="271" customFormat="1" x14ac:dyDescent="0.25">
      <c r="V396" s="272"/>
      <c r="W396" s="272"/>
    </row>
    <row r="397" spans="22:23" s="271" customFormat="1" x14ac:dyDescent="0.25">
      <c r="V397" s="272"/>
      <c r="W397" s="272"/>
    </row>
    <row r="398" spans="22:23" s="271" customFormat="1" x14ac:dyDescent="0.25">
      <c r="V398" s="272"/>
      <c r="W398" s="272"/>
    </row>
    <row r="399" spans="22:23" s="271" customFormat="1" x14ac:dyDescent="0.25">
      <c r="V399" s="272"/>
      <c r="W399" s="272"/>
    </row>
    <row r="400" spans="22:23" s="271" customFormat="1" x14ac:dyDescent="0.25">
      <c r="V400" s="272"/>
      <c r="W400" s="272"/>
    </row>
    <row r="401" spans="22:23" s="271" customFormat="1" x14ac:dyDescent="0.25">
      <c r="V401" s="272"/>
      <c r="W401" s="272"/>
    </row>
    <row r="402" spans="22:23" s="271" customFormat="1" x14ac:dyDescent="0.25">
      <c r="V402" s="272"/>
      <c r="W402" s="272"/>
    </row>
    <row r="403" spans="22:23" s="271" customFormat="1" x14ac:dyDescent="0.25">
      <c r="V403" s="272"/>
      <c r="W403" s="272"/>
    </row>
    <row r="404" spans="22:23" s="271" customFormat="1" x14ac:dyDescent="0.25">
      <c r="V404" s="272"/>
      <c r="W404" s="272"/>
    </row>
    <row r="405" spans="22:23" s="271" customFormat="1" x14ac:dyDescent="0.25">
      <c r="V405" s="272"/>
      <c r="W405" s="272"/>
    </row>
    <row r="406" spans="22:23" s="271" customFormat="1" x14ac:dyDescent="0.25">
      <c r="V406" s="272"/>
      <c r="W406" s="272"/>
    </row>
    <row r="407" spans="22:23" s="271" customFormat="1" x14ac:dyDescent="0.25">
      <c r="V407" s="272"/>
      <c r="W407" s="272"/>
    </row>
    <row r="408" spans="22:23" s="271" customFormat="1" x14ac:dyDescent="0.25">
      <c r="V408" s="272"/>
      <c r="W408" s="272"/>
    </row>
    <row r="409" spans="22:23" s="271" customFormat="1" x14ac:dyDescent="0.25">
      <c r="V409" s="272"/>
      <c r="W409" s="272"/>
    </row>
    <row r="410" spans="22:23" s="271" customFormat="1" x14ac:dyDescent="0.25">
      <c r="V410" s="272"/>
      <c r="W410" s="272"/>
    </row>
  </sheetData>
  <sheetProtection algorithmName="SHA-512" hashValue="nkJucZQEm5it8idLhZEn5p/BuQCJnLMEvZIMNzKJqFVVrekTXZQ2nzqco4l+7RdWxsDSnw0kUZxi7F5QPnE2xQ==" saltValue="Xymyig2jIzeEBKHTuTs46A==" spinCount="100000" sheet="1" objects="1" scenarios="1" selectLockedCells="1" selectUnlockedCells="1"/>
  <mergeCells count="143">
    <mergeCell ref="BM4:BT4"/>
    <mergeCell ref="C1:X3"/>
    <mergeCell ref="A4:K4"/>
    <mergeCell ref="L4:P5"/>
    <mergeCell ref="Q4:U5"/>
    <mergeCell ref="V4:W5"/>
    <mergeCell ref="X4:X5"/>
    <mergeCell ref="A5:C5"/>
    <mergeCell ref="E5:F5"/>
    <mergeCell ref="G5:I5"/>
    <mergeCell ref="J5:J6"/>
    <mergeCell ref="AC5:AF5"/>
    <mergeCell ref="AG5:AJ5"/>
    <mergeCell ref="AK5:AN5"/>
    <mergeCell ref="AO5:AR5"/>
    <mergeCell ref="Y4:AF4"/>
    <mergeCell ref="AG4:AN4"/>
    <mergeCell ref="AO4:AV4"/>
    <mergeCell ref="AW4:BD4"/>
    <mergeCell ref="BE4:BL4"/>
    <mergeCell ref="J7:J14"/>
    <mergeCell ref="K7:K14"/>
    <mergeCell ref="L7:L8"/>
    <mergeCell ref="M7:M8"/>
    <mergeCell ref="N7:N8"/>
    <mergeCell ref="O7:O8"/>
    <mergeCell ref="BQ5:BT5"/>
    <mergeCell ref="A7:A14"/>
    <mergeCell ref="B7:B14"/>
    <mergeCell ref="C7:C14"/>
    <mergeCell ref="D7:D14"/>
    <mergeCell ref="E7:E14"/>
    <mergeCell ref="F7:F9"/>
    <mergeCell ref="G7:G14"/>
    <mergeCell ref="H7:H14"/>
    <mergeCell ref="I7:I14"/>
    <mergeCell ref="AS5:AV5"/>
    <mergeCell ref="AW5:AZ5"/>
    <mergeCell ref="BA5:BD5"/>
    <mergeCell ref="BE5:BH5"/>
    <mergeCell ref="BI5:BL5"/>
    <mergeCell ref="BM5:BP5"/>
    <mergeCell ref="K5:K6"/>
    <mergeCell ref="Y5:AB5"/>
    <mergeCell ref="AX7:AX8"/>
    <mergeCell ref="AY7:AY8"/>
    <mergeCell ref="AB7:AB8"/>
    <mergeCell ref="AG7:AG8"/>
    <mergeCell ref="AH7:AH8"/>
    <mergeCell ref="AI7:AI8"/>
    <mergeCell ref="AJ7:AJ8"/>
    <mergeCell ref="AO7:AO8"/>
    <mergeCell ref="P7:P8"/>
    <mergeCell ref="W7:W14"/>
    <mergeCell ref="X7:X14"/>
    <mergeCell ref="Y7:Y8"/>
    <mergeCell ref="Z7:Z8"/>
    <mergeCell ref="AA7:AA8"/>
    <mergeCell ref="Z10:Z12"/>
    <mergeCell ref="AA10:AA12"/>
    <mergeCell ref="Z13:Z14"/>
    <mergeCell ref="AA13:AA14"/>
    <mergeCell ref="AH10:AH12"/>
    <mergeCell ref="AI10:AI12"/>
    <mergeCell ref="AJ10:AJ12"/>
    <mergeCell ref="AO10:AO12"/>
    <mergeCell ref="BN7:BN8"/>
    <mergeCell ref="BO7:BO8"/>
    <mergeCell ref="BP7:BP8"/>
    <mergeCell ref="F10:F12"/>
    <mergeCell ref="L10:L12"/>
    <mergeCell ref="M10:M12"/>
    <mergeCell ref="N10:N12"/>
    <mergeCell ref="O10:O12"/>
    <mergeCell ref="P10:P12"/>
    <mergeCell ref="Y10:Y12"/>
    <mergeCell ref="AZ7:AZ8"/>
    <mergeCell ref="BE7:BE8"/>
    <mergeCell ref="BF7:BF8"/>
    <mergeCell ref="BG7:BG8"/>
    <mergeCell ref="BH7:BH8"/>
    <mergeCell ref="BM7:BM8"/>
    <mergeCell ref="AP7:AP8"/>
    <mergeCell ref="AQ7:AQ8"/>
    <mergeCell ref="AR7:AR8"/>
    <mergeCell ref="AW7:AW8"/>
    <mergeCell ref="BN10:BN12"/>
    <mergeCell ref="BO10:BO12"/>
    <mergeCell ref="BP10:BP12"/>
    <mergeCell ref="F13:F14"/>
    <mergeCell ref="L13:L14"/>
    <mergeCell ref="M13:M14"/>
    <mergeCell ref="N13:N14"/>
    <mergeCell ref="O13:O14"/>
    <mergeCell ref="P13:P14"/>
    <mergeCell ref="Y13:Y14"/>
    <mergeCell ref="AZ10:AZ12"/>
    <mergeCell ref="BE10:BE12"/>
    <mergeCell ref="BF10:BF12"/>
    <mergeCell ref="BG10:BG12"/>
    <mergeCell ref="BH10:BH12"/>
    <mergeCell ref="BM10:BM12"/>
    <mergeCell ref="AP10:AP12"/>
    <mergeCell ref="AQ10:AQ12"/>
    <mergeCell ref="AR10:AR12"/>
    <mergeCell ref="AW10:AW12"/>
    <mergeCell ref="AX10:AX12"/>
    <mergeCell ref="AY10:AY12"/>
    <mergeCell ref="AB10:AB12"/>
    <mergeCell ref="AG10:AG12"/>
    <mergeCell ref="AW13:AW14"/>
    <mergeCell ref="AX13:AX14"/>
    <mergeCell ref="AY13:AY14"/>
    <mergeCell ref="AB13:AB14"/>
    <mergeCell ref="AG13:AG14"/>
    <mergeCell ref="AH13:AH14"/>
    <mergeCell ref="AI13:AI14"/>
    <mergeCell ref="AJ13:AJ14"/>
    <mergeCell ref="AO13:AO14"/>
    <mergeCell ref="BA15:BB15"/>
    <mergeCell ref="BE15:BF15"/>
    <mergeCell ref="BI15:BJ15"/>
    <mergeCell ref="BM15:BN15"/>
    <mergeCell ref="BQ15:BR15"/>
    <mergeCell ref="BN13:BN14"/>
    <mergeCell ref="BO13:BO14"/>
    <mergeCell ref="BP13:BP14"/>
    <mergeCell ref="Y15:Z15"/>
    <mergeCell ref="AC15:AD15"/>
    <mergeCell ref="AG15:AH15"/>
    <mergeCell ref="AK15:AL15"/>
    <mergeCell ref="AO15:AP15"/>
    <mergeCell ref="AS15:AT15"/>
    <mergeCell ref="AW15:AX15"/>
    <mergeCell ref="AZ13:AZ14"/>
    <mergeCell ref="BE13:BE14"/>
    <mergeCell ref="BF13:BF14"/>
    <mergeCell ref="BG13:BG14"/>
    <mergeCell ref="BH13:BH14"/>
    <mergeCell ref="BM13:BM14"/>
    <mergeCell ref="AP13:AP14"/>
    <mergeCell ref="AQ13:AQ14"/>
    <mergeCell ref="AR13:AR1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DD58"/>
  <sheetViews>
    <sheetView topLeftCell="BM1" zoomScaleNormal="100" workbookViewId="0">
      <selection activeCell="DB2" sqref="DB2"/>
    </sheetView>
  </sheetViews>
  <sheetFormatPr baseColWidth="10" defaultColWidth="11.42578125" defaultRowHeight="22.5" customHeight="1" x14ac:dyDescent="0.25"/>
  <cols>
    <col min="1" max="1" width="22.42578125" style="88" customWidth="1"/>
    <col min="2" max="2" width="26.7109375" style="88" customWidth="1"/>
    <col min="3" max="3" width="23.85546875" style="88" customWidth="1"/>
    <col min="4" max="4" width="33.42578125" style="88" customWidth="1"/>
    <col min="5" max="5" width="43.42578125" style="88" bestFit="1" customWidth="1"/>
    <col min="6" max="6" width="17.140625" style="88" customWidth="1"/>
    <col min="7" max="7" width="26.7109375" style="88" customWidth="1"/>
    <col min="8" max="8" width="16.7109375" style="88" customWidth="1"/>
    <col min="9" max="9" width="17.28515625" style="88" customWidth="1"/>
    <col min="10" max="10" width="16.85546875" style="88" customWidth="1"/>
    <col min="11" max="11" width="15.85546875" style="88" customWidth="1"/>
    <col min="12" max="12" width="56.42578125" style="88" customWidth="1"/>
    <col min="13" max="13" width="28.7109375" style="88" customWidth="1"/>
    <col min="14" max="14" width="16.28515625" style="88" customWidth="1"/>
    <col min="15" max="15" width="9.42578125" style="88" customWidth="1"/>
    <col min="16" max="16" width="16.28515625" style="88" customWidth="1"/>
    <col min="17" max="17" width="87.140625" style="88" bestFit="1" customWidth="1"/>
    <col min="18" max="18" width="38.5703125" style="88" customWidth="1"/>
    <col min="19" max="19" width="17.140625" style="88" bestFit="1" customWidth="1"/>
    <col min="20" max="20" width="10.28515625" style="88" bestFit="1" customWidth="1"/>
    <col min="21" max="21" width="14.5703125" style="88" bestFit="1" customWidth="1"/>
    <col min="22" max="22" width="14.7109375" style="88" bestFit="1" customWidth="1"/>
    <col min="23" max="23" width="14.85546875" style="88" bestFit="1" customWidth="1"/>
    <col min="24" max="24" width="20.7109375" style="88" customWidth="1"/>
    <col min="25" max="25" width="24.28515625" style="88" customWidth="1"/>
    <col min="26" max="26" width="16" style="88" customWidth="1"/>
    <col min="27" max="27" width="21.85546875" style="88" customWidth="1"/>
    <col min="28" max="28" width="20.7109375" style="88" customWidth="1"/>
    <col min="29" max="29" width="14.85546875" style="88" customWidth="1"/>
    <col min="30" max="30" width="12.42578125" style="88" customWidth="1"/>
    <col min="31" max="31" width="21.85546875" style="88" customWidth="1"/>
    <col min="32" max="32" width="43" style="88" customWidth="1"/>
    <col min="33" max="34" width="11.42578125" style="88" customWidth="1"/>
    <col min="35" max="35" width="20.42578125" style="88" customWidth="1"/>
    <col min="36" max="36" width="27" style="88" customWidth="1"/>
    <col min="37" max="38" width="11.42578125" style="88" customWidth="1"/>
    <col min="39" max="39" width="21.140625" style="88" customWidth="1"/>
    <col min="40" max="40" width="54.7109375" style="88" customWidth="1"/>
    <col min="41" max="42" width="11.42578125" style="88"/>
    <col min="43" max="43" width="20.42578125" style="88" customWidth="1"/>
    <col min="44" max="44" width="27" style="88" customWidth="1"/>
    <col min="45" max="46" width="11.42578125" style="88"/>
    <col min="47" max="47" width="21.140625" style="88" customWidth="1"/>
    <col min="48" max="48" width="54.7109375" style="88" customWidth="1"/>
    <col min="49" max="50" width="11.42578125" style="88"/>
    <col min="51" max="51" width="20.42578125" style="88" customWidth="1"/>
    <col min="52" max="52" width="44.42578125" style="88" customWidth="1"/>
    <col min="53" max="54" width="11.42578125" style="88"/>
    <col min="55" max="55" width="21.140625" style="88" customWidth="1"/>
    <col min="56" max="56" width="54.7109375" style="88" customWidth="1"/>
    <col min="57" max="58" width="11.42578125" style="88"/>
    <col min="59" max="59" width="20.42578125" style="88" customWidth="1"/>
    <col min="60" max="60" width="44.42578125" style="88" customWidth="1"/>
    <col min="61" max="62" width="11.42578125" style="88"/>
    <col min="63" max="63" width="21.140625" style="88" customWidth="1"/>
    <col min="64" max="64" width="60.85546875" style="88" customWidth="1"/>
    <col min="65" max="66" width="11.42578125" style="88"/>
    <col min="67" max="67" width="20.42578125" style="88" customWidth="1"/>
    <col min="68" max="68" width="44.42578125" style="88" customWidth="1"/>
    <col min="69" max="70" width="11.42578125" style="88"/>
    <col min="71" max="71" width="21.140625" style="88" customWidth="1"/>
    <col min="72" max="72" width="60.85546875" style="88" customWidth="1"/>
    <col min="73" max="16384" width="11.42578125" style="88"/>
  </cols>
  <sheetData>
    <row r="1" spans="1:108" s="1" customFormat="1" ht="15.75" x14ac:dyDescent="0.25">
      <c r="C1" s="769" t="s">
        <v>0</v>
      </c>
      <c r="D1" s="769"/>
      <c r="E1" s="769"/>
      <c r="F1" s="769"/>
      <c r="G1" s="769"/>
      <c r="H1" s="769"/>
      <c r="I1" s="769"/>
      <c r="J1" s="769"/>
      <c r="K1" s="769"/>
      <c r="L1" s="769"/>
      <c r="M1" s="769"/>
      <c r="N1" s="769"/>
      <c r="O1" s="769"/>
      <c r="P1" s="769"/>
      <c r="Q1" s="769"/>
      <c r="R1" s="769"/>
      <c r="S1" s="769"/>
      <c r="T1" s="769"/>
      <c r="U1" s="769"/>
      <c r="V1" s="769"/>
      <c r="W1" s="769"/>
      <c r="X1" s="769"/>
      <c r="AE1" s="2"/>
      <c r="AF1" s="3"/>
      <c r="AM1" s="2"/>
      <c r="AN1" s="3"/>
      <c r="AW1" s="53"/>
      <c r="AX1" s="53"/>
      <c r="AY1" s="53"/>
      <c r="AZ1" s="53"/>
      <c r="BA1" s="53"/>
      <c r="BB1" s="53"/>
      <c r="BC1" s="53"/>
      <c r="BD1" s="53"/>
      <c r="BE1" s="53"/>
      <c r="BF1" s="53"/>
      <c r="BG1" s="53"/>
      <c r="BH1" s="53"/>
      <c r="BI1" s="53"/>
      <c r="BJ1" s="53"/>
      <c r="BK1" s="53"/>
      <c r="BL1" s="53"/>
      <c r="BM1" s="53"/>
      <c r="BN1" s="53"/>
      <c r="BO1" s="53"/>
      <c r="BP1" s="53"/>
      <c r="BQ1" s="53"/>
      <c r="BR1" s="53"/>
      <c r="BS1" s="4" t="s">
        <v>1</v>
      </c>
      <c r="BT1" s="5">
        <v>43458</v>
      </c>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row>
    <row r="2" spans="1:108" s="1" customFormat="1" ht="30" customHeight="1" x14ac:dyDescent="0.25">
      <c r="C2" s="769"/>
      <c r="D2" s="769"/>
      <c r="E2" s="769"/>
      <c r="F2" s="769"/>
      <c r="G2" s="769"/>
      <c r="H2" s="769"/>
      <c r="I2" s="769"/>
      <c r="J2" s="769"/>
      <c r="K2" s="769"/>
      <c r="L2" s="769"/>
      <c r="M2" s="769"/>
      <c r="N2" s="769"/>
      <c r="O2" s="769"/>
      <c r="P2" s="769"/>
      <c r="Q2" s="769"/>
      <c r="R2" s="769"/>
      <c r="S2" s="769"/>
      <c r="T2" s="769"/>
      <c r="U2" s="769"/>
      <c r="V2" s="769"/>
      <c r="W2" s="769"/>
      <c r="X2" s="769"/>
      <c r="AE2" s="2"/>
      <c r="AF2" s="2"/>
      <c r="AM2" s="2"/>
      <c r="AN2" s="2"/>
      <c r="AW2" s="53"/>
      <c r="AX2" s="53"/>
      <c r="AY2" s="53"/>
      <c r="AZ2" s="53"/>
      <c r="BA2" s="53"/>
      <c r="BB2" s="53"/>
      <c r="BC2" s="53"/>
      <c r="BD2" s="53"/>
      <c r="BE2" s="53"/>
      <c r="BF2" s="53"/>
      <c r="BG2" s="53"/>
      <c r="BH2" s="53"/>
      <c r="BI2" s="53"/>
      <c r="BJ2" s="53"/>
      <c r="BK2" s="53"/>
      <c r="BL2" s="53"/>
      <c r="BM2" s="53"/>
      <c r="BN2" s="53"/>
      <c r="BO2" s="53"/>
      <c r="BP2" s="53"/>
      <c r="BQ2" s="53"/>
      <c r="BR2" s="53"/>
      <c r="BS2" s="4" t="s">
        <v>2</v>
      </c>
      <c r="BT2" s="4">
        <v>5</v>
      </c>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row>
    <row r="3" spans="1:108" s="1" customFormat="1" ht="29.25" customHeight="1" x14ac:dyDescent="0.25">
      <c r="C3" s="769"/>
      <c r="D3" s="769"/>
      <c r="E3" s="769"/>
      <c r="F3" s="769"/>
      <c r="G3" s="769"/>
      <c r="H3" s="769"/>
      <c r="I3" s="769"/>
      <c r="J3" s="769"/>
      <c r="K3" s="769"/>
      <c r="L3" s="769"/>
      <c r="M3" s="769"/>
      <c r="N3" s="769"/>
      <c r="O3" s="769"/>
      <c r="P3" s="769"/>
      <c r="Q3" s="769"/>
      <c r="R3" s="769"/>
      <c r="S3" s="769"/>
      <c r="T3" s="769"/>
      <c r="U3" s="769"/>
      <c r="V3" s="769"/>
      <c r="W3" s="769"/>
      <c r="X3" s="769"/>
      <c r="AE3" s="2"/>
      <c r="AF3" s="2"/>
      <c r="AM3" s="2"/>
      <c r="AN3" s="2"/>
      <c r="AW3" s="53"/>
      <c r="AX3" s="53"/>
      <c r="AY3" s="53"/>
      <c r="AZ3" s="53"/>
      <c r="BA3" s="53"/>
      <c r="BB3" s="53"/>
      <c r="BC3" s="53"/>
      <c r="BD3" s="53"/>
      <c r="BE3" s="53"/>
      <c r="BF3" s="53"/>
      <c r="BG3" s="53"/>
      <c r="BH3" s="53"/>
      <c r="BI3" s="53"/>
      <c r="BJ3" s="53"/>
      <c r="BK3" s="53"/>
      <c r="BL3" s="53"/>
      <c r="BM3" s="53"/>
      <c r="BN3" s="53"/>
      <c r="BO3" s="53"/>
      <c r="BP3" s="53"/>
      <c r="BQ3" s="53"/>
      <c r="BR3" s="53"/>
      <c r="BS3" s="4" t="s">
        <v>3</v>
      </c>
      <c r="BT3" s="4" t="s">
        <v>4</v>
      </c>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row>
    <row r="4" spans="1:108" s="7" customFormat="1" ht="15" x14ac:dyDescent="0.25">
      <c r="A4" s="770" t="s">
        <v>5</v>
      </c>
      <c r="B4" s="771"/>
      <c r="C4" s="771"/>
      <c r="D4" s="771"/>
      <c r="E4" s="771"/>
      <c r="F4" s="771"/>
      <c r="G4" s="771"/>
      <c r="H4" s="771"/>
      <c r="I4" s="771"/>
      <c r="J4" s="771"/>
      <c r="K4" s="772"/>
      <c r="L4" s="773" t="s">
        <v>6</v>
      </c>
      <c r="M4" s="774"/>
      <c r="N4" s="774"/>
      <c r="O4" s="774"/>
      <c r="P4" s="775"/>
      <c r="Q4" s="773" t="s">
        <v>7</v>
      </c>
      <c r="R4" s="774"/>
      <c r="S4" s="774"/>
      <c r="T4" s="774"/>
      <c r="U4" s="775"/>
      <c r="V4" s="845" t="s">
        <v>8</v>
      </c>
      <c r="W4" s="846"/>
      <c r="X4" s="783" t="s">
        <v>9</v>
      </c>
      <c r="Y4" s="776" t="s">
        <v>10</v>
      </c>
      <c r="Z4" s="777"/>
      <c r="AA4" s="777"/>
      <c r="AB4" s="777"/>
      <c r="AC4" s="777"/>
      <c r="AD4" s="777"/>
      <c r="AE4" s="777"/>
      <c r="AF4" s="778"/>
      <c r="AG4" s="776" t="s">
        <v>11</v>
      </c>
      <c r="AH4" s="777"/>
      <c r="AI4" s="777"/>
      <c r="AJ4" s="777"/>
      <c r="AK4" s="777"/>
      <c r="AL4" s="777"/>
      <c r="AM4" s="777"/>
      <c r="AN4" s="778"/>
      <c r="AO4" s="776" t="s">
        <v>12</v>
      </c>
      <c r="AP4" s="777"/>
      <c r="AQ4" s="777"/>
      <c r="AR4" s="777"/>
      <c r="AS4" s="777"/>
      <c r="AT4" s="777"/>
      <c r="AU4" s="777"/>
      <c r="AV4" s="778"/>
      <c r="AW4" s="776" t="s">
        <v>892</v>
      </c>
      <c r="AX4" s="777"/>
      <c r="AY4" s="777"/>
      <c r="AZ4" s="777"/>
      <c r="BA4" s="777"/>
      <c r="BB4" s="777"/>
      <c r="BC4" s="777"/>
      <c r="BD4" s="778"/>
      <c r="BE4" s="776" t="s">
        <v>893</v>
      </c>
      <c r="BF4" s="777"/>
      <c r="BG4" s="777"/>
      <c r="BH4" s="777"/>
      <c r="BI4" s="777"/>
      <c r="BJ4" s="777"/>
      <c r="BK4" s="777"/>
      <c r="BL4" s="778"/>
      <c r="BM4" s="776" t="s">
        <v>894</v>
      </c>
      <c r="BN4" s="777"/>
      <c r="BO4" s="777"/>
      <c r="BP4" s="777"/>
      <c r="BQ4" s="777"/>
      <c r="BR4" s="777"/>
      <c r="BS4" s="777"/>
      <c r="BT4" s="778"/>
      <c r="BU4" s="88"/>
      <c r="BV4" s="88"/>
      <c r="BW4" s="88"/>
      <c r="BX4" s="88"/>
      <c r="BY4" s="88"/>
      <c r="BZ4" s="88"/>
      <c r="CA4" s="88"/>
      <c r="CB4" s="88"/>
      <c r="CC4" s="88"/>
      <c r="CD4" s="88"/>
      <c r="CE4" s="88"/>
      <c r="CF4" s="88"/>
      <c r="CG4" s="88"/>
      <c r="CH4" s="88"/>
      <c r="CI4" s="88"/>
      <c r="CJ4" s="88"/>
      <c r="CK4" s="88"/>
      <c r="CL4" s="88"/>
      <c r="CM4" s="88"/>
      <c r="CN4" s="88"/>
      <c r="CO4" s="88"/>
      <c r="CP4" s="88"/>
      <c r="CQ4" s="88"/>
      <c r="CR4" s="88"/>
      <c r="CS4" s="88"/>
      <c r="CT4" s="88"/>
      <c r="CU4" s="88"/>
      <c r="CV4" s="88"/>
      <c r="CW4" s="88"/>
      <c r="CX4" s="88"/>
      <c r="CY4" s="88"/>
      <c r="CZ4" s="88"/>
      <c r="DA4" s="88"/>
      <c r="DB4" s="88"/>
      <c r="DC4" s="88"/>
      <c r="DD4" s="88"/>
    </row>
    <row r="5" spans="1:108" s="9" customFormat="1" ht="15" x14ac:dyDescent="0.25">
      <c r="A5" s="785" t="s">
        <v>13</v>
      </c>
      <c r="B5" s="786"/>
      <c r="C5" s="787"/>
      <c r="D5" s="8" t="s">
        <v>14</v>
      </c>
      <c r="E5" s="785" t="s">
        <v>15</v>
      </c>
      <c r="F5" s="787"/>
      <c r="G5" s="785" t="s">
        <v>16</v>
      </c>
      <c r="H5" s="786"/>
      <c r="I5" s="787"/>
      <c r="J5" s="788" t="s">
        <v>17</v>
      </c>
      <c r="K5" s="788" t="s">
        <v>18</v>
      </c>
      <c r="L5" s="776"/>
      <c r="M5" s="777"/>
      <c r="N5" s="777"/>
      <c r="O5" s="777"/>
      <c r="P5" s="778"/>
      <c r="Q5" s="776"/>
      <c r="R5" s="777"/>
      <c r="S5" s="777"/>
      <c r="T5" s="777"/>
      <c r="U5" s="778"/>
      <c r="V5" s="847"/>
      <c r="W5" s="848"/>
      <c r="X5" s="784"/>
      <c r="Y5" s="785" t="s">
        <v>19</v>
      </c>
      <c r="Z5" s="786"/>
      <c r="AA5" s="786"/>
      <c r="AB5" s="790"/>
      <c r="AC5" s="791" t="s">
        <v>20</v>
      </c>
      <c r="AD5" s="786"/>
      <c r="AE5" s="786"/>
      <c r="AF5" s="787"/>
      <c r="AG5" s="785" t="s">
        <v>19</v>
      </c>
      <c r="AH5" s="786"/>
      <c r="AI5" s="786"/>
      <c r="AJ5" s="790"/>
      <c r="AK5" s="791" t="s">
        <v>20</v>
      </c>
      <c r="AL5" s="786"/>
      <c r="AM5" s="786"/>
      <c r="AN5" s="787"/>
      <c r="AO5" s="785" t="s">
        <v>19</v>
      </c>
      <c r="AP5" s="786"/>
      <c r="AQ5" s="786"/>
      <c r="AR5" s="790"/>
      <c r="AS5" s="791" t="s">
        <v>20</v>
      </c>
      <c r="AT5" s="786"/>
      <c r="AU5" s="786"/>
      <c r="AV5" s="787"/>
      <c r="AW5" s="785" t="s">
        <v>19</v>
      </c>
      <c r="AX5" s="786"/>
      <c r="AY5" s="786"/>
      <c r="AZ5" s="790"/>
      <c r="BA5" s="791" t="s">
        <v>20</v>
      </c>
      <c r="BB5" s="786"/>
      <c r="BC5" s="786"/>
      <c r="BD5" s="787"/>
      <c r="BE5" s="785" t="s">
        <v>19</v>
      </c>
      <c r="BF5" s="786"/>
      <c r="BG5" s="786"/>
      <c r="BH5" s="790"/>
      <c r="BI5" s="791" t="s">
        <v>20</v>
      </c>
      <c r="BJ5" s="786"/>
      <c r="BK5" s="786"/>
      <c r="BL5" s="787"/>
      <c r="BM5" s="785" t="s">
        <v>19</v>
      </c>
      <c r="BN5" s="786"/>
      <c r="BO5" s="786"/>
      <c r="BP5" s="790"/>
      <c r="BQ5" s="791" t="s">
        <v>20</v>
      </c>
      <c r="BR5" s="786"/>
      <c r="BS5" s="786"/>
      <c r="BT5" s="787"/>
      <c r="BU5" s="88"/>
      <c r="BV5" s="88"/>
      <c r="BW5" s="88"/>
      <c r="BX5" s="88"/>
      <c r="BY5" s="88"/>
      <c r="BZ5" s="88"/>
      <c r="CA5" s="88"/>
      <c r="CB5" s="88"/>
      <c r="CC5" s="88"/>
      <c r="CD5" s="88"/>
      <c r="CE5" s="88"/>
      <c r="CF5" s="88"/>
      <c r="CG5" s="88"/>
      <c r="CH5" s="88"/>
      <c r="CI5" s="88"/>
      <c r="CJ5" s="88"/>
      <c r="CK5" s="88"/>
      <c r="CL5" s="88"/>
      <c r="CM5" s="88"/>
      <c r="CN5" s="88"/>
      <c r="CO5" s="88"/>
      <c r="CP5" s="88"/>
      <c r="CQ5" s="88"/>
      <c r="CR5" s="88"/>
      <c r="CS5" s="88"/>
      <c r="CT5" s="88"/>
      <c r="CU5" s="88"/>
      <c r="CV5" s="88"/>
      <c r="CW5" s="88"/>
      <c r="CX5" s="88"/>
      <c r="CY5" s="88"/>
      <c r="CZ5" s="88"/>
      <c r="DA5" s="88"/>
      <c r="DB5" s="88"/>
      <c r="DC5" s="88"/>
      <c r="DD5" s="88"/>
    </row>
    <row r="6" spans="1:108" s="7" customFormat="1" ht="15" x14ac:dyDescent="0.25">
      <c r="A6" s="10" t="s">
        <v>21</v>
      </c>
      <c r="B6" s="10" t="s">
        <v>22</v>
      </c>
      <c r="C6" s="10" t="s">
        <v>23</v>
      </c>
      <c r="D6" s="10" t="s">
        <v>24</v>
      </c>
      <c r="E6" s="10" t="s">
        <v>25</v>
      </c>
      <c r="F6" s="10" t="s">
        <v>26</v>
      </c>
      <c r="G6" s="10" t="s">
        <v>27</v>
      </c>
      <c r="H6" s="10" t="s">
        <v>28</v>
      </c>
      <c r="I6" s="10" t="s">
        <v>29</v>
      </c>
      <c r="J6" s="849"/>
      <c r="K6" s="849"/>
      <c r="L6" s="10" t="s">
        <v>6</v>
      </c>
      <c r="M6" s="10" t="s">
        <v>30</v>
      </c>
      <c r="N6" s="10" t="s">
        <v>31</v>
      </c>
      <c r="O6" s="10" t="s">
        <v>32</v>
      </c>
      <c r="P6" s="10" t="s">
        <v>33</v>
      </c>
      <c r="Q6" s="10" t="s">
        <v>7</v>
      </c>
      <c r="R6" s="10" t="s">
        <v>34</v>
      </c>
      <c r="S6" s="10" t="s">
        <v>31</v>
      </c>
      <c r="T6" s="10" t="s">
        <v>32</v>
      </c>
      <c r="U6" s="10" t="s">
        <v>35</v>
      </c>
      <c r="V6" s="140" t="s">
        <v>36</v>
      </c>
      <c r="W6" s="140" t="s">
        <v>37</v>
      </c>
      <c r="X6" s="10" t="s">
        <v>38</v>
      </c>
      <c r="Y6" s="10" t="s">
        <v>39</v>
      </c>
      <c r="Z6" s="10" t="s">
        <v>40</v>
      </c>
      <c r="AA6" s="10" t="s">
        <v>41</v>
      </c>
      <c r="AB6" s="10" t="s">
        <v>42</v>
      </c>
      <c r="AC6" s="10" t="s">
        <v>39</v>
      </c>
      <c r="AD6" s="10" t="s">
        <v>40</v>
      </c>
      <c r="AE6" s="10" t="s">
        <v>41</v>
      </c>
      <c r="AF6" s="10" t="s">
        <v>42</v>
      </c>
      <c r="AG6" s="10" t="s">
        <v>39</v>
      </c>
      <c r="AH6" s="10" t="s">
        <v>40</v>
      </c>
      <c r="AI6" s="10" t="s">
        <v>41</v>
      </c>
      <c r="AJ6" s="10" t="s">
        <v>42</v>
      </c>
      <c r="AK6" s="10" t="s">
        <v>39</v>
      </c>
      <c r="AL6" s="10" t="s">
        <v>40</v>
      </c>
      <c r="AM6" s="10" t="s">
        <v>41</v>
      </c>
      <c r="AN6" s="10" t="s">
        <v>42</v>
      </c>
      <c r="AO6" s="10" t="s">
        <v>39</v>
      </c>
      <c r="AP6" s="10" t="s">
        <v>40</v>
      </c>
      <c r="AQ6" s="10" t="s">
        <v>41</v>
      </c>
      <c r="AR6" s="10" t="s">
        <v>42</v>
      </c>
      <c r="AS6" s="10" t="s">
        <v>39</v>
      </c>
      <c r="AT6" s="10" t="s">
        <v>40</v>
      </c>
      <c r="AU6" s="10" t="s">
        <v>41</v>
      </c>
      <c r="AV6" s="234" t="s">
        <v>42</v>
      </c>
      <c r="AW6" s="10" t="s">
        <v>39</v>
      </c>
      <c r="AX6" s="10" t="s">
        <v>40</v>
      </c>
      <c r="AY6" s="10" t="s">
        <v>41</v>
      </c>
      <c r="AZ6" s="10" t="s">
        <v>42</v>
      </c>
      <c r="BA6" s="10" t="s">
        <v>39</v>
      </c>
      <c r="BB6" s="10" t="s">
        <v>40</v>
      </c>
      <c r="BC6" s="10" t="s">
        <v>41</v>
      </c>
      <c r="BD6" s="10" t="s">
        <v>42</v>
      </c>
      <c r="BE6" s="10" t="s">
        <v>39</v>
      </c>
      <c r="BF6" s="10" t="s">
        <v>40</v>
      </c>
      <c r="BG6" s="10" t="s">
        <v>41</v>
      </c>
      <c r="BH6" s="10" t="s">
        <v>42</v>
      </c>
      <c r="BI6" s="10" t="s">
        <v>39</v>
      </c>
      <c r="BJ6" s="10" t="s">
        <v>40</v>
      </c>
      <c r="BK6" s="10" t="s">
        <v>41</v>
      </c>
      <c r="BL6" s="10" t="s">
        <v>42</v>
      </c>
      <c r="BM6" s="10" t="s">
        <v>39</v>
      </c>
      <c r="BN6" s="10" t="s">
        <v>40</v>
      </c>
      <c r="BO6" s="10" t="s">
        <v>41</v>
      </c>
      <c r="BP6" s="10" t="s">
        <v>42</v>
      </c>
      <c r="BQ6" s="10" t="s">
        <v>39</v>
      </c>
      <c r="BR6" s="10" t="s">
        <v>40</v>
      </c>
      <c r="BS6" s="10" t="s">
        <v>41</v>
      </c>
      <c r="BT6" s="10" t="s">
        <v>42</v>
      </c>
      <c r="BU6" s="88"/>
      <c r="BV6" s="88"/>
      <c r="BW6" s="88"/>
      <c r="BX6" s="88"/>
      <c r="BY6" s="88"/>
      <c r="BZ6" s="88"/>
      <c r="CA6" s="88"/>
      <c r="CB6" s="88"/>
      <c r="CC6" s="88"/>
      <c r="CD6" s="88"/>
      <c r="CE6" s="88"/>
      <c r="CF6" s="88"/>
      <c r="CG6" s="88"/>
      <c r="CH6" s="88"/>
      <c r="CI6" s="88"/>
      <c r="CJ6" s="88"/>
      <c r="CK6" s="88"/>
      <c r="CL6" s="88"/>
      <c r="CM6" s="88"/>
      <c r="CN6" s="88"/>
      <c r="CO6" s="88"/>
      <c r="CP6" s="88"/>
      <c r="CQ6" s="88"/>
      <c r="CR6" s="88"/>
      <c r="CS6" s="88"/>
      <c r="CT6" s="88"/>
      <c r="CU6" s="88"/>
      <c r="CV6" s="88"/>
      <c r="CW6" s="88"/>
      <c r="CX6" s="88"/>
      <c r="CY6" s="88"/>
      <c r="CZ6" s="88"/>
      <c r="DA6" s="88"/>
      <c r="DB6" s="88"/>
      <c r="DC6" s="88"/>
      <c r="DD6" s="88"/>
    </row>
    <row r="7" spans="1:108" s="21" customFormat="1" ht="106.5" customHeight="1" x14ac:dyDescent="0.25">
      <c r="A7" s="799" t="s">
        <v>43</v>
      </c>
      <c r="B7" s="799" t="s">
        <v>44</v>
      </c>
      <c r="C7" s="799" t="s">
        <v>45</v>
      </c>
      <c r="D7" s="799" t="s">
        <v>46</v>
      </c>
      <c r="E7" s="799" t="s">
        <v>375</v>
      </c>
      <c r="F7" s="799" t="s">
        <v>376</v>
      </c>
      <c r="G7" s="792" t="s">
        <v>377</v>
      </c>
      <c r="H7" s="799" t="s">
        <v>378</v>
      </c>
      <c r="I7" s="792" t="s">
        <v>379</v>
      </c>
      <c r="J7" s="799" t="s">
        <v>380</v>
      </c>
      <c r="K7" s="792" t="s">
        <v>380</v>
      </c>
      <c r="L7" s="799" t="s">
        <v>381</v>
      </c>
      <c r="M7" s="799" t="s">
        <v>382</v>
      </c>
      <c r="N7" s="799" t="s">
        <v>56</v>
      </c>
      <c r="O7" s="799">
        <v>0</v>
      </c>
      <c r="P7" s="799">
        <v>11</v>
      </c>
      <c r="Q7" s="259" t="s">
        <v>383</v>
      </c>
      <c r="R7" s="141" t="s">
        <v>384</v>
      </c>
      <c r="S7" s="259" t="s">
        <v>74</v>
      </c>
      <c r="T7" s="259">
        <v>0</v>
      </c>
      <c r="U7" s="259">
        <v>7</v>
      </c>
      <c r="V7" s="842">
        <v>1441069350</v>
      </c>
      <c r="W7" s="842">
        <v>1441069350</v>
      </c>
      <c r="X7" s="792" t="s">
        <v>385</v>
      </c>
      <c r="Y7" s="827">
        <v>0.02</v>
      </c>
      <c r="Z7" s="799">
        <v>11</v>
      </c>
      <c r="AA7" s="827">
        <v>0.02</v>
      </c>
      <c r="AB7" s="827"/>
      <c r="AC7" s="260">
        <v>0</v>
      </c>
      <c r="AD7" s="260">
        <v>7</v>
      </c>
      <c r="AE7" s="260">
        <v>0</v>
      </c>
      <c r="AF7" s="260" t="s">
        <v>386</v>
      </c>
      <c r="AG7" s="827">
        <v>0</v>
      </c>
      <c r="AH7" s="830">
        <v>11</v>
      </c>
      <c r="AI7" s="827">
        <f>2%+AG7</f>
        <v>0.02</v>
      </c>
      <c r="AJ7" s="706" t="s">
        <v>387</v>
      </c>
      <c r="AK7" s="260">
        <v>0</v>
      </c>
      <c r="AL7" s="260">
        <v>7</v>
      </c>
      <c r="AM7" s="260">
        <v>0</v>
      </c>
      <c r="AN7" s="260" t="s">
        <v>388</v>
      </c>
      <c r="AO7" s="827">
        <v>7.0000000000000007E-2</v>
      </c>
      <c r="AP7" s="830">
        <v>11</v>
      </c>
      <c r="AQ7" s="827">
        <f>2%+AO7</f>
        <v>9.0000000000000011E-2</v>
      </c>
      <c r="AR7" s="706" t="s">
        <v>389</v>
      </c>
      <c r="AS7" s="260">
        <v>0</v>
      </c>
      <c r="AT7" s="260">
        <v>7</v>
      </c>
      <c r="AU7" s="260">
        <v>0</v>
      </c>
      <c r="AV7" s="260" t="s">
        <v>390</v>
      </c>
      <c r="AW7" s="839">
        <v>0.2</v>
      </c>
      <c r="AX7" s="836">
        <v>11</v>
      </c>
      <c r="AY7" s="850">
        <v>0.28999999999999998</v>
      </c>
      <c r="AZ7" s="706" t="s">
        <v>941</v>
      </c>
      <c r="BA7" s="390">
        <v>4</v>
      </c>
      <c r="BB7" s="144">
        <v>7</v>
      </c>
      <c r="BC7" s="145">
        <f>BA7/BB7</f>
        <v>0.5714285714285714</v>
      </c>
      <c r="BD7" s="141" t="s">
        <v>942</v>
      </c>
      <c r="BE7" s="839">
        <v>0.24</v>
      </c>
      <c r="BF7" s="836">
        <v>11</v>
      </c>
      <c r="BG7" s="850">
        <v>0.61</v>
      </c>
      <c r="BH7" s="706" t="s">
        <v>943</v>
      </c>
      <c r="BI7" s="390">
        <v>7</v>
      </c>
      <c r="BJ7" s="144">
        <v>7</v>
      </c>
      <c r="BK7" s="145">
        <v>1</v>
      </c>
      <c r="BL7" s="141" t="s">
        <v>944</v>
      </c>
      <c r="BM7" s="839">
        <v>0.04</v>
      </c>
      <c r="BN7" s="836">
        <v>11</v>
      </c>
      <c r="BO7" s="850">
        <f>AVERAGE(BS7:BS11)</f>
        <v>0.65100000000000002</v>
      </c>
      <c r="BP7" s="706" t="s">
        <v>943</v>
      </c>
      <c r="BQ7" s="390">
        <v>0</v>
      </c>
      <c r="BR7" s="144">
        <v>7</v>
      </c>
      <c r="BS7" s="145">
        <v>1</v>
      </c>
      <c r="BT7" s="141" t="s">
        <v>945</v>
      </c>
      <c r="BU7" s="88"/>
      <c r="BV7" s="88"/>
      <c r="BW7" s="88"/>
      <c r="BX7" s="88"/>
      <c r="BY7" s="88"/>
      <c r="BZ7" s="88"/>
      <c r="CA7" s="88"/>
      <c r="CB7" s="88"/>
      <c r="CC7" s="88"/>
      <c r="CD7" s="88"/>
      <c r="CE7" s="88"/>
      <c r="CF7" s="88"/>
      <c r="CG7" s="88"/>
      <c r="CH7" s="88"/>
      <c r="CI7" s="88"/>
      <c r="CJ7" s="88"/>
      <c r="CK7" s="88"/>
      <c r="CL7" s="88"/>
      <c r="CM7" s="88"/>
      <c r="CN7" s="88"/>
      <c r="CO7" s="88"/>
      <c r="CP7" s="88"/>
      <c r="CQ7" s="88"/>
      <c r="CR7" s="88"/>
      <c r="CS7" s="88"/>
      <c r="CT7" s="88"/>
      <c r="CU7" s="88"/>
      <c r="CV7" s="88"/>
      <c r="CW7" s="88"/>
      <c r="CX7" s="88"/>
      <c r="CY7" s="88"/>
      <c r="CZ7" s="88"/>
      <c r="DA7" s="88"/>
      <c r="DB7" s="88"/>
      <c r="DC7" s="88"/>
      <c r="DD7" s="88"/>
    </row>
    <row r="8" spans="1:108" s="31" customFormat="1" ht="100.5" customHeight="1" x14ac:dyDescent="0.25">
      <c r="A8" s="800"/>
      <c r="B8" s="800"/>
      <c r="C8" s="800"/>
      <c r="D8" s="800"/>
      <c r="E8" s="800"/>
      <c r="F8" s="800"/>
      <c r="G8" s="798"/>
      <c r="H8" s="800"/>
      <c r="I8" s="798"/>
      <c r="J8" s="800"/>
      <c r="K8" s="798"/>
      <c r="L8" s="800"/>
      <c r="M8" s="800"/>
      <c r="N8" s="800"/>
      <c r="O8" s="800"/>
      <c r="P8" s="800"/>
      <c r="Q8" s="258" t="s">
        <v>391</v>
      </c>
      <c r="R8" s="147" t="s">
        <v>384</v>
      </c>
      <c r="S8" s="258" t="s">
        <v>74</v>
      </c>
      <c r="T8" s="258">
        <v>0</v>
      </c>
      <c r="U8" s="262">
        <v>1</v>
      </c>
      <c r="V8" s="843"/>
      <c r="W8" s="843"/>
      <c r="X8" s="798"/>
      <c r="Y8" s="828"/>
      <c r="Z8" s="800"/>
      <c r="AA8" s="828"/>
      <c r="AB8" s="828"/>
      <c r="AC8" s="262">
        <v>0</v>
      </c>
      <c r="AD8" s="262">
        <v>1</v>
      </c>
      <c r="AE8" s="262">
        <v>0</v>
      </c>
      <c r="AF8" s="261" t="s">
        <v>386</v>
      </c>
      <c r="AG8" s="828"/>
      <c r="AH8" s="831"/>
      <c r="AI8" s="828"/>
      <c r="AJ8" s="707"/>
      <c r="AK8" s="262">
        <v>0</v>
      </c>
      <c r="AL8" s="262">
        <v>1</v>
      </c>
      <c r="AM8" s="262">
        <v>0</v>
      </c>
      <c r="AN8" s="261" t="s">
        <v>392</v>
      </c>
      <c r="AO8" s="828"/>
      <c r="AP8" s="831"/>
      <c r="AQ8" s="828"/>
      <c r="AR8" s="707"/>
      <c r="AS8" s="262">
        <v>0.25</v>
      </c>
      <c r="AT8" s="262">
        <v>1</v>
      </c>
      <c r="AU8" s="262">
        <v>0.25</v>
      </c>
      <c r="AV8" s="261" t="s">
        <v>393</v>
      </c>
      <c r="AW8" s="840"/>
      <c r="AX8" s="837"/>
      <c r="AY8" s="837"/>
      <c r="AZ8" s="707"/>
      <c r="BA8" s="149">
        <v>0</v>
      </c>
      <c r="BB8" s="149">
        <v>1</v>
      </c>
      <c r="BC8" s="149">
        <v>0.25</v>
      </c>
      <c r="BD8" s="147" t="s">
        <v>946</v>
      </c>
      <c r="BE8" s="840"/>
      <c r="BF8" s="837"/>
      <c r="BG8" s="837"/>
      <c r="BH8" s="707"/>
      <c r="BI8" s="149">
        <v>0.75</v>
      </c>
      <c r="BJ8" s="149">
        <v>1</v>
      </c>
      <c r="BK8" s="149">
        <v>1</v>
      </c>
      <c r="BL8" s="147" t="s">
        <v>947</v>
      </c>
      <c r="BM8" s="840"/>
      <c r="BN8" s="837"/>
      <c r="BO8" s="837"/>
      <c r="BP8" s="707"/>
      <c r="BQ8" s="149">
        <v>0</v>
      </c>
      <c r="BR8" s="149">
        <v>1</v>
      </c>
      <c r="BS8" s="149">
        <v>1</v>
      </c>
      <c r="BT8" s="147" t="s">
        <v>948</v>
      </c>
      <c r="BU8" s="88"/>
      <c r="BV8" s="88"/>
      <c r="BW8" s="88"/>
      <c r="BX8" s="88"/>
      <c r="BY8" s="88"/>
      <c r="BZ8" s="88"/>
      <c r="CA8" s="88"/>
      <c r="CB8" s="88"/>
      <c r="CC8" s="88"/>
      <c r="CD8" s="88"/>
      <c r="CE8" s="88"/>
      <c r="CF8" s="88"/>
      <c r="CG8" s="88"/>
      <c r="CH8" s="88"/>
      <c r="CI8" s="88"/>
      <c r="CJ8" s="88"/>
      <c r="CK8" s="88"/>
      <c r="CL8" s="88"/>
      <c r="CM8" s="88"/>
      <c r="CN8" s="88"/>
      <c r="CO8" s="88"/>
      <c r="CP8" s="88"/>
      <c r="CQ8" s="88"/>
      <c r="CR8" s="88"/>
      <c r="CS8" s="88"/>
      <c r="CT8" s="88"/>
      <c r="CU8" s="88"/>
      <c r="CV8" s="88"/>
      <c r="CW8" s="88"/>
      <c r="CX8" s="88"/>
      <c r="CY8" s="88"/>
      <c r="CZ8" s="88"/>
      <c r="DA8" s="88"/>
      <c r="DB8" s="88"/>
      <c r="DC8" s="88"/>
      <c r="DD8" s="88"/>
    </row>
    <row r="9" spans="1:108" s="21" customFormat="1" ht="155.25" customHeight="1" x14ac:dyDescent="0.25">
      <c r="A9" s="800"/>
      <c r="B9" s="800"/>
      <c r="C9" s="800"/>
      <c r="D9" s="800"/>
      <c r="E9" s="800"/>
      <c r="F9" s="800"/>
      <c r="G9" s="798"/>
      <c r="H9" s="800"/>
      <c r="I9" s="798"/>
      <c r="J9" s="800"/>
      <c r="K9" s="798"/>
      <c r="L9" s="800"/>
      <c r="M9" s="800"/>
      <c r="N9" s="800"/>
      <c r="O9" s="800"/>
      <c r="P9" s="800"/>
      <c r="Q9" s="259" t="s">
        <v>394</v>
      </c>
      <c r="R9" s="141" t="s">
        <v>384</v>
      </c>
      <c r="S9" s="259" t="s">
        <v>74</v>
      </c>
      <c r="T9" s="259">
        <v>0</v>
      </c>
      <c r="U9" s="260">
        <v>1</v>
      </c>
      <c r="V9" s="843"/>
      <c r="W9" s="843"/>
      <c r="X9" s="798"/>
      <c r="Y9" s="828"/>
      <c r="Z9" s="800"/>
      <c r="AA9" s="828"/>
      <c r="AB9" s="828"/>
      <c r="AC9" s="260">
        <v>0.1</v>
      </c>
      <c r="AD9" s="260">
        <v>1</v>
      </c>
      <c r="AE9" s="260">
        <v>0.1</v>
      </c>
      <c r="AF9" s="260"/>
      <c r="AG9" s="828"/>
      <c r="AH9" s="831"/>
      <c r="AI9" s="828"/>
      <c r="AJ9" s="707"/>
      <c r="AK9" s="260">
        <v>0.02</v>
      </c>
      <c r="AL9" s="260">
        <v>1</v>
      </c>
      <c r="AM9" s="260">
        <v>0.12</v>
      </c>
      <c r="AN9" s="260" t="s">
        <v>395</v>
      </c>
      <c r="AO9" s="828"/>
      <c r="AP9" s="831"/>
      <c r="AQ9" s="828"/>
      <c r="AR9" s="707"/>
      <c r="AS9" s="260" t="s">
        <v>396</v>
      </c>
      <c r="AT9" s="260">
        <v>1</v>
      </c>
      <c r="AU9" s="260" t="s">
        <v>397</v>
      </c>
      <c r="AV9" s="260" t="s">
        <v>398</v>
      </c>
      <c r="AW9" s="840"/>
      <c r="AX9" s="837"/>
      <c r="AY9" s="837"/>
      <c r="AZ9" s="707"/>
      <c r="BA9" s="145">
        <v>0.04</v>
      </c>
      <c r="BB9" s="145">
        <v>1</v>
      </c>
      <c r="BC9" s="391">
        <v>0.22500000000000001</v>
      </c>
      <c r="BD9" s="141" t="s">
        <v>949</v>
      </c>
      <c r="BE9" s="840"/>
      <c r="BF9" s="837"/>
      <c r="BG9" s="837"/>
      <c r="BH9" s="707"/>
      <c r="BI9" s="145">
        <v>0.13</v>
      </c>
      <c r="BJ9" s="145">
        <v>1</v>
      </c>
      <c r="BK9" s="391">
        <v>0.35499999999999998</v>
      </c>
      <c r="BL9" s="141" t="s">
        <v>950</v>
      </c>
      <c r="BM9" s="840"/>
      <c r="BN9" s="837"/>
      <c r="BO9" s="837"/>
      <c r="BP9" s="707"/>
      <c r="BQ9" s="145">
        <v>0.05</v>
      </c>
      <c r="BR9" s="145">
        <v>1</v>
      </c>
      <c r="BS9" s="391">
        <v>0.40500000000000003</v>
      </c>
      <c r="BT9" s="141" t="s">
        <v>951</v>
      </c>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row>
    <row r="10" spans="1:108" s="31" customFormat="1" ht="103.5" customHeight="1" x14ac:dyDescent="0.25">
      <c r="A10" s="800"/>
      <c r="B10" s="800"/>
      <c r="C10" s="800"/>
      <c r="D10" s="800"/>
      <c r="E10" s="800"/>
      <c r="F10" s="800"/>
      <c r="G10" s="798"/>
      <c r="H10" s="800"/>
      <c r="I10" s="798"/>
      <c r="J10" s="800"/>
      <c r="K10" s="798"/>
      <c r="L10" s="800"/>
      <c r="M10" s="800"/>
      <c r="N10" s="800"/>
      <c r="O10" s="800"/>
      <c r="P10" s="800"/>
      <c r="Q10" s="258" t="s">
        <v>399</v>
      </c>
      <c r="R10" s="147" t="s">
        <v>384</v>
      </c>
      <c r="S10" s="258" t="s">
        <v>74</v>
      </c>
      <c r="T10" s="258">
        <v>0</v>
      </c>
      <c r="U10" s="262">
        <v>1</v>
      </c>
      <c r="V10" s="843"/>
      <c r="W10" s="843"/>
      <c r="X10" s="798"/>
      <c r="Y10" s="828"/>
      <c r="Z10" s="800"/>
      <c r="AA10" s="828"/>
      <c r="AB10" s="828"/>
      <c r="AC10" s="262">
        <v>0</v>
      </c>
      <c r="AD10" s="262">
        <v>1</v>
      </c>
      <c r="AE10" s="262">
        <v>0</v>
      </c>
      <c r="AF10" s="262" t="s">
        <v>386</v>
      </c>
      <c r="AG10" s="828"/>
      <c r="AH10" s="831"/>
      <c r="AI10" s="828"/>
      <c r="AJ10" s="707"/>
      <c r="AK10" s="262">
        <v>0</v>
      </c>
      <c r="AL10" s="262">
        <v>1</v>
      </c>
      <c r="AM10" s="262">
        <v>0</v>
      </c>
      <c r="AN10" s="261" t="s">
        <v>392</v>
      </c>
      <c r="AO10" s="828"/>
      <c r="AP10" s="831"/>
      <c r="AQ10" s="828"/>
      <c r="AR10" s="707"/>
      <c r="AS10" s="262">
        <v>0.05</v>
      </c>
      <c r="AT10" s="262">
        <v>1</v>
      </c>
      <c r="AU10" s="262">
        <v>0.05</v>
      </c>
      <c r="AV10" s="261" t="s">
        <v>400</v>
      </c>
      <c r="AW10" s="840"/>
      <c r="AX10" s="837"/>
      <c r="AY10" s="837"/>
      <c r="AZ10" s="707"/>
      <c r="BA10" s="149">
        <v>0.2</v>
      </c>
      <c r="BB10" s="149">
        <v>1</v>
      </c>
      <c r="BC10" s="149">
        <v>0.25</v>
      </c>
      <c r="BD10" s="147" t="s">
        <v>952</v>
      </c>
      <c r="BE10" s="840"/>
      <c r="BF10" s="837"/>
      <c r="BG10" s="837"/>
      <c r="BH10" s="707"/>
      <c r="BI10" s="149">
        <v>0.15</v>
      </c>
      <c r="BJ10" s="149">
        <v>1</v>
      </c>
      <c r="BK10" s="149">
        <v>0.4</v>
      </c>
      <c r="BL10" s="147" t="s">
        <v>953</v>
      </c>
      <c r="BM10" s="840"/>
      <c r="BN10" s="837"/>
      <c r="BO10" s="837"/>
      <c r="BP10" s="707"/>
      <c r="BQ10" s="149">
        <v>0</v>
      </c>
      <c r="BR10" s="149">
        <v>1</v>
      </c>
      <c r="BS10" s="149">
        <v>0.4</v>
      </c>
      <c r="BT10" s="147" t="s">
        <v>954</v>
      </c>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row>
    <row r="11" spans="1:108" s="21" customFormat="1" ht="98.25" customHeight="1" x14ac:dyDescent="0.25">
      <c r="A11" s="801"/>
      <c r="B11" s="801"/>
      <c r="C11" s="801"/>
      <c r="D11" s="801"/>
      <c r="E11" s="801"/>
      <c r="F11" s="801"/>
      <c r="G11" s="798"/>
      <c r="H11" s="800"/>
      <c r="I11" s="798"/>
      <c r="J11" s="800"/>
      <c r="K11" s="798"/>
      <c r="L11" s="801"/>
      <c r="M11" s="801"/>
      <c r="N11" s="801"/>
      <c r="O11" s="801"/>
      <c r="P11" s="801"/>
      <c r="Q11" s="259" t="s">
        <v>401</v>
      </c>
      <c r="R11" s="141" t="s">
        <v>384</v>
      </c>
      <c r="S11" s="259" t="s">
        <v>74</v>
      </c>
      <c r="T11" s="259">
        <v>0</v>
      </c>
      <c r="U11" s="260">
        <v>1</v>
      </c>
      <c r="V11" s="843"/>
      <c r="W11" s="843"/>
      <c r="X11" s="798"/>
      <c r="Y11" s="829"/>
      <c r="Z11" s="801"/>
      <c r="AA11" s="829"/>
      <c r="AB11" s="829"/>
      <c r="AC11" s="260">
        <v>0</v>
      </c>
      <c r="AD11" s="260">
        <v>1</v>
      </c>
      <c r="AE11" s="260">
        <v>0</v>
      </c>
      <c r="AF11" s="260" t="s">
        <v>386</v>
      </c>
      <c r="AG11" s="829"/>
      <c r="AH11" s="832"/>
      <c r="AI11" s="829"/>
      <c r="AJ11" s="707"/>
      <c r="AK11" s="260">
        <v>0</v>
      </c>
      <c r="AL11" s="260">
        <v>1</v>
      </c>
      <c r="AM11" s="260">
        <v>0</v>
      </c>
      <c r="AN11" s="260" t="s">
        <v>392</v>
      </c>
      <c r="AO11" s="829"/>
      <c r="AP11" s="832"/>
      <c r="AQ11" s="829"/>
      <c r="AR11" s="707"/>
      <c r="AS11" s="260">
        <v>0.05</v>
      </c>
      <c r="AT11" s="260">
        <v>1</v>
      </c>
      <c r="AU11" s="260">
        <v>0.05</v>
      </c>
      <c r="AV11" s="260" t="s">
        <v>402</v>
      </c>
      <c r="AW11" s="840"/>
      <c r="AX11" s="837"/>
      <c r="AY11" s="837"/>
      <c r="AZ11" s="707"/>
      <c r="BA11" s="145">
        <v>0.1</v>
      </c>
      <c r="BB11" s="145">
        <v>1</v>
      </c>
      <c r="BC11" s="145">
        <v>0.15</v>
      </c>
      <c r="BD11" s="141" t="s">
        <v>955</v>
      </c>
      <c r="BE11" s="840"/>
      <c r="BF11" s="837"/>
      <c r="BG11" s="837"/>
      <c r="BH11" s="707"/>
      <c r="BI11" s="145">
        <v>0.15</v>
      </c>
      <c r="BJ11" s="145">
        <v>1</v>
      </c>
      <c r="BK11" s="145">
        <v>0.3</v>
      </c>
      <c r="BL11" s="141" t="s">
        <v>956</v>
      </c>
      <c r="BM11" s="840"/>
      <c r="BN11" s="837"/>
      <c r="BO11" s="837"/>
      <c r="BP11" s="707"/>
      <c r="BQ11" s="145">
        <v>0.15</v>
      </c>
      <c r="BR11" s="145">
        <v>1</v>
      </c>
      <c r="BS11" s="145">
        <v>0.45</v>
      </c>
      <c r="BT11" s="141" t="s">
        <v>957</v>
      </c>
      <c r="BU11" s="88"/>
      <c r="BV11" s="88"/>
      <c r="BW11" s="88"/>
      <c r="BX11" s="88"/>
      <c r="BY11" s="88"/>
      <c r="BZ11" s="88"/>
      <c r="CA11" s="88"/>
      <c r="CB11" s="88"/>
      <c r="CC11" s="88"/>
      <c r="CD11" s="88"/>
      <c r="CE11" s="88"/>
      <c r="CF11" s="88"/>
      <c r="CG11" s="88"/>
      <c r="CH11" s="88"/>
      <c r="CI11" s="88"/>
      <c r="CJ11" s="88"/>
      <c r="CK11" s="88"/>
      <c r="CL11" s="88"/>
      <c r="CM11" s="88"/>
      <c r="CN11" s="88"/>
      <c r="CO11" s="88"/>
      <c r="CP11" s="88"/>
      <c r="CQ11" s="88"/>
      <c r="CR11" s="88"/>
      <c r="CS11" s="88"/>
      <c r="CT11" s="88"/>
      <c r="CU11" s="88"/>
      <c r="CV11" s="88"/>
      <c r="CW11" s="88"/>
      <c r="CX11" s="88"/>
      <c r="CY11" s="88"/>
      <c r="CZ11" s="88"/>
      <c r="DA11" s="88"/>
      <c r="DB11" s="88"/>
      <c r="DC11" s="88"/>
      <c r="DD11" s="88"/>
    </row>
    <row r="12" spans="1:108" s="31" customFormat="1" ht="93.75" customHeight="1" x14ac:dyDescent="0.25">
      <c r="A12" s="261" t="s">
        <v>43</v>
      </c>
      <c r="B12" s="261" t="s">
        <v>44</v>
      </c>
      <c r="C12" s="261" t="s">
        <v>45</v>
      </c>
      <c r="D12" s="261" t="s">
        <v>46</v>
      </c>
      <c r="E12" s="261" t="s">
        <v>71</v>
      </c>
      <c r="F12" s="261" t="s">
        <v>48</v>
      </c>
      <c r="G12" s="798"/>
      <c r="H12" s="800"/>
      <c r="I12" s="798"/>
      <c r="J12" s="800"/>
      <c r="K12" s="798"/>
      <c r="L12" s="261" t="s">
        <v>403</v>
      </c>
      <c r="M12" s="261" t="s">
        <v>404</v>
      </c>
      <c r="N12" s="261" t="s">
        <v>74</v>
      </c>
      <c r="O12" s="261">
        <v>0</v>
      </c>
      <c r="P12" s="261">
        <v>0.95</v>
      </c>
      <c r="Q12" s="258" t="s">
        <v>405</v>
      </c>
      <c r="R12" s="147" t="s">
        <v>384</v>
      </c>
      <c r="S12" s="258" t="s">
        <v>74</v>
      </c>
      <c r="T12" s="258">
        <v>0</v>
      </c>
      <c r="U12" s="262">
        <v>1</v>
      </c>
      <c r="V12" s="843"/>
      <c r="W12" s="843"/>
      <c r="X12" s="798"/>
      <c r="Y12" s="262"/>
      <c r="Z12" s="262">
        <v>0.95</v>
      </c>
      <c r="AA12" s="262">
        <v>9.9000000000000005E-2</v>
      </c>
      <c r="AB12" s="262"/>
      <c r="AC12" s="262">
        <v>0</v>
      </c>
      <c r="AD12" s="262">
        <v>1</v>
      </c>
      <c r="AE12" s="262">
        <v>0</v>
      </c>
      <c r="AF12" s="262" t="s">
        <v>386</v>
      </c>
      <c r="AG12" s="262">
        <v>0.17399999999999999</v>
      </c>
      <c r="AH12" s="262">
        <v>0.95</v>
      </c>
      <c r="AI12" s="262">
        <v>0.17399999999999999</v>
      </c>
      <c r="AJ12" s="262"/>
      <c r="AK12" s="262">
        <v>0.08</v>
      </c>
      <c r="AL12" s="262">
        <v>1</v>
      </c>
      <c r="AM12" s="262">
        <v>0.08</v>
      </c>
      <c r="AN12" s="261" t="s">
        <v>406</v>
      </c>
      <c r="AO12" s="262"/>
      <c r="AP12" s="262">
        <v>0.95</v>
      </c>
      <c r="AQ12" s="262" t="s">
        <v>407</v>
      </c>
      <c r="AR12" s="262"/>
      <c r="AS12" s="262">
        <v>0.28000000000000003</v>
      </c>
      <c r="AT12" s="262">
        <v>1</v>
      </c>
      <c r="AU12" s="262">
        <v>0.36</v>
      </c>
      <c r="AV12" s="261" t="s">
        <v>408</v>
      </c>
      <c r="AW12" s="392"/>
      <c r="AX12" s="393">
        <v>0.95</v>
      </c>
      <c r="AY12" s="394">
        <v>0.35599999999999998</v>
      </c>
      <c r="AZ12" s="299"/>
      <c r="BA12" s="153">
        <v>0.08</v>
      </c>
      <c r="BB12" s="153">
        <v>1</v>
      </c>
      <c r="BC12" s="153">
        <v>0.4</v>
      </c>
      <c r="BD12" s="298" t="s">
        <v>958</v>
      </c>
      <c r="BE12" s="392"/>
      <c r="BF12" s="393">
        <v>0.95</v>
      </c>
      <c r="BG12" s="394">
        <v>0.44700000000000001</v>
      </c>
      <c r="BH12" s="299"/>
      <c r="BI12" s="153">
        <v>0.05</v>
      </c>
      <c r="BJ12" s="153">
        <v>1</v>
      </c>
      <c r="BK12" s="153">
        <v>0.45</v>
      </c>
      <c r="BL12" s="395" t="s">
        <v>959</v>
      </c>
      <c r="BM12" s="396">
        <v>0.10440000000000001</v>
      </c>
      <c r="BN12" s="393">
        <v>0.95</v>
      </c>
      <c r="BO12" s="394">
        <v>0.55100000000000005</v>
      </c>
      <c r="BP12" s="299"/>
      <c r="BQ12" s="153">
        <v>0.05</v>
      </c>
      <c r="BR12" s="153">
        <v>1</v>
      </c>
      <c r="BS12" s="153">
        <v>0.5</v>
      </c>
      <c r="BT12" s="395" t="s">
        <v>960</v>
      </c>
      <c r="BU12" s="88"/>
      <c r="BV12" s="88"/>
      <c r="BW12" s="88"/>
      <c r="BX12" s="88"/>
      <c r="BY12" s="88"/>
      <c r="BZ12" s="88"/>
      <c r="CA12" s="88"/>
      <c r="CB12" s="88"/>
      <c r="CC12" s="88"/>
      <c r="CD12" s="88"/>
      <c r="CE12" s="88"/>
      <c r="CF12" s="88"/>
      <c r="CG12" s="88"/>
      <c r="CH12" s="88"/>
      <c r="CI12" s="88"/>
      <c r="CJ12" s="88"/>
      <c r="CK12" s="88"/>
      <c r="CL12" s="88"/>
      <c r="CM12" s="88"/>
      <c r="CN12" s="88"/>
      <c r="CO12" s="88"/>
      <c r="CP12" s="88"/>
      <c r="CQ12" s="88"/>
      <c r="CR12" s="88"/>
      <c r="CS12" s="88"/>
      <c r="CT12" s="88"/>
      <c r="CU12" s="88"/>
      <c r="CV12" s="88"/>
      <c r="CW12" s="88"/>
      <c r="CX12" s="88"/>
      <c r="CY12" s="88"/>
      <c r="CZ12" s="88"/>
      <c r="DA12" s="88"/>
      <c r="DB12" s="88"/>
      <c r="DC12" s="88"/>
      <c r="DD12" s="88"/>
    </row>
    <row r="13" spans="1:108" s="31" customFormat="1" ht="177" customHeight="1" x14ac:dyDescent="0.25">
      <c r="A13" s="698" t="s">
        <v>43</v>
      </c>
      <c r="B13" s="698" t="s">
        <v>44</v>
      </c>
      <c r="C13" s="698" t="s">
        <v>45</v>
      </c>
      <c r="D13" s="698" t="s">
        <v>349</v>
      </c>
      <c r="E13" s="698" t="s">
        <v>71</v>
      </c>
      <c r="F13" s="698" t="s">
        <v>48</v>
      </c>
      <c r="G13" s="798"/>
      <c r="H13" s="800"/>
      <c r="I13" s="798"/>
      <c r="J13" s="800"/>
      <c r="K13" s="798"/>
      <c r="L13" s="698" t="s">
        <v>409</v>
      </c>
      <c r="M13" s="698" t="s">
        <v>410</v>
      </c>
      <c r="N13" s="698" t="s">
        <v>56</v>
      </c>
      <c r="O13" s="698">
        <v>0</v>
      </c>
      <c r="P13" s="698">
        <v>3</v>
      </c>
      <c r="Q13" s="259" t="s">
        <v>411</v>
      </c>
      <c r="R13" s="141" t="s">
        <v>384</v>
      </c>
      <c r="S13" s="259" t="s">
        <v>74</v>
      </c>
      <c r="T13" s="259">
        <v>0</v>
      </c>
      <c r="U13" s="260">
        <v>1</v>
      </c>
      <c r="V13" s="843"/>
      <c r="W13" s="843"/>
      <c r="X13" s="798"/>
      <c r="Y13" s="833">
        <v>0.3</v>
      </c>
      <c r="Z13" s="836">
        <v>3</v>
      </c>
      <c r="AA13" s="839">
        <v>0.3</v>
      </c>
      <c r="AB13" s="836"/>
      <c r="AC13" s="260">
        <v>0.4</v>
      </c>
      <c r="AD13" s="260">
        <v>1</v>
      </c>
      <c r="AE13" s="260">
        <v>0.4</v>
      </c>
      <c r="AF13" s="260"/>
      <c r="AG13" s="827">
        <v>0.16</v>
      </c>
      <c r="AH13" s="830">
        <v>3</v>
      </c>
      <c r="AI13" s="827">
        <f>30%+AG13</f>
        <v>0.45999999999999996</v>
      </c>
      <c r="AJ13" s="827" t="s">
        <v>412</v>
      </c>
      <c r="AK13" s="260">
        <v>0.05</v>
      </c>
      <c r="AL13" s="260">
        <v>1</v>
      </c>
      <c r="AM13" s="260">
        <v>0.45</v>
      </c>
      <c r="AN13" s="260" t="s">
        <v>413</v>
      </c>
      <c r="AO13" s="827">
        <v>0.14000000000000001</v>
      </c>
      <c r="AP13" s="830">
        <v>3</v>
      </c>
      <c r="AQ13" s="827">
        <v>0.6</v>
      </c>
      <c r="AR13" s="827" t="s">
        <v>414</v>
      </c>
      <c r="AS13" s="260">
        <v>0.27</v>
      </c>
      <c r="AT13" s="260">
        <v>1</v>
      </c>
      <c r="AU13" s="260">
        <v>0.72</v>
      </c>
      <c r="AV13" s="260" t="s">
        <v>415</v>
      </c>
      <c r="AW13" s="833">
        <v>0.08</v>
      </c>
      <c r="AX13" s="836">
        <v>3</v>
      </c>
      <c r="AY13" s="839">
        <v>0.68</v>
      </c>
      <c r="AZ13" s="706" t="s">
        <v>961</v>
      </c>
      <c r="BA13" s="145">
        <v>0.08</v>
      </c>
      <c r="BB13" s="145">
        <v>1</v>
      </c>
      <c r="BC13" s="145">
        <v>0.8</v>
      </c>
      <c r="BD13" s="141" t="s">
        <v>962</v>
      </c>
      <c r="BE13" s="833">
        <v>0</v>
      </c>
      <c r="BF13" s="836">
        <v>3</v>
      </c>
      <c r="BG13" s="839">
        <v>0.68</v>
      </c>
      <c r="BH13" s="706" t="s">
        <v>963</v>
      </c>
      <c r="BI13" s="145">
        <v>0</v>
      </c>
      <c r="BJ13" s="145">
        <v>1</v>
      </c>
      <c r="BK13" s="145">
        <v>0.8</v>
      </c>
      <c r="BL13" s="141" t="s">
        <v>964</v>
      </c>
      <c r="BM13" s="833">
        <v>0</v>
      </c>
      <c r="BN13" s="836">
        <v>3</v>
      </c>
      <c r="BO13" s="839">
        <v>0.68</v>
      </c>
      <c r="BP13" s="706" t="s">
        <v>963</v>
      </c>
      <c r="BQ13" s="145">
        <v>0.02</v>
      </c>
      <c r="BR13" s="145">
        <v>1</v>
      </c>
      <c r="BS13" s="145">
        <v>0.82</v>
      </c>
      <c r="BT13" s="141" t="s">
        <v>965</v>
      </c>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row>
    <row r="14" spans="1:108" s="31" customFormat="1" ht="103.5" customHeight="1" x14ac:dyDescent="0.25">
      <c r="A14" s="698"/>
      <c r="B14" s="698"/>
      <c r="C14" s="698"/>
      <c r="D14" s="698"/>
      <c r="E14" s="698"/>
      <c r="F14" s="698"/>
      <c r="G14" s="798"/>
      <c r="H14" s="800"/>
      <c r="I14" s="798"/>
      <c r="J14" s="800"/>
      <c r="K14" s="798"/>
      <c r="L14" s="698"/>
      <c r="M14" s="698"/>
      <c r="N14" s="698"/>
      <c r="O14" s="698"/>
      <c r="P14" s="698"/>
      <c r="Q14" s="258" t="s">
        <v>416</v>
      </c>
      <c r="R14" s="147" t="s">
        <v>384</v>
      </c>
      <c r="S14" s="258" t="s">
        <v>74</v>
      </c>
      <c r="T14" s="258">
        <v>0</v>
      </c>
      <c r="U14" s="262">
        <v>1</v>
      </c>
      <c r="V14" s="843"/>
      <c r="W14" s="843"/>
      <c r="X14" s="798"/>
      <c r="Y14" s="834"/>
      <c r="Z14" s="837"/>
      <c r="AA14" s="840"/>
      <c r="AB14" s="837"/>
      <c r="AC14" s="262">
        <v>0.05</v>
      </c>
      <c r="AD14" s="262">
        <v>1</v>
      </c>
      <c r="AE14" s="262">
        <v>0.05</v>
      </c>
      <c r="AF14" s="262"/>
      <c r="AG14" s="828"/>
      <c r="AH14" s="831"/>
      <c r="AI14" s="828"/>
      <c r="AJ14" s="828"/>
      <c r="AK14" s="262">
        <v>0.38</v>
      </c>
      <c r="AL14" s="262">
        <v>1</v>
      </c>
      <c r="AM14" s="262">
        <v>0.43</v>
      </c>
      <c r="AN14" s="261" t="s">
        <v>417</v>
      </c>
      <c r="AO14" s="828"/>
      <c r="AP14" s="831"/>
      <c r="AQ14" s="828"/>
      <c r="AR14" s="828"/>
      <c r="AS14" s="262">
        <v>0.05</v>
      </c>
      <c r="AT14" s="262">
        <v>1</v>
      </c>
      <c r="AU14" s="262">
        <v>0.48</v>
      </c>
      <c r="AV14" s="261" t="s">
        <v>418</v>
      </c>
      <c r="AW14" s="834"/>
      <c r="AX14" s="837"/>
      <c r="AY14" s="840"/>
      <c r="AZ14" s="707"/>
      <c r="BA14" s="151">
        <v>0</v>
      </c>
      <c r="BB14" s="149">
        <v>1</v>
      </c>
      <c r="BC14" s="149">
        <v>0.48</v>
      </c>
      <c r="BD14" s="397" t="s">
        <v>418</v>
      </c>
      <c r="BE14" s="834"/>
      <c r="BF14" s="837"/>
      <c r="BG14" s="840"/>
      <c r="BH14" s="707"/>
      <c r="BI14" s="151">
        <v>0</v>
      </c>
      <c r="BJ14" s="149">
        <v>1</v>
      </c>
      <c r="BK14" s="149">
        <v>0.48</v>
      </c>
      <c r="BL14" s="395" t="s">
        <v>964</v>
      </c>
      <c r="BM14" s="834"/>
      <c r="BN14" s="837"/>
      <c r="BO14" s="840"/>
      <c r="BP14" s="707"/>
      <c r="BQ14" s="151">
        <v>0</v>
      </c>
      <c r="BR14" s="149">
        <v>1</v>
      </c>
      <c r="BS14" s="149">
        <v>0.48</v>
      </c>
      <c r="BT14" s="395" t="s">
        <v>966</v>
      </c>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row>
    <row r="15" spans="1:108" s="21" customFormat="1" ht="153.75" customHeight="1" x14ac:dyDescent="0.25">
      <c r="A15" s="698"/>
      <c r="B15" s="698"/>
      <c r="C15" s="698"/>
      <c r="D15" s="698"/>
      <c r="E15" s="698"/>
      <c r="F15" s="698"/>
      <c r="G15" s="798"/>
      <c r="H15" s="800"/>
      <c r="I15" s="798"/>
      <c r="J15" s="800"/>
      <c r="K15" s="798"/>
      <c r="L15" s="698"/>
      <c r="M15" s="698"/>
      <c r="N15" s="698"/>
      <c r="O15" s="698"/>
      <c r="P15" s="698"/>
      <c r="Q15" s="259" t="s">
        <v>419</v>
      </c>
      <c r="R15" s="141" t="s">
        <v>384</v>
      </c>
      <c r="S15" s="259" t="s">
        <v>74</v>
      </c>
      <c r="T15" s="259">
        <v>0</v>
      </c>
      <c r="U15" s="260">
        <v>1</v>
      </c>
      <c r="V15" s="844"/>
      <c r="W15" s="844"/>
      <c r="X15" s="798"/>
      <c r="Y15" s="835"/>
      <c r="Z15" s="838"/>
      <c r="AA15" s="841"/>
      <c r="AB15" s="838"/>
      <c r="AC15" s="260">
        <v>0.45</v>
      </c>
      <c r="AD15" s="260">
        <v>1</v>
      </c>
      <c r="AE15" s="260">
        <v>0.45</v>
      </c>
      <c r="AF15" s="260"/>
      <c r="AG15" s="829"/>
      <c r="AH15" s="832"/>
      <c r="AI15" s="829"/>
      <c r="AJ15" s="829"/>
      <c r="AK15" s="260">
        <v>0.05</v>
      </c>
      <c r="AL15" s="260">
        <v>1</v>
      </c>
      <c r="AM15" s="260">
        <v>0.5</v>
      </c>
      <c r="AN15" s="260" t="s">
        <v>420</v>
      </c>
      <c r="AO15" s="829"/>
      <c r="AP15" s="832"/>
      <c r="AQ15" s="829"/>
      <c r="AR15" s="829"/>
      <c r="AS15" s="260">
        <v>0.1</v>
      </c>
      <c r="AT15" s="260">
        <v>1</v>
      </c>
      <c r="AU15" s="260">
        <v>0.6</v>
      </c>
      <c r="AV15" s="260" t="s">
        <v>421</v>
      </c>
      <c r="AW15" s="835"/>
      <c r="AX15" s="838"/>
      <c r="AY15" s="841"/>
      <c r="AZ15" s="851"/>
      <c r="BA15" s="297">
        <v>0.15</v>
      </c>
      <c r="BB15" s="297">
        <v>1</v>
      </c>
      <c r="BC15" s="297">
        <v>0.75</v>
      </c>
      <c r="BD15" s="141" t="s">
        <v>967</v>
      </c>
      <c r="BE15" s="835"/>
      <c r="BF15" s="838"/>
      <c r="BG15" s="841"/>
      <c r="BH15" s="851"/>
      <c r="BI15" s="297">
        <v>0</v>
      </c>
      <c r="BJ15" s="297">
        <v>1</v>
      </c>
      <c r="BK15" s="297">
        <v>0.75</v>
      </c>
      <c r="BL15" s="141" t="s">
        <v>964</v>
      </c>
      <c r="BM15" s="835"/>
      <c r="BN15" s="838"/>
      <c r="BO15" s="841"/>
      <c r="BP15" s="851"/>
      <c r="BQ15" s="297">
        <v>0</v>
      </c>
      <c r="BR15" s="297">
        <v>1</v>
      </c>
      <c r="BS15" s="297">
        <v>0.75</v>
      </c>
      <c r="BT15" s="141" t="s">
        <v>966</v>
      </c>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row>
    <row r="16" spans="1:108" s="31" customFormat="1" ht="103.5" customHeight="1" x14ac:dyDescent="0.25">
      <c r="A16" s="257" t="s">
        <v>43</v>
      </c>
      <c r="B16" s="257" t="s">
        <v>44</v>
      </c>
      <c r="C16" s="257" t="s">
        <v>45</v>
      </c>
      <c r="D16" s="257" t="s">
        <v>306</v>
      </c>
      <c r="E16" s="257" t="s">
        <v>422</v>
      </c>
      <c r="F16" s="257" t="s">
        <v>422</v>
      </c>
      <c r="G16" s="798"/>
      <c r="H16" s="800"/>
      <c r="I16" s="793"/>
      <c r="J16" s="800"/>
      <c r="K16" s="798"/>
      <c r="L16" s="257" t="s">
        <v>423</v>
      </c>
      <c r="M16" s="257" t="s">
        <v>424</v>
      </c>
      <c r="N16" s="257" t="s">
        <v>56</v>
      </c>
      <c r="O16" s="257">
        <v>0</v>
      </c>
      <c r="P16" s="257">
        <v>5</v>
      </c>
      <c r="Q16" s="660"/>
      <c r="R16" s="661"/>
      <c r="S16" s="661"/>
      <c r="T16" s="661"/>
      <c r="U16" s="662"/>
      <c r="V16" s="310"/>
      <c r="W16" s="310"/>
      <c r="X16" s="798"/>
      <c r="Y16" s="310">
        <v>0</v>
      </c>
      <c r="Z16" s="310">
        <v>5</v>
      </c>
      <c r="AA16" s="262">
        <v>0</v>
      </c>
      <c r="AB16" s="306" t="s">
        <v>386</v>
      </c>
      <c r="AC16" s="660"/>
      <c r="AD16" s="661"/>
      <c r="AE16" s="661"/>
      <c r="AF16" s="662"/>
      <c r="AG16" s="310">
        <v>1</v>
      </c>
      <c r="AH16" s="310">
        <v>5</v>
      </c>
      <c r="AI16" s="262">
        <f>AG16/AH16</f>
        <v>0.2</v>
      </c>
      <c r="AJ16" s="261" t="s">
        <v>425</v>
      </c>
      <c r="AK16" s="660"/>
      <c r="AL16" s="661"/>
      <c r="AM16" s="661"/>
      <c r="AN16" s="662"/>
      <c r="AO16" s="310">
        <v>1</v>
      </c>
      <c r="AP16" s="310">
        <v>5</v>
      </c>
      <c r="AQ16" s="311">
        <v>0.2</v>
      </c>
      <c r="AR16" s="313" t="s">
        <v>426</v>
      </c>
      <c r="AS16" s="660"/>
      <c r="AT16" s="661"/>
      <c r="AU16" s="661"/>
      <c r="AV16" s="662"/>
      <c r="AW16" s="398">
        <v>1</v>
      </c>
      <c r="AX16" s="398">
        <v>5</v>
      </c>
      <c r="AY16" s="149">
        <v>0.2</v>
      </c>
      <c r="AZ16" s="399" t="s">
        <v>968</v>
      </c>
      <c r="BA16" s="400"/>
      <c r="BB16" s="400"/>
      <c r="BC16" s="400"/>
      <c r="BD16" s="400"/>
      <c r="BE16" s="398">
        <v>1</v>
      </c>
      <c r="BF16" s="398">
        <v>5</v>
      </c>
      <c r="BG16" s="149">
        <v>0.2</v>
      </c>
      <c r="BH16" s="399" t="s">
        <v>969</v>
      </c>
      <c r="BI16" s="400"/>
      <c r="BJ16" s="400"/>
      <c r="BK16" s="400"/>
      <c r="BL16" s="400"/>
      <c r="BM16" s="398">
        <v>4</v>
      </c>
      <c r="BN16" s="398">
        <v>5</v>
      </c>
      <c r="BO16" s="149">
        <f>BM16/BN16</f>
        <v>0.8</v>
      </c>
      <c r="BP16" s="399" t="s">
        <v>970</v>
      </c>
      <c r="BQ16" s="400"/>
      <c r="BR16" s="400"/>
      <c r="BS16" s="400"/>
      <c r="BT16" s="400"/>
      <c r="BU16" s="88"/>
      <c r="BV16" s="88"/>
      <c r="BW16" s="88"/>
      <c r="BX16" s="88"/>
      <c r="BY16" s="88"/>
      <c r="BZ16" s="88"/>
      <c r="CA16" s="88"/>
      <c r="CB16" s="88"/>
      <c r="CC16" s="88"/>
      <c r="CD16" s="88"/>
      <c r="CE16" s="88"/>
      <c r="CF16" s="88"/>
      <c r="CG16" s="88"/>
      <c r="CH16" s="88"/>
      <c r="CI16" s="88"/>
      <c r="CJ16" s="88"/>
      <c r="CK16" s="88"/>
      <c r="CL16" s="88"/>
      <c r="CM16" s="88"/>
      <c r="CN16" s="88"/>
      <c r="CO16" s="88"/>
      <c r="CP16" s="88"/>
      <c r="CQ16" s="88"/>
      <c r="CR16" s="88"/>
      <c r="CS16" s="88"/>
      <c r="CT16" s="88"/>
      <c r="CU16" s="88"/>
      <c r="CV16" s="88"/>
      <c r="CW16" s="88"/>
      <c r="CX16" s="88"/>
      <c r="CY16" s="88"/>
      <c r="CZ16" s="88"/>
      <c r="DA16" s="88"/>
      <c r="DB16" s="88"/>
      <c r="DC16" s="88"/>
      <c r="DD16" s="88"/>
    </row>
    <row r="17" spans="1:108" ht="121.5" customHeight="1" x14ac:dyDescent="0.25">
      <c r="A17" s="259" t="s">
        <v>43</v>
      </c>
      <c r="B17" s="259" t="s">
        <v>44</v>
      </c>
      <c r="C17" s="259" t="s">
        <v>45</v>
      </c>
      <c r="D17" s="259" t="s">
        <v>349</v>
      </c>
      <c r="E17" s="259" t="s">
        <v>47</v>
      </c>
      <c r="F17" s="259" t="s">
        <v>326</v>
      </c>
      <c r="G17" s="798"/>
      <c r="H17" s="800"/>
      <c r="I17" s="792" t="s">
        <v>429</v>
      </c>
      <c r="J17" s="800"/>
      <c r="K17" s="798"/>
      <c r="L17" s="259" t="s">
        <v>427</v>
      </c>
      <c r="M17" s="259" t="s">
        <v>384</v>
      </c>
      <c r="N17" s="259" t="s">
        <v>74</v>
      </c>
      <c r="O17" s="259">
        <v>0</v>
      </c>
      <c r="P17" s="259">
        <v>1</v>
      </c>
      <c r="Q17" s="660"/>
      <c r="R17" s="661"/>
      <c r="S17" s="661"/>
      <c r="T17" s="661"/>
      <c r="U17" s="662"/>
      <c r="V17" s="260"/>
      <c r="W17" s="260"/>
      <c r="X17" s="798"/>
      <c r="Y17" s="260">
        <v>0</v>
      </c>
      <c r="Z17" s="260">
        <v>1</v>
      </c>
      <c r="AA17" s="260">
        <v>0</v>
      </c>
      <c r="AB17" s="260" t="s">
        <v>386</v>
      </c>
      <c r="AC17" s="660"/>
      <c r="AD17" s="661"/>
      <c r="AE17" s="661"/>
      <c r="AF17" s="662"/>
      <c r="AG17" s="260">
        <v>0.03</v>
      </c>
      <c r="AH17" s="260">
        <v>1</v>
      </c>
      <c r="AI17" s="260">
        <v>0.03</v>
      </c>
      <c r="AJ17" s="260"/>
      <c r="AK17" s="660"/>
      <c r="AL17" s="661"/>
      <c r="AM17" s="661"/>
      <c r="AN17" s="662"/>
      <c r="AO17" s="260">
        <v>0.03</v>
      </c>
      <c r="AP17" s="260">
        <v>1</v>
      </c>
      <c r="AQ17" s="312">
        <v>0.06</v>
      </c>
      <c r="AR17" s="312" t="s">
        <v>428</v>
      </c>
      <c r="AS17" s="660"/>
      <c r="AT17" s="661"/>
      <c r="AU17" s="661"/>
      <c r="AV17" s="662"/>
      <c r="AW17" s="401">
        <v>1.2999999999999999E-2</v>
      </c>
      <c r="AX17" s="402">
        <v>1</v>
      </c>
      <c r="AY17" s="403">
        <f>6%+AW17</f>
        <v>7.2999999999999995E-2</v>
      </c>
      <c r="AZ17" s="141" t="s">
        <v>971</v>
      </c>
      <c r="BA17" s="400"/>
      <c r="BB17" s="400"/>
      <c r="BC17" s="400"/>
      <c r="BD17" s="400"/>
      <c r="BE17" s="401">
        <v>0.219</v>
      </c>
      <c r="BF17" s="402">
        <v>1</v>
      </c>
      <c r="BG17" s="403">
        <v>0.29199999999999998</v>
      </c>
      <c r="BH17" s="141" t="s">
        <v>972</v>
      </c>
      <c r="BI17" s="400"/>
      <c r="BJ17" s="400"/>
      <c r="BK17" s="400"/>
      <c r="BL17" s="400"/>
      <c r="BM17" s="401">
        <v>0.22800000000000001</v>
      </c>
      <c r="BN17" s="402">
        <v>1</v>
      </c>
      <c r="BO17" s="403">
        <v>0.52</v>
      </c>
      <c r="BP17" s="141" t="s">
        <v>973</v>
      </c>
      <c r="BQ17" s="400"/>
      <c r="BR17" s="400"/>
      <c r="BS17" s="400"/>
      <c r="BT17" s="400"/>
    </row>
    <row r="18" spans="1:108" ht="114" customHeight="1" x14ac:dyDescent="0.25">
      <c r="A18" s="257" t="s">
        <v>43</v>
      </c>
      <c r="B18" s="257" t="s">
        <v>44</v>
      </c>
      <c r="C18" s="257" t="s">
        <v>45</v>
      </c>
      <c r="D18" s="257" t="s">
        <v>349</v>
      </c>
      <c r="E18" s="257" t="s">
        <v>375</v>
      </c>
      <c r="F18" s="257" t="s">
        <v>376</v>
      </c>
      <c r="G18" s="793"/>
      <c r="H18" s="801"/>
      <c r="I18" s="793"/>
      <c r="J18" s="801"/>
      <c r="K18" s="793"/>
      <c r="L18" s="257" t="s">
        <v>430</v>
      </c>
      <c r="M18" s="257" t="s">
        <v>384</v>
      </c>
      <c r="N18" s="257" t="s">
        <v>74</v>
      </c>
      <c r="O18" s="257">
        <v>0</v>
      </c>
      <c r="P18" s="257">
        <v>1</v>
      </c>
      <c r="Q18" s="660"/>
      <c r="R18" s="661"/>
      <c r="S18" s="661"/>
      <c r="T18" s="661"/>
      <c r="U18" s="662"/>
      <c r="V18" s="310"/>
      <c r="W18" s="310"/>
      <c r="X18" s="793"/>
      <c r="Y18" s="310">
        <v>0.1</v>
      </c>
      <c r="Z18" s="310">
        <v>1</v>
      </c>
      <c r="AA18" s="262">
        <v>0.1</v>
      </c>
      <c r="AB18" s="261"/>
      <c r="AC18" s="660"/>
      <c r="AD18" s="661"/>
      <c r="AE18" s="661"/>
      <c r="AF18" s="662"/>
      <c r="AG18" s="262">
        <v>0.1</v>
      </c>
      <c r="AH18" s="310">
        <v>1</v>
      </c>
      <c r="AI18" s="262">
        <v>0.2</v>
      </c>
      <c r="AJ18" s="261" t="s">
        <v>431</v>
      </c>
      <c r="AK18" s="660"/>
      <c r="AL18" s="661"/>
      <c r="AM18" s="661"/>
      <c r="AN18" s="662"/>
      <c r="AO18" s="262">
        <v>0.35</v>
      </c>
      <c r="AP18" s="310">
        <v>1</v>
      </c>
      <c r="AQ18" s="311">
        <v>0.55000000000000004</v>
      </c>
      <c r="AR18" s="313" t="s">
        <v>432</v>
      </c>
      <c r="AS18" s="660"/>
      <c r="AT18" s="661"/>
      <c r="AU18" s="661"/>
      <c r="AV18" s="662"/>
      <c r="AW18" s="149">
        <v>0</v>
      </c>
      <c r="AX18" s="149">
        <v>1</v>
      </c>
      <c r="AY18" s="149">
        <v>0.55000000000000004</v>
      </c>
      <c r="AZ18" s="399" t="s">
        <v>974</v>
      </c>
      <c r="BA18" s="404"/>
      <c r="BB18" s="404"/>
      <c r="BC18" s="404"/>
      <c r="BD18" s="404"/>
      <c r="BE18" s="149">
        <v>0.25</v>
      </c>
      <c r="BF18" s="149">
        <v>1</v>
      </c>
      <c r="BG18" s="149">
        <v>0.8</v>
      </c>
      <c r="BH18" s="405" t="s">
        <v>975</v>
      </c>
      <c r="BI18" s="404"/>
      <c r="BJ18" s="404"/>
      <c r="BK18" s="404"/>
      <c r="BL18" s="404"/>
      <c r="BM18" s="149">
        <v>0.2</v>
      </c>
      <c r="BN18" s="149">
        <v>1</v>
      </c>
      <c r="BO18" s="149">
        <v>1</v>
      </c>
      <c r="BP18" s="405" t="s">
        <v>976</v>
      </c>
      <c r="BQ18" s="404"/>
      <c r="BR18" s="404"/>
      <c r="BS18" s="404"/>
      <c r="BT18" s="404"/>
    </row>
    <row r="19" spans="1:108" ht="54" customHeight="1" x14ac:dyDescent="0.25">
      <c r="A19" s="20"/>
      <c r="B19" s="20"/>
      <c r="C19" s="20"/>
      <c r="D19" s="20"/>
      <c r="E19" s="20"/>
      <c r="F19" s="20"/>
      <c r="G19" s="20"/>
      <c r="H19" s="20"/>
      <c r="I19" s="20"/>
      <c r="J19" s="20"/>
      <c r="K19" s="20"/>
      <c r="L19" s="20"/>
      <c r="M19" s="20"/>
      <c r="N19" s="20"/>
      <c r="O19" s="20"/>
      <c r="P19" s="20"/>
      <c r="Q19" s="20"/>
      <c r="R19" s="20"/>
      <c r="S19" s="20"/>
      <c r="T19" s="20"/>
      <c r="U19" s="20"/>
      <c r="V19" s="20"/>
      <c r="W19" s="20"/>
      <c r="Y19" s="657" t="s">
        <v>433</v>
      </c>
      <c r="Z19" s="657"/>
      <c r="AA19" s="55">
        <f>AVERAGE(AA7,AA12,AA13,AA16,AA17,AA18)</f>
        <v>8.6500000000000007E-2</v>
      </c>
      <c r="AC19" s="657" t="s">
        <v>434</v>
      </c>
      <c r="AD19" s="657"/>
      <c r="AE19" s="55">
        <f>AVERAGE(AE7,AE8,AE9,AE10,AE11,AE12,AE13,AE14,AE15)</f>
        <v>0.1111111111111111</v>
      </c>
      <c r="AG19" s="657" t="s">
        <v>433</v>
      </c>
      <c r="AH19" s="657"/>
      <c r="AI19" s="55">
        <f>AVERAGE(AI7:AI18)</f>
        <v>0.18066666666666664</v>
      </c>
      <c r="AK19" s="657" t="s">
        <v>434</v>
      </c>
      <c r="AL19" s="657"/>
      <c r="AM19" s="55">
        <f>AVERAGE(AM7:AM15)</f>
        <v>0.17555555555555558</v>
      </c>
      <c r="AO19" s="657" t="s">
        <v>433</v>
      </c>
      <c r="AP19" s="657"/>
      <c r="AQ19" s="55">
        <f>AVERAGE(AQ7:AQ18)</f>
        <v>0.3</v>
      </c>
      <c r="AS19" s="657" t="s">
        <v>434</v>
      </c>
      <c r="AT19" s="657"/>
      <c r="AU19" s="55">
        <f>AVERAGE(AU7:AU15)</f>
        <v>0.31374999999999997</v>
      </c>
      <c r="BM19" s="657" t="s">
        <v>433</v>
      </c>
      <c r="BN19" s="657"/>
      <c r="BO19" s="55">
        <v>0.7</v>
      </c>
      <c r="BQ19" s="657" t="s">
        <v>434</v>
      </c>
      <c r="BR19" s="657"/>
      <c r="BS19" s="55">
        <v>0.65</v>
      </c>
    </row>
    <row r="20" spans="1:108" s="20" customFormat="1" ht="22.5" customHeight="1" x14ac:dyDescent="0.25">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row>
    <row r="21" spans="1:108" s="20" customFormat="1" ht="22.5" customHeight="1" x14ac:dyDescent="0.25">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8"/>
      <c r="CV21" s="88"/>
      <c r="CW21" s="88"/>
      <c r="CX21" s="88"/>
      <c r="CY21" s="88"/>
      <c r="CZ21" s="88"/>
      <c r="DA21" s="88"/>
      <c r="DB21" s="88"/>
      <c r="DC21" s="88"/>
      <c r="DD21" s="88"/>
    </row>
    <row r="22" spans="1:108" s="20" customFormat="1" ht="22.5" customHeight="1" x14ac:dyDescent="0.25">
      <c r="AW22" s="88"/>
      <c r="AX22" s="88"/>
      <c r="AY22" s="88"/>
      <c r="AZ22" s="88"/>
      <c r="BA22" s="88"/>
      <c r="BB22" s="88"/>
      <c r="BC22" s="88"/>
      <c r="BD22" s="88"/>
      <c r="BE22" s="88"/>
      <c r="BF22" s="88"/>
      <c r="BG22" s="88"/>
      <c r="BH22" s="88"/>
      <c r="BI22" s="88"/>
      <c r="BJ22" s="88"/>
      <c r="BK22" s="88"/>
      <c r="BL22" s="88"/>
      <c r="BM22" s="88"/>
      <c r="BN22" s="88"/>
      <c r="BO22" s="88"/>
      <c r="BP22" s="88"/>
      <c r="BQ22" s="88"/>
      <c r="BR22" s="88"/>
      <c r="BS22" s="88"/>
      <c r="BT22" s="88"/>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row>
    <row r="23" spans="1:108" s="20" customFormat="1" ht="22.5" customHeight="1" x14ac:dyDescent="0.25">
      <c r="AW23" s="88"/>
      <c r="AX23" s="88"/>
      <c r="AY23" s="88"/>
      <c r="AZ23" s="88"/>
      <c r="BA23" s="88"/>
      <c r="BB23" s="88"/>
      <c r="BC23" s="88"/>
      <c r="BD23" s="88"/>
      <c r="BE23" s="88"/>
      <c r="BF23" s="88"/>
      <c r="BG23" s="88"/>
      <c r="BH23" s="88"/>
      <c r="BI23" s="88"/>
      <c r="BJ23" s="88"/>
      <c r="BK23" s="88"/>
      <c r="BL23" s="88"/>
      <c r="BM23" s="88"/>
      <c r="BN23" s="88"/>
      <c r="BO23" s="88"/>
      <c r="BP23" s="88"/>
      <c r="BQ23" s="88"/>
      <c r="BR23" s="88"/>
      <c r="BS23" s="88"/>
      <c r="BT23" s="88"/>
      <c r="BU23" s="88"/>
      <c r="BV23" s="88"/>
      <c r="BW23" s="88"/>
      <c r="BX23" s="88"/>
      <c r="BY23" s="88"/>
      <c r="BZ23" s="88"/>
      <c r="CA23" s="88"/>
      <c r="CB23" s="88"/>
      <c r="CC23" s="88"/>
      <c r="CD23" s="88"/>
      <c r="CE23" s="88"/>
      <c r="CF23" s="88"/>
      <c r="CG23" s="88"/>
      <c r="CH23" s="88"/>
      <c r="CI23" s="88"/>
      <c r="CJ23" s="88"/>
      <c r="CK23" s="88"/>
      <c r="CL23" s="88"/>
      <c r="CM23" s="88"/>
      <c r="CN23" s="88"/>
      <c r="CO23" s="88"/>
      <c r="CP23" s="88"/>
      <c r="CQ23" s="88"/>
      <c r="CR23" s="88"/>
      <c r="CS23" s="88"/>
      <c r="CT23" s="88"/>
      <c r="CU23" s="88"/>
      <c r="CV23" s="88"/>
      <c r="CW23" s="88"/>
      <c r="CX23" s="88"/>
      <c r="CY23" s="88"/>
      <c r="CZ23" s="88"/>
      <c r="DA23" s="88"/>
      <c r="DB23" s="88"/>
      <c r="DC23" s="88"/>
      <c r="DD23" s="88"/>
    </row>
    <row r="24" spans="1:108" s="20" customFormat="1" ht="22.5" customHeight="1" x14ac:dyDescent="0.25">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88"/>
      <c r="DA24" s="88"/>
      <c r="DB24" s="88"/>
      <c r="DC24" s="88"/>
      <c r="DD24" s="88"/>
    </row>
    <row r="25" spans="1:108" s="20" customFormat="1" ht="22.5" customHeight="1" x14ac:dyDescent="0.25">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row>
    <row r="26" spans="1:108" s="20" customFormat="1" ht="22.5" customHeight="1" x14ac:dyDescent="0.25">
      <c r="AW26" s="88"/>
      <c r="AX26" s="88"/>
      <c r="AY26" s="88"/>
      <c r="AZ26" s="88"/>
      <c r="BA26" s="88"/>
      <c r="BB26" s="88"/>
      <c r="BC26" s="88"/>
      <c r="BD26" s="88"/>
      <c r="BE26" s="88"/>
      <c r="BF26" s="88"/>
      <c r="BG26" s="88"/>
      <c r="BH26" s="88"/>
      <c r="BI26" s="88"/>
      <c r="BJ26" s="88"/>
      <c r="BK26" s="88"/>
      <c r="BL26" s="88"/>
      <c r="BM26" s="88"/>
      <c r="BN26" s="88"/>
      <c r="BO26" s="88"/>
      <c r="BP26" s="88"/>
      <c r="BQ26" s="88"/>
      <c r="BR26" s="88"/>
      <c r="BS26" s="88"/>
      <c r="BT26" s="88"/>
      <c r="BU26" s="88"/>
      <c r="BV26" s="88"/>
      <c r="BW26" s="88"/>
      <c r="BX26" s="88"/>
      <c r="BY26" s="88"/>
      <c r="BZ26" s="88"/>
      <c r="CA26" s="88"/>
      <c r="CB26" s="88"/>
      <c r="CC26" s="88"/>
      <c r="CD26" s="88"/>
      <c r="CE26" s="88"/>
      <c r="CF26" s="88"/>
      <c r="CG26" s="88"/>
      <c r="CH26" s="88"/>
      <c r="CI26" s="88"/>
      <c r="CJ26" s="88"/>
      <c r="CK26" s="88"/>
      <c r="CL26" s="88"/>
      <c r="CM26" s="88"/>
      <c r="CN26" s="88"/>
      <c r="CO26" s="88"/>
      <c r="CP26" s="88"/>
      <c r="CQ26" s="88"/>
      <c r="CR26" s="88"/>
      <c r="CS26" s="88"/>
      <c r="CT26" s="88"/>
      <c r="CU26" s="88"/>
      <c r="CV26" s="88"/>
      <c r="CW26" s="88"/>
      <c r="CX26" s="88"/>
      <c r="CY26" s="88"/>
      <c r="CZ26" s="88"/>
      <c r="DA26" s="88"/>
      <c r="DB26" s="88"/>
      <c r="DC26" s="88"/>
      <c r="DD26" s="88"/>
    </row>
    <row r="27" spans="1:108" s="20" customFormat="1" ht="22.5" customHeight="1" x14ac:dyDescent="0.25">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row>
    <row r="28" spans="1:108" s="20" customFormat="1" ht="22.5" customHeight="1" x14ac:dyDescent="0.25">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row>
    <row r="29" spans="1:108" s="20" customFormat="1" ht="22.5" customHeight="1" x14ac:dyDescent="0.25">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row>
    <row r="30" spans="1:108" s="20" customFormat="1" ht="22.5" customHeight="1" x14ac:dyDescent="0.25">
      <c r="AW30" s="88"/>
      <c r="AX30" s="88"/>
      <c r="AY30" s="88"/>
      <c r="AZ30" s="88"/>
      <c r="BA30" s="88"/>
      <c r="BB30" s="88"/>
      <c r="BC30" s="88"/>
      <c r="BD30" s="88"/>
      <c r="BE30" s="88"/>
      <c r="BF30" s="88"/>
      <c r="BG30" s="88"/>
      <c r="BH30" s="88"/>
      <c r="BI30" s="88"/>
      <c r="BJ30" s="88"/>
      <c r="BK30" s="88"/>
      <c r="BL30" s="88"/>
      <c r="BM30" s="88"/>
      <c r="BN30" s="88"/>
      <c r="BO30" s="88"/>
      <c r="BP30" s="88"/>
      <c r="BQ30" s="88"/>
      <c r="BR30" s="88"/>
      <c r="BS30" s="88"/>
      <c r="BT30" s="88"/>
      <c r="BU30" s="88"/>
      <c r="BV30" s="88"/>
      <c r="BW30" s="88"/>
      <c r="BX30" s="88"/>
      <c r="BY30" s="88"/>
      <c r="BZ30" s="88"/>
      <c r="CA30" s="88"/>
      <c r="CB30" s="88"/>
      <c r="CC30" s="88"/>
      <c r="CD30" s="88"/>
      <c r="CE30" s="88"/>
      <c r="CF30" s="88"/>
      <c r="CG30" s="88"/>
      <c r="CH30" s="88"/>
      <c r="CI30" s="88"/>
      <c r="CJ30" s="88"/>
      <c r="CK30" s="88"/>
      <c r="CL30" s="88"/>
      <c r="CM30" s="88"/>
      <c r="CN30" s="88"/>
      <c r="CO30" s="88"/>
      <c r="CP30" s="88"/>
      <c r="CQ30" s="88"/>
      <c r="CR30" s="88"/>
      <c r="CS30" s="88"/>
      <c r="CT30" s="88"/>
      <c r="CU30" s="88"/>
      <c r="CV30" s="88"/>
      <c r="CW30" s="88"/>
      <c r="CX30" s="88"/>
      <c r="CY30" s="88"/>
      <c r="CZ30" s="88"/>
      <c r="DA30" s="88"/>
      <c r="DB30" s="88"/>
      <c r="DC30" s="88"/>
      <c r="DD30" s="88"/>
    </row>
    <row r="31" spans="1:108" s="20" customFormat="1" ht="22.5" customHeight="1" x14ac:dyDescent="0.25">
      <c r="AW31" s="88"/>
      <c r="AX31" s="88"/>
      <c r="AY31" s="88"/>
      <c r="AZ31" s="88"/>
      <c r="BA31" s="88"/>
      <c r="BB31" s="88"/>
      <c r="BC31" s="88"/>
      <c r="BD31" s="88"/>
      <c r="BE31" s="88"/>
      <c r="BF31" s="88"/>
      <c r="BG31" s="88"/>
      <c r="BH31" s="88"/>
      <c r="BI31" s="88"/>
      <c r="BJ31" s="88"/>
      <c r="BK31" s="88"/>
      <c r="BL31" s="88"/>
      <c r="BM31" s="88"/>
      <c r="BN31" s="88"/>
      <c r="BO31" s="88"/>
      <c r="BP31" s="88"/>
      <c r="BQ31" s="88"/>
      <c r="BR31" s="88"/>
      <c r="BS31" s="88"/>
      <c r="BT31" s="88"/>
      <c r="BU31" s="88"/>
      <c r="BV31" s="88"/>
      <c r="BW31" s="88"/>
      <c r="BX31" s="88"/>
      <c r="BY31" s="88"/>
      <c r="BZ31" s="88"/>
      <c r="CA31" s="88"/>
      <c r="CB31" s="88"/>
      <c r="CC31" s="88"/>
      <c r="CD31" s="88"/>
      <c r="CE31" s="88"/>
      <c r="CF31" s="88"/>
      <c r="CG31" s="88"/>
      <c r="CH31" s="88"/>
      <c r="CI31" s="88"/>
      <c r="CJ31" s="88"/>
      <c r="CK31" s="88"/>
      <c r="CL31" s="88"/>
      <c r="CM31" s="88"/>
      <c r="CN31" s="88"/>
      <c r="CO31" s="88"/>
      <c r="CP31" s="88"/>
      <c r="CQ31" s="88"/>
      <c r="CR31" s="88"/>
      <c r="CS31" s="88"/>
      <c r="CT31" s="88"/>
      <c r="CU31" s="88"/>
      <c r="CV31" s="88"/>
      <c r="CW31" s="88"/>
      <c r="CX31" s="88"/>
      <c r="CY31" s="88"/>
      <c r="CZ31" s="88"/>
      <c r="DA31" s="88"/>
      <c r="DB31" s="88"/>
      <c r="DC31" s="88"/>
      <c r="DD31" s="88"/>
    </row>
    <row r="32" spans="1:108" s="20" customFormat="1" ht="22.5" customHeight="1" x14ac:dyDescent="0.25">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c r="CT32" s="88"/>
      <c r="CU32" s="88"/>
      <c r="CV32" s="88"/>
      <c r="CW32" s="88"/>
      <c r="CX32" s="88"/>
      <c r="CY32" s="88"/>
      <c r="CZ32" s="88"/>
      <c r="DA32" s="88"/>
      <c r="DB32" s="88"/>
      <c r="DC32" s="88"/>
      <c r="DD32" s="88"/>
    </row>
    <row r="33" spans="49:108" s="20" customFormat="1" ht="22.5" customHeight="1" x14ac:dyDescent="0.25">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c r="CT33" s="88"/>
      <c r="CU33" s="88"/>
      <c r="CV33" s="88"/>
      <c r="CW33" s="88"/>
      <c r="CX33" s="88"/>
      <c r="CY33" s="88"/>
      <c r="CZ33" s="88"/>
      <c r="DA33" s="88"/>
      <c r="DB33" s="88"/>
      <c r="DC33" s="88"/>
      <c r="DD33" s="88"/>
    </row>
    <row r="34" spans="49:108" s="20" customFormat="1" ht="22.5" customHeight="1" x14ac:dyDescent="0.25">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c r="CE34" s="88"/>
      <c r="CF34" s="88"/>
      <c r="CG34" s="88"/>
      <c r="CH34" s="88"/>
      <c r="CI34" s="88"/>
      <c r="CJ34" s="88"/>
      <c r="CK34" s="88"/>
      <c r="CL34" s="88"/>
      <c r="CM34" s="88"/>
      <c r="CN34" s="88"/>
      <c r="CO34" s="88"/>
      <c r="CP34" s="88"/>
      <c r="CQ34" s="88"/>
      <c r="CR34" s="88"/>
      <c r="CS34" s="88"/>
      <c r="CT34" s="88"/>
      <c r="CU34" s="88"/>
      <c r="CV34" s="88"/>
      <c r="CW34" s="88"/>
      <c r="CX34" s="88"/>
      <c r="CY34" s="88"/>
      <c r="CZ34" s="88"/>
      <c r="DA34" s="88"/>
      <c r="DB34" s="88"/>
      <c r="DC34" s="88"/>
      <c r="DD34" s="88"/>
    </row>
    <row r="35" spans="49:108" s="20" customFormat="1" ht="22.5" customHeight="1" x14ac:dyDescent="0.25">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c r="CI35" s="88"/>
      <c r="CJ35" s="88"/>
      <c r="CK35" s="88"/>
      <c r="CL35" s="88"/>
      <c r="CM35" s="88"/>
      <c r="CN35" s="88"/>
      <c r="CO35" s="88"/>
      <c r="CP35" s="88"/>
      <c r="CQ35" s="88"/>
      <c r="CR35" s="88"/>
      <c r="CS35" s="88"/>
      <c r="CT35" s="88"/>
      <c r="CU35" s="88"/>
      <c r="CV35" s="88"/>
      <c r="CW35" s="88"/>
      <c r="CX35" s="88"/>
      <c r="CY35" s="88"/>
      <c r="CZ35" s="88"/>
      <c r="DA35" s="88"/>
      <c r="DB35" s="88"/>
      <c r="DC35" s="88"/>
      <c r="DD35" s="88"/>
    </row>
    <row r="36" spans="49:108" s="20" customFormat="1" ht="22.5" customHeight="1" x14ac:dyDescent="0.25">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c r="CI36" s="88"/>
      <c r="CJ36" s="88"/>
      <c r="CK36" s="88"/>
      <c r="CL36" s="88"/>
      <c r="CM36" s="88"/>
      <c r="CN36" s="88"/>
      <c r="CO36" s="88"/>
      <c r="CP36" s="88"/>
      <c r="CQ36" s="88"/>
      <c r="CR36" s="88"/>
      <c r="CS36" s="88"/>
      <c r="CT36" s="88"/>
      <c r="CU36" s="88"/>
      <c r="CV36" s="88"/>
      <c r="CW36" s="88"/>
      <c r="CX36" s="88"/>
      <c r="CY36" s="88"/>
      <c r="CZ36" s="88"/>
      <c r="DA36" s="88"/>
      <c r="DB36" s="88"/>
      <c r="DC36" s="88"/>
      <c r="DD36" s="88"/>
    </row>
    <row r="37" spans="49:108" s="20" customFormat="1" ht="22.5" customHeight="1" x14ac:dyDescent="0.25">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row>
    <row r="38" spans="49:108" s="20" customFormat="1" ht="22.5" customHeight="1" x14ac:dyDescent="0.25">
      <c r="AW38" s="88"/>
      <c r="AX38" s="88"/>
      <c r="AY38" s="88"/>
      <c r="AZ38" s="88"/>
      <c r="BA38" s="88"/>
      <c r="BB38" s="88"/>
      <c r="BC38" s="88"/>
      <c r="BD38" s="88"/>
      <c r="BE38" s="88"/>
      <c r="BF38" s="88"/>
      <c r="BG38" s="88"/>
      <c r="BH38" s="88"/>
      <c r="BI38" s="88"/>
      <c r="BJ38" s="88"/>
      <c r="BK38" s="88"/>
      <c r="BL38" s="88"/>
      <c r="BM38" s="88"/>
      <c r="BN38" s="88"/>
      <c r="BO38" s="88"/>
      <c r="BP38" s="88"/>
      <c r="BQ38" s="88"/>
      <c r="BR38" s="88"/>
      <c r="BS38" s="88"/>
      <c r="BT38" s="88"/>
      <c r="BU38" s="88"/>
      <c r="BV38" s="88"/>
      <c r="BW38" s="88"/>
      <c r="BX38" s="88"/>
      <c r="BY38" s="88"/>
      <c r="BZ38" s="88"/>
      <c r="CA38" s="88"/>
      <c r="CB38" s="88"/>
      <c r="CC38" s="88"/>
      <c r="CD38" s="88"/>
      <c r="CE38" s="88"/>
      <c r="CF38" s="88"/>
      <c r="CG38" s="88"/>
      <c r="CH38" s="88"/>
      <c r="CI38" s="88"/>
      <c r="CJ38" s="88"/>
      <c r="CK38" s="88"/>
      <c r="CL38" s="88"/>
      <c r="CM38" s="88"/>
      <c r="CN38" s="88"/>
      <c r="CO38" s="88"/>
      <c r="CP38" s="88"/>
      <c r="CQ38" s="88"/>
      <c r="CR38" s="88"/>
      <c r="CS38" s="88"/>
      <c r="CT38" s="88"/>
      <c r="CU38" s="88"/>
      <c r="CV38" s="88"/>
      <c r="CW38" s="88"/>
      <c r="CX38" s="88"/>
      <c r="CY38" s="88"/>
      <c r="CZ38" s="88"/>
      <c r="DA38" s="88"/>
      <c r="DB38" s="88"/>
      <c r="DC38" s="88"/>
      <c r="DD38" s="88"/>
    </row>
    <row r="39" spans="49:108" s="20" customFormat="1" ht="22.5" customHeight="1" x14ac:dyDescent="0.25">
      <c r="AW39" s="88"/>
      <c r="AX39" s="88"/>
      <c r="AY39" s="88"/>
      <c r="AZ39" s="88"/>
      <c r="BA39" s="88"/>
      <c r="BB39" s="88"/>
      <c r="BC39" s="88"/>
      <c r="BD39" s="88"/>
      <c r="BE39" s="88"/>
      <c r="BF39" s="88"/>
      <c r="BG39" s="88"/>
      <c r="BH39" s="88"/>
      <c r="BI39" s="88"/>
      <c r="BJ39" s="88"/>
      <c r="BK39" s="88"/>
      <c r="BL39" s="88"/>
      <c r="BM39" s="88"/>
      <c r="BN39" s="88"/>
      <c r="BO39" s="88"/>
      <c r="BP39" s="88"/>
      <c r="BQ39" s="88"/>
      <c r="BR39" s="88"/>
      <c r="BS39" s="88"/>
      <c r="BT39" s="88"/>
      <c r="BU39" s="88"/>
      <c r="BV39" s="88"/>
      <c r="BW39" s="88"/>
      <c r="BX39" s="88"/>
      <c r="BY39" s="88"/>
      <c r="BZ39" s="88"/>
      <c r="CA39" s="88"/>
      <c r="CB39" s="88"/>
      <c r="CC39" s="88"/>
      <c r="CD39" s="88"/>
      <c r="CE39" s="88"/>
      <c r="CF39" s="88"/>
      <c r="CG39" s="88"/>
      <c r="CH39" s="88"/>
      <c r="CI39" s="88"/>
      <c r="CJ39" s="88"/>
      <c r="CK39" s="88"/>
      <c r="CL39" s="88"/>
      <c r="CM39" s="88"/>
      <c r="CN39" s="88"/>
      <c r="CO39" s="88"/>
      <c r="CP39" s="88"/>
      <c r="CQ39" s="88"/>
      <c r="CR39" s="88"/>
      <c r="CS39" s="88"/>
      <c r="CT39" s="88"/>
      <c r="CU39" s="88"/>
      <c r="CV39" s="88"/>
      <c r="CW39" s="88"/>
      <c r="CX39" s="88"/>
      <c r="CY39" s="88"/>
      <c r="CZ39" s="88"/>
      <c r="DA39" s="88"/>
      <c r="DB39" s="88"/>
      <c r="DC39" s="88"/>
      <c r="DD39" s="88"/>
    </row>
    <row r="40" spans="49:108" s="20" customFormat="1" ht="22.5" customHeight="1" x14ac:dyDescent="0.25">
      <c r="AW40" s="88"/>
      <c r="AX40" s="88"/>
      <c r="AY40" s="88"/>
      <c r="AZ40" s="88"/>
      <c r="BA40" s="88"/>
      <c r="BB40" s="88"/>
      <c r="BC40" s="88"/>
      <c r="BD40" s="88"/>
      <c r="BE40" s="88"/>
      <c r="BF40" s="88"/>
      <c r="BG40" s="88"/>
      <c r="BH40" s="88"/>
      <c r="BI40" s="88"/>
      <c r="BJ40" s="88"/>
      <c r="BK40" s="88"/>
      <c r="BL40" s="88"/>
      <c r="BM40" s="88"/>
      <c r="BN40" s="88"/>
      <c r="BO40" s="88"/>
      <c r="BP40" s="88"/>
      <c r="BQ40" s="88"/>
      <c r="BR40" s="88"/>
      <c r="BS40" s="88"/>
      <c r="BT40" s="88"/>
      <c r="BU40" s="88"/>
      <c r="BV40" s="88"/>
      <c r="BW40" s="88"/>
      <c r="BX40" s="88"/>
      <c r="BY40" s="88"/>
      <c r="BZ40" s="88"/>
      <c r="CA40" s="88"/>
      <c r="CB40" s="88"/>
      <c r="CC40" s="88"/>
      <c r="CD40" s="88"/>
      <c r="CE40" s="88"/>
      <c r="CF40" s="88"/>
      <c r="CG40" s="88"/>
      <c r="CH40" s="88"/>
      <c r="CI40" s="88"/>
      <c r="CJ40" s="88"/>
      <c r="CK40" s="88"/>
      <c r="CL40" s="88"/>
      <c r="CM40" s="88"/>
      <c r="CN40" s="88"/>
      <c r="CO40" s="88"/>
      <c r="CP40" s="88"/>
      <c r="CQ40" s="88"/>
      <c r="CR40" s="88"/>
      <c r="CS40" s="88"/>
      <c r="CT40" s="88"/>
      <c r="CU40" s="88"/>
      <c r="CV40" s="88"/>
      <c r="CW40" s="88"/>
      <c r="CX40" s="88"/>
      <c r="CY40" s="88"/>
      <c r="CZ40" s="88"/>
      <c r="DA40" s="88"/>
      <c r="DB40" s="88"/>
      <c r="DC40" s="88"/>
      <c r="DD40" s="88"/>
    </row>
    <row r="41" spans="49:108" s="20" customFormat="1" ht="22.5" customHeight="1" x14ac:dyDescent="0.25">
      <c r="AW41" s="88"/>
      <c r="AX41" s="88"/>
      <c r="AY41" s="88"/>
      <c r="AZ41" s="88"/>
      <c r="BA41" s="88"/>
      <c r="BB41" s="88"/>
      <c r="BC41" s="88"/>
      <c r="BD41" s="88"/>
      <c r="BE41" s="88"/>
      <c r="BF41" s="88"/>
      <c r="BG41" s="88"/>
      <c r="BH41" s="88"/>
      <c r="BI41" s="88"/>
      <c r="BJ41" s="88"/>
      <c r="BK41" s="88"/>
      <c r="BL41" s="88"/>
      <c r="BM41" s="88"/>
      <c r="BN41" s="88"/>
      <c r="BO41" s="88"/>
      <c r="BP41" s="88"/>
      <c r="BQ41" s="88"/>
      <c r="BR41" s="88"/>
      <c r="BS41" s="88"/>
      <c r="BT41" s="88"/>
      <c r="BU41" s="88"/>
      <c r="BV41" s="88"/>
      <c r="BW41" s="88"/>
      <c r="BX41" s="88"/>
      <c r="BY41" s="88"/>
      <c r="BZ41" s="88"/>
      <c r="CA41" s="88"/>
      <c r="CB41" s="88"/>
      <c r="CC41" s="88"/>
      <c r="CD41" s="88"/>
      <c r="CE41" s="88"/>
      <c r="CF41" s="88"/>
      <c r="CG41" s="88"/>
      <c r="CH41" s="88"/>
      <c r="CI41" s="88"/>
      <c r="CJ41" s="88"/>
      <c r="CK41" s="88"/>
      <c r="CL41" s="88"/>
      <c r="CM41" s="88"/>
      <c r="CN41" s="88"/>
      <c r="CO41" s="88"/>
      <c r="CP41" s="88"/>
      <c r="CQ41" s="88"/>
      <c r="CR41" s="88"/>
      <c r="CS41" s="88"/>
      <c r="CT41" s="88"/>
      <c r="CU41" s="88"/>
      <c r="CV41" s="88"/>
      <c r="CW41" s="88"/>
      <c r="CX41" s="88"/>
      <c r="CY41" s="88"/>
      <c r="CZ41" s="88"/>
      <c r="DA41" s="88"/>
      <c r="DB41" s="88"/>
      <c r="DC41" s="88"/>
      <c r="DD41" s="88"/>
    </row>
    <row r="42" spans="49:108" s="20" customFormat="1" ht="22.5" customHeight="1" x14ac:dyDescent="0.25">
      <c r="AW42" s="88"/>
      <c r="AX42" s="88"/>
      <c r="AY42" s="88"/>
      <c r="AZ42" s="88"/>
      <c r="BA42" s="88"/>
      <c r="BB42" s="88"/>
      <c r="BC42" s="88"/>
      <c r="BD42" s="88"/>
      <c r="BE42" s="88"/>
      <c r="BF42" s="88"/>
      <c r="BG42" s="88"/>
      <c r="BH42" s="88"/>
      <c r="BI42" s="88"/>
      <c r="BJ42" s="88"/>
      <c r="BK42" s="88"/>
      <c r="BL42" s="88"/>
      <c r="BM42" s="88"/>
      <c r="BN42" s="88"/>
      <c r="BO42" s="88"/>
      <c r="BP42" s="88"/>
      <c r="BQ42" s="88"/>
      <c r="BR42" s="88"/>
      <c r="BS42" s="88"/>
      <c r="BT42" s="88"/>
      <c r="BU42" s="88"/>
      <c r="BV42" s="88"/>
      <c r="BW42" s="88"/>
      <c r="BX42" s="88"/>
      <c r="BY42" s="88"/>
      <c r="BZ42" s="88"/>
      <c r="CA42" s="88"/>
      <c r="CB42" s="88"/>
      <c r="CC42" s="88"/>
      <c r="CD42" s="88"/>
      <c r="CE42" s="88"/>
      <c r="CF42" s="88"/>
      <c r="CG42" s="88"/>
      <c r="CH42" s="88"/>
      <c r="CI42" s="88"/>
      <c r="CJ42" s="88"/>
      <c r="CK42" s="88"/>
      <c r="CL42" s="88"/>
      <c r="CM42" s="88"/>
      <c r="CN42" s="88"/>
      <c r="CO42" s="88"/>
      <c r="CP42" s="88"/>
      <c r="CQ42" s="88"/>
      <c r="CR42" s="88"/>
      <c r="CS42" s="88"/>
      <c r="CT42" s="88"/>
      <c r="CU42" s="88"/>
      <c r="CV42" s="88"/>
      <c r="CW42" s="88"/>
      <c r="CX42" s="88"/>
      <c r="CY42" s="88"/>
      <c r="CZ42" s="88"/>
      <c r="DA42" s="88"/>
      <c r="DB42" s="88"/>
      <c r="DC42" s="88"/>
      <c r="DD42" s="88"/>
    </row>
    <row r="43" spans="49:108" s="20" customFormat="1" ht="22.5" customHeight="1" x14ac:dyDescent="0.25">
      <c r="AW43" s="88"/>
      <c r="AX43" s="88"/>
      <c r="AY43" s="88"/>
      <c r="AZ43" s="88"/>
      <c r="BA43" s="88"/>
      <c r="BB43" s="88"/>
      <c r="BC43" s="88"/>
      <c r="BD43" s="88"/>
      <c r="BE43" s="88"/>
      <c r="BF43" s="88"/>
      <c r="BG43" s="88"/>
      <c r="BH43" s="88"/>
      <c r="BI43" s="88"/>
      <c r="BJ43" s="88"/>
      <c r="BK43" s="88"/>
      <c r="BL43" s="88"/>
      <c r="BM43" s="88"/>
      <c r="BN43" s="88"/>
      <c r="BO43" s="88"/>
      <c r="BP43" s="88"/>
      <c r="BQ43" s="88"/>
      <c r="BR43" s="88"/>
      <c r="BS43" s="88"/>
      <c r="BT43" s="88"/>
      <c r="BU43" s="88"/>
      <c r="BV43" s="88"/>
      <c r="BW43" s="88"/>
      <c r="BX43" s="88"/>
      <c r="BY43" s="88"/>
      <c r="BZ43" s="88"/>
      <c r="CA43" s="88"/>
      <c r="CB43" s="88"/>
      <c r="CC43" s="88"/>
      <c r="CD43" s="88"/>
      <c r="CE43" s="88"/>
      <c r="CF43" s="88"/>
      <c r="CG43" s="88"/>
      <c r="CH43" s="88"/>
      <c r="CI43" s="88"/>
      <c r="CJ43" s="88"/>
      <c r="CK43" s="88"/>
      <c r="CL43" s="88"/>
      <c r="CM43" s="88"/>
      <c r="CN43" s="88"/>
      <c r="CO43" s="88"/>
      <c r="CP43" s="88"/>
      <c r="CQ43" s="88"/>
      <c r="CR43" s="88"/>
      <c r="CS43" s="88"/>
      <c r="CT43" s="88"/>
      <c r="CU43" s="88"/>
      <c r="CV43" s="88"/>
      <c r="CW43" s="88"/>
      <c r="CX43" s="88"/>
      <c r="CY43" s="88"/>
      <c r="CZ43" s="88"/>
      <c r="DA43" s="88"/>
      <c r="DB43" s="88"/>
      <c r="DC43" s="88"/>
      <c r="DD43" s="88"/>
    </row>
    <row r="44" spans="49:108" s="20" customFormat="1" ht="22.5" customHeight="1" x14ac:dyDescent="0.25">
      <c r="AW44" s="88"/>
      <c r="AX44" s="88"/>
      <c r="AY44" s="88"/>
      <c r="AZ44" s="88"/>
      <c r="BA44" s="88"/>
      <c r="BB44" s="88"/>
      <c r="BC44" s="88"/>
      <c r="BD44" s="88"/>
      <c r="BE44" s="88"/>
      <c r="BF44" s="88"/>
      <c r="BG44" s="88"/>
      <c r="BH44" s="88"/>
      <c r="BI44" s="88"/>
      <c r="BJ44" s="88"/>
      <c r="BK44" s="88"/>
      <c r="BL44" s="88"/>
      <c r="BM44" s="88"/>
      <c r="BN44" s="88"/>
      <c r="BO44" s="88"/>
      <c r="BP44" s="88"/>
      <c r="BQ44" s="88"/>
      <c r="BR44" s="88"/>
      <c r="BS44" s="88"/>
      <c r="BT44" s="88"/>
      <c r="BU44" s="88"/>
      <c r="BV44" s="88"/>
      <c r="BW44" s="88"/>
      <c r="BX44" s="88"/>
      <c r="BY44" s="88"/>
      <c r="BZ44" s="88"/>
      <c r="CA44" s="88"/>
      <c r="CB44" s="88"/>
      <c r="CC44" s="88"/>
      <c r="CD44" s="88"/>
      <c r="CE44" s="88"/>
      <c r="CF44" s="88"/>
      <c r="CG44" s="88"/>
      <c r="CH44" s="88"/>
      <c r="CI44" s="88"/>
      <c r="CJ44" s="88"/>
      <c r="CK44" s="88"/>
      <c r="CL44" s="88"/>
      <c r="CM44" s="88"/>
      <c r="CN44" s="88"/>
      <c r="CO44" s="88"/>
      <c r="CP44" s="88"/>
      <c r="CQ44" s="88"/>
      <c r="CR44" s="88"/>
      <c r="CS44" s="88"/>
      <c r="CT44" s="88"/>
      <c r="CU44" s="88"/>
      <c r="CV44" s="88"/>
      <c r="CW44" s="88"/>
      <c r="CX44" s="88"/>
      <c r="CY44" s="88"/>
      <c r="CZ44" s="88"/>
      <c r="DA44" s="88"/>
      <c r="DB44" s="88"/>
      <c r="DC44" s="88"/>
      <c r="DD44" s="88"/>
    </row>
    <row r="45" spans="49:108" s="20" customFormat="1" ht="22.5" customHeight="1" x14ac:dyDescent="0.25">
      <c r="AW45" s="88"/>
      <c r="AX45" s="88"/>
      <c r="AY45" s="88"/>
      <c r="AZ45" s="88"/>
      <c r="BA45" s="88"/>
      <c r="BB45" s="88"/>
      <c r="BC45" s="88"/>
      <c r="BD45" s="88"/>
      <c r="BE45" s="88"/>
      <c r="BF45" s="88"/>
      <c r="BG45" s="88"/>
      <c r="BH45" s="88"/>
      <c r="BI45" s="88"/>
      <c r="BJ45" s="88"/>
      <c r="BK45" s="88"/>
      <c r="BL45" s="88"/>
      <c r="BM45" s="88"/>
      <c r="BN45" s="88"/>
      <c r="BO45" s="88"/>
      <c r="BP45" s="88"/>
      <c r="BQ45" s="88"/>
      <c r="BR45" s="88"/>
      <c r="BS45" s="88"/>
      <c r="BT45" s="88"/>
      <c r="BU45" s="88"/>
      <c r="BV45" s="88"/>
      <c r="BW45" s="88"/>
      <c r="BX45" s="88"/>
      <c r="BY45" s="88"/>
      <c r="BZ45" s="88"/>
      <c r="CA45" s="88"/>
      <c r="CB45" s="88"/>
      <c r="CC45" s="88"/>
      <c r="CD45" s="88"/>
      <c r="CE45" s="88"/>
      <c r="CF45" s="88"/>
      <c r="CG45" s="88"/>
      <c r="CH45" s="88"/>
      <c r="CI45" s="88"/>
      <c r="CJ45" s="88"/>
      <c r="CK45" s="88"/>
      <c r="CL45" s="88"/>
      <c r="CM45" s="88"/>
      <c r="CN45" s="88"/>
      <c r="CO45" s="88"/>
      <c r="CP45" s="88"/>
      <c r="CQ45" s="88"/>
      <c r="CR45" s="88"/>
      <c r="CS45" s="88"/>
      <c r="CT45" s="88"/>
      <c r="CU45" s="88"/>
      <c r="CV45" s="88"/>
      <c r="CW45" s="88"/>
      <c r="CX45" s="88"/>
      <c r="CY45" s="88"/>
      <c r="CZ45" s="88"/>
      <c r="DA45" s="88"/>
      <c r="DB45" s="88"/>
      <c r="DC45" s="88"/>
      <c r="DD45" s="88"/>
    </row>
    <row r="46" spans="49:108" s="20" customFormat="1" ht="22.5" customHeight="1" x14ac:dyDescent="0.25">
      <c r="AW46" s="88"/>
      <c r="AX46" s="88"/>
      <c r="AY46" s="88"/>
      <c r="AZ46" s="88"/>
      <c r="BA46" s="88"/>
      <c r="BB46" s="88"/>
      <c r="BC46" s="88"/>
      <c r="BD46" s="88"/>
      <c r="BE46" s="88"/>
      <c r="BF46" s="88"/>
      <c r="BG46" s="88"/>
      <c r="BH46" s="88"/>
      <c r="BI46" s="88"/>
      <c r="BJ46" s="88"/>
      <c r="BK46" s="88"/>
      <c r="BL46" s="88"/>
      <c r="BM46" s="88"/>
      <c r="BN46" s="88"/>
      <c r="BO46" s="88"/>
      <c r="BP46" s="88"/>
      <c r="BQ46" s="88"/>
      <c r="BR46" s="88"/>
      <c r="BS46" s="88"/>
      <c r="BT46" s="88"/>
      <c r="BU46" s="88"/>
      <c r="BV46" s="88"/>
      <c r="BW46" s="88"/>
      <c r="BX46" s="88"/>
      <c r="BY46" s="88"/>
      <c r="BZ46" s="88"/>
      <c r="CA46" s="88"/>
      <c r="CB46" s="88"/>
      <c r="CC46" s="88"/>
      <c r="CD46" s="88"/>
      <c r="CE46" s="88"/>
      <c r="CF46" s="88"/>
      <c r="CG46" s="88"/>
      <c r="CH46" s="88"/>
      <c r="CI46" s="88"/>
      <c r="CJ46" s="88"/>
      <c r="CK46" s="88"/>
      <c r="CL46" s="88"/>
      <c r="CM46" s="88"/>
      <c r="CN46" s="88"/>
      <c r="CO46" s="88"/>
      <c r="CP46" s="88"/>
      <c r="CQ46" s="88"/>
      <c r="CR46" s="88"/>
      <c r="CS46" s="88"/>
      <c r="CT46" s="88"/>
      <c r="CU46" s="88"/>
      <c r="CV46" s="88"/>
      <c r="CW46" s="88"/>
      <c r="CX46" s="88"/>
      <c r="CY46" s="88"/>
      <c r="CZ46" s="88"/>
      <c r="DA46" s="88"/>
      <c r="DB46" s="88"/>
      <c r="DC46" s="88"/>
      <c r="DD46" s="88"/>
    </row>
    <row r="47" spans="49:108" s="20" customFormat="1" ht="22.5" customHeight="1" x14ac:dyDescent="0.25">
      <c r="AW47" s="88"/>
      <c r="AX47" s="88"/>
      <c r="AY47" s="88"/>
      <c r="AZ47" s="88"/>
      <c r="BA47" s="88"/>
      <c r="BB47" s="88"/>
      <c r="BC47" s="88"/>
      <c r="BD47" s="88"/>
      <c r="BE47" s="88"/>
      <c r="BF47" s="88"/>
      <c r="BG47" s="88"/>
      <c r="BH47" s="88"/>
      <c r="BI47" s="88"/>
      <c r="BJ47" s="88"/>
      <c r="BK47" s="88"/>
      <c r="BL47" s="88"/>
      <c r="BM47" s="88"/>
      <c r="BN47" s="88"/>
      <c r="BO47" s="88"/>
      <c r="BP47" s="88"/>
      <c r="BQ47" s="88"/>
      <c r="BR47" s="88"/>
      <c r="BS47" s="88"/>
      <c r="BT47" s="88"/>
      <c r="BU47" s="88"/>
      <c r="BV47" s="88"/>
      <c r="BW47" s="88"/>
      <c r="BX47" s="88"/>
      <c r="BY47" s="88"/>
      <c r="BZ47" s="88"/>
      <c r="CA47" s="88"/>
      <c r="CB47" s="88"/>
      <c r="CC47" s="88"/>
      <c r="CD47" s="88"/>
      <c r="CE47" s="88"/>
      <c r="CF47" s="88"/>
      <c r="CG47" s="88"/>
      <c r="CH47" s="88"/>
      <c r="CI47" s="88"/>
      <c r="CJ47" s="88"/>
      <c r="CK47" s="88"/>
      <c r="CL47" s="88"/>
      <c r="CM47" s="88"/>
      <c r="CN47" s="88"/>
      <c r="CO47" s="88"/>
      <c r="CP47" s="88"/>
      <c r="CQ47" s="88"/>
      <c r="CR47" s="88"/>
      <c r="CS47" s="88"/>
      <c r="CT47" s="88"/>
      <c r="CU47" s="88"/>
      <c r="CV47" s="88"/>
      <c r="CW47" s="88"/>
      <c r="CX47" s="88"/>
      <c r="CY47" s="88"/>
      <c r="CZ47" s="88"/>
      <c r="DA47" s="88"/>
      <c r="DB47" s="88"/>
      <c r="DC47" s="88"/>
      <c r="DD47" s="88"/>
    </row>
    <row r="48" spans="49:108" s="20" customFormat="1" ht="22.5" customHeight="1" x14ac:dyDescent="0.25">
      <c r="AW48" s="88"/>
      <c r="AX48" s="88"/>
      <c r="AY48" s="88"/>
      <c r="AZ48" s="88"/>
      <c r="BA48" s="88"/>
      <c r="BB48" s="88"/>
      <c r="BC48" s="88"/>
      <c r="BD48" s="88"/>
      <c r="BE48" s="88"/>
      <c r="BF48" s="88"/>
      <c r="BG48" s="88"/>
      <c r="BH48" s="88"/>
      <c r="BI48" s="88"/>
      <c r="BJ48" s="88"/>
      <c r="BK48" s="88"/>
      <c r="BL48" s="88"/>
      <c r="BM48" s="88"/>
      <c r="BN48" s="88"/>
      <c r="BO48" s="88"/>
      <c r="BP48" s="88"/>
      <c r="BQ48" s="88"/>
      <c r="BR48" s="88"/>
      <c r="BS48" s="88"/>
      <c r="BT48" s="88"/>
      <c r="BU48" s="88"/>
      <c r="BV48" s="88"/>
      <c r="BW48" s="88"/>
      <c r="BX48" s="88"/>
      <c r="BY48" s="88"/>
      <c r="BZ48" s="88"/>
      <c r="CA48" s="88"/>
      <c r="CB48" s="88"/>
      <c r="CC48" s="88"/>
      <c r="CD48" s="88"/>
      <c r="CE48" s="88"/>
      <c r="CF48" s="88"/>
      <c r="CG48" s="88"/>
      <c r="CH48" s="88"/>
      <c r="CI48" s="88"/>
      <c r="CJ48" s="88"/>
      <c r="CK48" s="88"/>
      <c r="CL48" s="88"/>
      <c r="CM48" s="88"/>
      <c r="CN48" s="88"/>
      <c r="CO48" s="88"/>
      <c r="CP48" s="88"/>
      <c r="CQ48" s="88"/>
      <c r="CR48" s="88"/>
      <c r="CS48" s="88"/>
      <c r="CT48" s="88"/>
      <c r="CU48" s="88"/>
      <c r="CV48" s="88"/>
      <c r="CW48" s="88"/>
      <c r="CX48" s="88"/>
      <c r="CY48" s="88"/>
      <c r="CZ48" s="88"/>
      <c r="DA48" s="88"/>
      <c r="DB48" s="88"/>
      <c r="DC48" s="88"/>
      <c r="DD48" s="88"/>
    </row>
    <row r="49" spans="49:108" s="20" customFormat="1" ht="22.5" customHeight="1" x14ac:dyDescent="0.25">
      <c r="AW49" s="88"/>
      <c r="AX49" s="88"/>
      <c r="AY49" s="88"/>
      <c r="AZ49" s="88"/>
      <c r="BA49" s="88"/>
      <c r="BB49" s="88"/>
      <c r="BC49" s="88"/>
      <c r="BD49" s="88"/>
      <c r="BE49" s="88"/>
      <c r="BF49" s="88"/>
      <c r="BG49" s="88"/>
      <c r="BH49" s="88"/>
      <c r="BI49" s="88"/>
      <c r="BJ49" s="88"/>
      <c r="BK49" s="88"/>
      <c r="BL49" s="88"/>
      <c r="BM49" s="88"/>
      <c r="BN49" s="88"/>
      <c r="BO49" s="88"/>
      <c r="BP49" s="88"/>
      <c r="BQ49" s="88"/>
      <c r="BR49" s="88"/>
      <c r="BS49" s="88"/>
      <c r="BT49" s="88"/>
      <c r="BU49" s="88"/>
      <c r="BV49" s="88"/>
      <c r="BW49" s="88"/>
      <c r="BX49" s="88"/>
      <c r="BY49" s="88"/>
      <c r="BZ49" s="88"/>
      <c r="CA49" s="88"/>
      <c r="CB49" s="88"/>
      <c r="CC49" s="88"/>
      <c r="CD49" s="88"/>
      <c r="CE49" s="88"/>
      <c r="CF49" s="88"/>
      <c r="CG49" s="88"/>
      <c r="CH49" s="88"/>
      <c r="CI49" s="88"/>
      <c r="CJ49" s="88"/>
      <c r="CK49" s="88"/>
      <c r="CL49" s="88"/>
      <c r="CM49" s="88"/>
      <c r="CN49" s="88"/>
      <c r="CO49" s="88"/>
      <c r="CP49" s="88"/>
      <c r="CQ49" s="88"/>
      <c r="CR49" s="88"/>
      <c r="CS49" s="88"/>
      <c r="CT49" s="88"/>
      <c r="CU49" s="88"/>
      <c r="CV49" s="88"/>
      <c r="CW49" s="88"/>
      <c r="CX49" s="88"/>
      <c r="CY49" s="88"/>
      <c r="CZ49" s="88"/>
      <c r="DA49" s="88"/>
      <c r="DB49" s="88"/>
      <c r="DC49" s="88"/>
      <c r="DD49" s="88"/>
    </row>
    <row r="50" spans="49:108" s="20" customFormat="1" ht="22.5" customHeight="1" x14ac:dyDescent="0.25">
      <c r="AW50" s="88"/>
      <c r="AX50" s="88"/>
      <c r="AY50" s="88"/>
      <c r="AZ50" s="88"/>
      <c r="BA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8"/>
      <c r="CV50" s="88"/>
      <c r="CW50" s="88"/>
      <c r="CX50" s="88"/>
      <c r="CY50" s="88"/>
      <c r="CZ50" s="88"/>
      <c r="DA50" s="88"/>
      <c r="DB50" s="88"/>
      <c r="DC50" s="88"/>
      <c r="DD50" s="88"/>
    </row>
    <row r="51" spans="49:108" s="20" customFormat="1" ht="22.5" customHeight="1" x14ac:dyDescent="0.25">
      <c r="AW51" s="88"/>
      <c r="AX51" s="88"/>
      <c r="AY51" s="88"/>
      <c r="AZ51" s="88"/>
      <c r="BA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8"/>
      <c r="CV51" s="88"/>
      <c r="CW51" s="88"/>
      <c r="CX51" s="88"/>
      <c r="CY51" s="88"/>
      <c r="CZ51" s="88"/>
      <c r="DA51" s="88"/>
      <c r="DB51" s="88"/>
      <c r="DC51" s="88"/>
      <c r="DD51" s="88"/>
    </row>
    <row r="52" spans="49:108" s="20" customFormat="1" ht="22.5" customHeight="1" x14ac:dyDescent="0.25">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row>
    <row r="53" spans="49:108" s="20" customFormat="1" ht="22.5" customHeight="1" x14ac:dyDescent="0.25">
      <c r="AW53" s="88"/>
      <c r="AX53" s="88"/>
      <c r="AY53" s="88"/>
      <c r="AZ53" s="88"/>
      <c r="BA53" s="88"/>
      <c r="BB53" s="88"/>
      <c r="BC53" s="88"/>
      <c r="BD53" s="88"/>
      <c r="BE53" s="88"/>
      <c r="BF53" s="88"/>
      <c r="BG53" s="88"/>
      <c r="BH53" s="88"/>
      <c r="BI53" s="88"/>
      <c r="BJ53" s="88"/>
      <c r="BK53" s="88"/>
      <c r="BL53" s="88"/>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row>
    <row r="54" spans="49:108" s="20" customFormat="1" ht="22.5" customHeight="1" x14ac:dyDescent="0.25">
      <c r="AW54" s="88"/>
      <c r="AX54" s="88"/>
      <c r="AY54" s="88"/>
      <c r="AZ54" s="88"/>
      <c r="BA54" s="88"/>
      <c r="BB54" s="88"/>
      <c r="BC54" s="88"/>
      <c r="BD54" s="88"/>
      <c r="BE54" s="88"/>
      <c r="BF54" s="88"/>
      <c r="BG54" s="88"/>
      <c r="BH54" s="88"/>
      <c r="BI54" s="88"/>
      <c r="BJ54" s="88"/>
      <c r="BK54" s="88"/>
      <c r="BL54" s="88"/>
      <c r="BM54" s="88"/>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c r="CT54" s="88"/>
      <c r="CU54" s="88"/>
      <c r="CV54" s="88"/>
      <c r="CW54" s="88"/>
      <c r="CX54" s="88"/>
      <c r="CY54" s="88"/>
      <c r="CZ54" s="88"/>
      <c r="DA54" s="88"/>
      <c r="DB54" s="88"/>
      <c r="DC54" s="88"/>
      <c r="DD54" s="88"/>
    </row>
    <row r="55" spans="49:108" s="20" customFormat="1" ht="22.5" customHeight="1" x14ac:dyDescent="0.25">
      <c r="AW55" s="88"/>
      <c r="AX55" s="88"/>
      <c r="AY55" s="88"/>
      <c r="AZ55" s="88"/>
      <c r="BA55" s="88"/>
      <c r="BB55" s="88"/>
      <c r="BC55" s="88"/>
      <c r="BD55" s="88"/>
      <c r="BE55" s="88"/>
      <c r="BF55" s="88"/>
      <c r="BG55" s="88"/>
      <c r="BH55" s="88"/>
      <c r="BI55" s="88"/>
      <c r="BJ55" s="88"/>
      <c r="BK55" s="88"/>
      <c r="BL55" s="88"/>
      <c r="BM55" s="88"/>
      <c r="BN55" s="88"/>
      <c r="BO55" s="88"/>
      <c r="BP55" s="88"/>
      <c r="BQ55" s="88"/>
      <c r="BR55" s="88"/>
      <c r="BS55" s="88"/>
      <c r="BT55" s="88"/>
      <c r="BU55" s="88"/>
      <c r="BV55" s="88"/>
      <c r="BW55" s="88"/>
      <c r="BX55" s="88"/>
      <c r="BY55" s="88"/>
      <c r="BZ55" s="88"/>
      <c r="CA55" s="88"/>
      <c r="CB55" s="88"/>
      <c r="CC55" s="88"/>
      <c r="CD55" s="88"/>
      <c r="CE55" s="88"/>
      <c r="CF55" s="88"/>
      <c r="CG55" s="88"/>
      <c r="CH55" s="88"/>
      <c r="CI55" s="88"/>
      <c r="CJ55" s="88"/>
      <c r="CK55" s="88"/>
      <c r="CL55" s="88"/>
      <c r="CM55" s="88"/>
      <c r="CN55" s="88"/>
      <c r="CO55" s="88"/>
      <c r="CP55" s="88"/>
      <c r="CQ55" s="88"/>
      <c r="CR55" s="88"/>
      <c r="CS55" s="88"/>
      <c r="CT55" s="88"/>
      <c r="CU55" s="88"/>
      <c r="CV55" s="88"/>
      <c r="CW55" s="88"/>
      <c r="CX55" s="88"/>
      <c r="CY55" s="88"/>
      <c r="CZ55" s="88"/>
      <c r="DA55" s="88"/>
      <c r="DB55" s="88"/>
      <c r="DC55" s="88"/>
      <c r="DD55" s="88"/>
    </row>
    <row r="56" spans="49:108" s="20" customFormat="1" ht="22.5" customHeight="1" x14ac:dyDescent="0.25">
      <c r="AW56" s="88"/>
      <c r="AX56" s="88"/>
      <c r="AY56" s="88"/>
      <c r="AZ56" s="88"/>
      <c r="BA56" s="88"/>
      <c r="BB56" s="88"/>
      <c r="BC56" s="88"/>
      <c r="BD56" s="88"/>
      <c r="BE56" s="88"/>
      <c r="BF56" s="88"/>
      <c r="BG56" s="88"/>
      <c r="BH56" s="88"/>
      <c r="BI56" s="88"/>
      <c r="BJ56" s="88"/>
      <c r="BK56" s="88"/>
      <c r="BL56" s="88"/>
      <c r="BM56" s="88"/>
      <c r="BN56" s="88"/>
      <c r="BO56" s="88"/>
      <c r="BP56" s="88"/>
      <c r="BQ56" s="88"/>
      <c r="BR56" s="88"/>
      <c r="BS56" s="88"/>
      <c r="BT56" s="88"/>
      <c r="BU56" s="88"/>
      <c r="BV56" s="88"/>
      <c r="BW56" s="88"/>
      <c r="BX56" s="88"/>
      <c r="BY56" s="88"/>
      <c r="BZ56" s="88"/>
      <c r="CA56" s="88"/>
      <c r="CB56" s="88"/>
      <c r="CC56" s="88"/>
      <c r="CD56" s="88"/>
      <c r="CE56" s="88"/>
      <c r="CF56" s="88"/>
      <c r="CG56" s="88"/>
      <c r="CH56" s="88"/>
      <c r="CI56" s="88"/>
      <c r="CJ56" s="88"/>
      <c r="CK56" s="88"/>
      <c r="CL56" s="88"/>
      <c r="CM56" s="88"/>
      <c r="CN56" s="88"/>
      <c r="CO56" s="88"/>
      <c r="CP56" s="88"/>
      <c r="CQ56" s="88"/>
      <c r="CR56" s="88"/>
      <c r="CS56" s="88"/>
      <c r="CT56" s="88"/>
      <c r="CU56" s="88"/>
      <c r="CV56" s="88"/>
      <c r="CW56" s="88"/>
      <c r="CX56" s="88"/>
      <c r="CY56" s="88"/>
      <c r="CZ56" s="88"/>
      <c r="DA56" s="88"/>
      <c r="DB56" s="88"/>
      <c r="DC56" s="88"/>
      <c r="DD56" s="88"/>
    </row>
    <row r="57" spans="49:108" s="20" customFormat="1" ht="22.5" customHeight="1" x14ac:dyDescent="0.25">
      <c r="AW57" s="88"/>
      <c r="AX57" s="88"/>
      <c r="AY57" s="88"/>
      <c r="AZ57" s="88"/>
      <c r="BA57" s="88"/>
      <c r="BB57" s="88"/>
      <c r="BC57" s="88"/>
      <c r="BD57" s="88"/>
      <c r="BE57" s="88"/>
      <c r="BF57" s="88"/>
      <c r="BG57" s="88"/>
      <c r="BH57" s="88"/>
      <c r="BI57" s="88"/>
      <c r="BJ57" s="88"/>
      <c r="BK57" s="88"/>
      <c r="BL57" s="88"/>
      <c r="BM57" s="88"/>
      <c r="BN57" s="88"/>
      <c r="BO57" s="88"/>
      <c r="BP57" s="88"/>
      <c r="BQ57" s="88"/>
      <c r="BR57" s="88"/>
      <c r="BS57" s="88"/>
      <c r="BT57" s="88"/>
      <c r="BU57" s="88"/>
      <c r="BV57" s="88"/>
      <c r="BW57" s="88"/>
      <c r="BX57" s="88"/>
      <c r="BY57" s="88"/>
      <c r="BZ57" s="88"/>
      <c r="CA57" s="88"/>
      <c r="CB57" s="88"/>
      <c r="CC57" s="88"/>
      <c r="CD57" s="88"/>
      <c r="CE57" s="88"/>
      <c r="CF57" s="88"/>
      <c r="CG57" s="88"/>
      <c r="CH57" s="88"/>
      <c r="CI57" s="88"/>
      <c r="CJ57" s="88"/>
      <c r="CK57" s="88"/>
      <c r="CL57" s="88"/>
      <c r="CM57" s="88"/>
      <c r="CN57" s="88"/>
      <c r="CO57" s="88"/>
      <c r="CP57" s="88"/>
      <c r="CQ57" s="88"/>
      <c r="CR57" s="88"/>
      <c r="CS57" s="88"/>
      <c r="CT57" s="88"/>
      <c r="CU57" s="88"/>
      <c r="CV57" s="88"/>
      <c r="CW57" s="88"/>
      <c r="CX57" s="88"/>
      <c r="CY57" s="88"/>
      <c r="CZ57" s="88"/>
      <c r="DA57" s="88"/>
      <c r="DB57" s="88"/>
      <c r="DC57" s="88"/>
      <c r="DD57" s="88"/>
    </row>
    <row r="58" spans="49:108" s="20" customFormat="1" ht="22.5" customHeight="1" x14ac:dyDescent="0.25">
      <c r="AW58" s="88"/>
      <c r="AX58" s="88"/>
      <c r="AY58" s="88"/>
      <c r="AZ58" s="88"/>
      <c r="BA58" s="88"/>
      <c r="BB58" s="88"/>
      <c r="BC58" s="88"/>
      <c r="BD58" s="88"/>
      <c r="BE58" s="88"/>
      <c r="BF58" s="88"/>
      <c r="BG58" s="88"/>
      <c r="BH58" s="88"/>
      <c r="BI58" s="88"/>
      <c r="BJ58" s="88"/>
      <c r="BK58" s="88"/>
      <c r="BL58" s="88"/>
      <c r="BM58" s="88"/>
      <c r="BN58" s="88"/>
      <c r="BO58" s="88"/>
      <c r="BP58" s="88"/>
      <c r="BQ58" s="88"/>
      <c r="BR58" s="88"/>
      <c r="BS58" s="88"/>
      <c r="BT58" s="88"/>
      <c r="BU58" s="88"/>
      <c r="BV58" s="88"/>
      <c r="BW58" s="88"/>
      <c r="BX58" s="88"/>
      <c r="BY58" s="88"/>
      <c r="BZ58" s="88"/>
      <c r="CA58" s="88"/>
      <c r="CB58" s="88"/>
      <c r="CC58" s="88"/>
      <c r="CD58" s="88"/>
      <c r="CE58" s="88"/>
      <c r="CF58" s="88"/>
      <c r="CG58" s="88"/>
      <c r="CH58" s="88"/>
      <c r="CI58" s="88"/>
      <c r="CJ58" s="88"/>
      <c r="CK58" s="88"/>
      <c r="CL58" s="88"/>
      <c r="CM58" s="88"/>
      <c r="CN58" s="88"/>
      <c r="CO58" s="88"/>
      <c r="CP58" s="88"/>
      <c r="CQ58" s="88"/>
      <c r="CR58" s="88"/>
      <c r="CS58" s="88"/>
      <c r="CT58" s="88"/>
      <c r="CU58" s="88"/>
      <c r="CV58" s="88"/>
      <c r="CW58" s="88"/>
      <c r="CX58" s="88"/>
      <c r="CY58" s="88"/>
      <c r="CZ58" s="88"/>
      <c r="DA58" s="88"/>
      <c r="DB58" s="88"/>
      <c r="DC58" s="88"/>
      <c r="DD58" s="88"/>
    </row>
  </sheetData>
  <sheetProtection algorithmName="SHA-512" hashValue="UEMAP7/Wh/nw7/QV2dLrmdykzxrA3PLGETJ4I2cjX203+4Rs9xMH0aWZ5scEy5u0L1ne01xDQ533d6i3dOF5eA==" saltValue="YaPxsAWdtuv+v5jmTu5SRw==" spinCount="100000" sheet="1" objects="1" scenarios="1" selectLockedCells="1" selectUnlockedCells="1"/>
  <mergeCells count="128">
    <mergeCell ref="BM19:BN19"/>
    <mergeCell ref="BQ19:BR19"/>
    <mergeCell ref="BO7:BO11"/>
    <mergeCell ref="BP7:BP11"/>
    <mergeCell ref="AW13:AW15"/>
    <mergeCell ref="AX13:AX15"/>
    <mergeCell ref="AY13:AY15"/>
    <mergeCell ref="AZ13:AZ15"/>
    <mergeCell ref="BE13:BE15"/>
    <mergeCell ref="BF13:BF15"/>
    <mergeCell ref="BG13:BG15"/>
    <mergeCell ref="BH13:BH15"/>
    <mergeCell ref="BM13:BM15"/>
    <mergeCell ref="BN13:BN15"/>
    <mergeCell ref="BO13:BO15"/>
    <mergeCell ref="BP13:BP15"/>
    <mergeCell ref="BF7:BF11"/>
    <mergeCell ref="BG7:BG11"/>
    <mergeCell ref="BH7:BH11"/>
    <mergeCell ref="BM7:BM11"/>
    <mergeCell ref="BN7:BN11"/>
    <mergeCell ref="AW7:AW11"/>
    <mergeCell ref="AX7:AX11"/>
    <mergeCell ref="AY7:AY11"/>
    <mergeCell ref="AZ7:AZ11"/>
    <mergeCell ref="BE7:BE11"/>
    <mergeCell ref="AW4:BD4"/>
    <mergeCell ref="BE4:BL4"/>
    <mergeCell ref="BM4:BT4"/>
    <mergeCell ref="AW5:AZ5"/>
    <mergeCell ref="BA5:BD5"/>
    <mergeCell ref="BE5:BH5"/>
    <mergeCell ref="BI5:BL5"/>
    <mergeCell ref="BM5:BP5"/>
    <mergeCell ref="BQ5:BT5"/>
    <mergeCell ref="Y4:AF4"/>
    <mergeCell ref="AG4:AN4"/>
    <mergeCell ref="AO4:AV4"/>
    <mergeCell ref="A5:C5"/>
    <mergeCell ref="E5:F5"/>
    <mergeCell ref="G5:I5"/>
    <mergeCell ref="J5:J6"/>
    <mergeCell ref="K5:K6"/>
    <mergeCell ref="Y5:AB5"/>
    <mergeCell ref="AC5:AF5"/>
    <mergeCell ref="AG5:AJ5"/>
    <mergeCell ref="AK5:AN5"/>
    <mergeCell ref="AO5:AR5"/>
    <mergeCell ref="AS5:AV5"/>
    <mergeCell ref="A13:A15"/>
    <mergeCell ref="B13:B15"/>
    <mergeCell ref="C13:C15"/>
    <mergeCell ref="D13:D15"/>
    <mergeCell ref="C1:X3"/>
    <mergeCell ref="A4:K4"/>
    <mergeCell ref="L4:P5"/>
    <mergeCell ref="Q4:U5"/>
    <mergeCell ref="V4:W5"/>
    <mergeCell ref="X4:X5"/>
    <mergeCell ref="Y13:Y15"/>
    <mergeCell ref="Z13:Z15"/>
    <mergeCell ref="AA13:AA15"/>
    <mergeCell ref="AB13:AB15"/>
    <mergeCell ref="A7:A11"/>
    <mergeCell ref="B7:B11"/>
    <mergeCell ref="C7:C11"/>
    <mergeCell ref="E7:E11"/>
    <mergeCell ref="D7:D11"/>
    <mergeCell ref="F7:F11"/>
    <mergeCell ref="W7:W15"/>
    <mergeCell ref="O13:O15"/>
    <mergeCell ref="P13:P15"/>
    <mergeCell ref="G7:G18"/>
    <mergeCell ref="H7:H18"/>
    <mergeCell ref="I7:I16"/>
    <mergeCell ref="J7:J18"/>
    <mergeCell ref="K7:K18"/>
    <mergeCell ref="L7:L11"/>
    <mergeCell ref="M7:M11"/>
    <mergeCell ref="N7:N11"/>
    <mergeCell ref="O7:O11"/>
    <mergeCell ref="P7:P11"/>
    <mergeCell ref="V7:V15"/>
    <mergeCell ref="AG13:AG15"/>
    <mergeCell ref="AH13:AH15"/>
    <mergeCell ref="AI13:AI15"/>
    <mergeCell ref="AJ13:AJ15"/>
    <mergeCell ref="AO13:AO15"/>
    <mergeCell ref="AP13:AP15"/>
    <mergeCell ref="AA7:AA11"/>
    <mergeCell ref="AB7:AB11"/>
    <mergeCell ref="AG7:AG11"/>
    <mergeCell ref="E13:E15"/>
    <mergeCell ref="F13:F15"/>
    <mergeCell ref="I17:I18"/>
    <mergeCell ref="Q16:U16"/>
    <mergeCell ref="Q17:U17"/>
    <mergeCell ref="Q18:U18"/>
    <mergeCell ref="AS16:AV16"/>
    <mergeCell ref="AS17:AV17"/>
    <mergeCell ref="AS18:AV18"/>
    <mergeCell ref="L13:L15"/>
    <mergeCell ref="M13:M15"/>
    <mergeCell ref="N13:N15"/>
    <mergeCell ref="X7:X18"/>
    <mergeCell ref="AR7:AR11"/>
    <mergeCell ref="AR13:AR15"/>
    <mergeCell ref="AH7:AH11"/>
    <mergeCell ref="AI7:AI11"/>
    <mergeCell ref="AJ7:AJ11"/>
    <mergeCell ref="AO7:AO11"/>
    <mergeCell ref="AP7:AP11"/>
    <mergeCell ref="AQ7:AQ11"/>
    <mergeCell ref="Y7:Y11"/>
    <mergeCell ref="Z7:Z11"/>
    <mergeCell ref="AQ13:AQ15"/>
    <mergeCell ref="Y19:Z19"/>
    <mergeCell ref="AC19:AD19"/>
    <mergeCell ref="AG19:AH19"/>
    <mergeCell ref="AK19:AL19"/>
    <mergeCell ref="AO19:AP19"/>
    <mergeCell ref="AS19:AT19"/>
    <mergeCell ref="AC16:AF16"/>
    <mergeCell ref="AC17:AF17"/>
    <mergeCell ref="AC18:AF18"/>
    <mergeCell ref="AK16:AN16"/>
    <mergeCell ref="AK17:AN17"/>
    <mergeCell ref="AK18:AN18"/>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6A8EE-CEF2-4274-A55E-D1ADC5AED8D7}">
  <sheetPr>
    <tabColor rgb="FFFF0000"/>
  </sheetPr>
  <dimension ref="A1:AKP19"/>
  <sheetViews>
    <sheetView topLeftCell="X1" zoomScaleNormal="100" workbookViewId="0">
      <pane xSplit="1" ySplit="6" topLeftCell="Y7" activePane="bottomRight" state="frozen"/>
      <selection activeCell="BO15" sqref="BO15"/>
      <selection pane="topRight" activeCell="BO15" sqref="BO15"/>
      <selection pane="bottomLeft" activeCell="BO15" sqref="BO15"/>
      <selection pane="bottomRight" activeCell="BO15" sqref="BO15"/>
    </sheetView>
  </sheetViews>
  <sheetFormatPr baseColWidth="10" defaultColWidth="11.42578125" defaultRowHeight="15" x14ac:dyDescent="0.25"/>
  <cols>
    <col min="1" max="1" width="23.140625" customWidth="1"/>
    <col min="2" max="2" width="23" customWidth="1"/>
    <col min="3" max="3" width="17.42578125" customWidth="1"/>
    <col min="4" max="4" width="22.5703125" customWidth="1"/>
    <col min="5" max="6" width="22" customWidth="1"/>
    <col min="7" max="7" width="14.7109375" customWidth="1"/>
    <col min="8" max="8" width="15.28515625" customWidth="1"/>
    <col min="9" max="9" width="14.140625" customWidth="1"/>
    <col min="10" max="10" width="14.42578125" customWidth="1"/>
    <col min="11" max="11" width="17.42578125" customWidth="1"/>
    <col min="12" max="12" width="23.5703125" customWidth="1"/>
    <col min="13" max="13" width="22.28515625" customWidth="1"/>
    <col min="17" max="17" width="24.42578125" customWidth="1"/>
    <col min="18" max="18" width="22.5703125" customWidth="1"/>
    <col min="19" max="19" width="13.5703125" customWidth="1"/>
    <col min="22" max="23" width="13.5703125" bestFit="1" customWidth="1"/>
    <col min="24" max="24" width="69.42578125" customWidth="1"/>
    <col min="25" max="25" width="17.140625" customWidth="1"/>
    <col min="27" max="27" width="15.42578125" customWidth="1"/>
    <col min="28" max="28" width="32.7109375" customWidth="1"/>
    <col min="29" max="29" width="17.140625" customWidth="1"/>
    <col min="31" max="31" width="17.7109375" customWidth="1"/>
    <col min="32" max="32" width="38.7109375" customWidth="1"/>
    <col min="33" max="33" width="16.42578125" customWidth="1"/>
    <col min="36" max="36" width="34.140625" customWidth="1"/>
    <col min="40" max="40" width="32.28515625" customWidth="1"/>
    <col min="44" max="44" width="33.85546875" customWidth="1"/>
    <col min="48" max="48" width="32.28515625" customWidth="1"/>
    <col min="49" max="49" width="7.85546875" style="247" bestFit="1" customWidth="1"/>
    <col min="50" max="50" width="5.7109375" style="247" bestFit="1" customWidth="1"/>
    <col min="51" max="51" width="11" style="247" bestFit="1" customWidth="1"/>
    <col min="52" max="52" width="25.85546875" style="247" bestFit="1" customWidth="1"/>
    <col min="53" max="53" width="7.85546875" style="247" bestFit="1" customWidth="1"/>
    <col min="54" max="54" width="5.7109375" style="247" bestFit="1" customWidth="1"/>
    <col min="55" max="55" width="11" style="247" bestFit="1" customWidth="1"/>
    <col min="56" max="56" width="28.42578125" style="247" bestFit="1" customWidth="1"/>
    <col min="57" max="57" width="7.85546875" style="247" bestFit="1" customWidth="1"/>
    <col min="58" max="58" width="5.7109375" style="247" bestFit="1" customWidth="1"/>
    <col min="59" max="59" width="11" style="247" bestFit="1" customWidth="1"/>
    <col min="60" max="60" width="25.85546875" style="247" bestFit="1" customWidth="1"/>
    <col min="61" max="61" width="7.85546875" style="247" bestFit="1" customWidth="1"/>
    <col min="62" max="62" width="5.7109375" style="247" bestFit="1" customWidth="1"/>
    <col min="63" max="63" width="11" style="247" bestFit="1" customWidth="1"/>
    <col min="64" max="64" width="36.85546875" style="247" bestFit="1" customWidth="1"/>
    <col min="65" max="65" width="7.85546875" style="247" bestFit="1" customWidth="1"/>
    <col min="66" max="66" width="5.7109375" style="247" bestFit="1" customWidth="1"/>
    <col min="67" max="67" width="11" style="247" bestFit="1" customWidth="1"/>
    <col min="68" max="68" width="34.7109375" style="247" bestFit="1" customWidth="1"/>
    <col min="69" max="69" width="7.85546875" style="247" bestFit="1" customWidth="1"/>
    <col min="70" max="70" width="5.7109375" style="247" bestFit="1" customWidth="1"/>
    <col min="71" max="71" width="11" style="247" bestFit="1" customWidth="1"/>
    <col min="72" max="72" width="30.5703125" style="247" bestFit="1" customWidth="1"/>
    <col min="73" max="977" width="11.42578125" style="292"/>
  </cols>
  <sheetData>
    <row r="1" spans="1:978" s="1" customFormat="1" ht="15.75" x14ac:dyDescent="0.25">
      <c r="C1" s="769" t="s">
        <v>0</v>
      </c>
      <c r="D1" s="769"/>
      <c r="E1" s="769"/>
      <c r="F1" s="769"/>
      <c r="G1" s="769"/>
      <c r="H1" s="769"/>
      <c r="I1" s="769"/>
      <c r="J1" s="769"/>
      <c r="K1" s="769"/>
      <c r="L1" s="769"/>
      <c r="M1" s="769"/>
      <c r="N1" s="769"/>
      <c r="O1" s="769"/>
      <c r="P1" s="769"/>
      <c r="Q1" s="769"/>
      <c r="R1" s="769"/>
      <c r="S1" s="769"/>
      <c r="T1" s="769"/>
      <c r="U1" s="769"/>
      <c r="V1" s="769"/>
      <c r="W1" s="769"/>
      <c r="X1" s="769"/>
      <c r="AE1" s="2"/>
      <c r="AF1" s="3"/>
      <c r="AM1" s="2"/>
      <c r="AN1" s="3"/>
      <c r="AW1" s="53"/>
      <c r="AX1" s="53"/>
      <c r="AY1" s="53"/>
      <c r="AZ1" s="53"/>
      <c r="BA1" s="53"/>
      <c r="BB1" s="53"/>
      <c r="BC1" s="53"/>
      <c r="BD1" s="53"/>
      <c r="BE1" s="53"/>
      <c r="BF1" s="53"/>
      <c r="BG1" s="53"/>
      <c r="BH1" s="53"/>
      <c r="BI1" s="53"/>
      <c r="BJ1" s="53"/>
      <c r="BK1" s="53"/>
      <c r="BL1" s="53"/>
      <c r="BM1" s="53"/>
      <c r="BN1" s="53"/>
      <c r="BO1" s="53"/>
      <c r="BP1" s="53"/>
      <c r="BQ1" s="53"/>
      <c r="BR1" s="53"/>
      <c r="BS1" s="4" t="s">
        <v>1</v>
      </c>
      <c r="BT1" s="561">
        <v>43458</v>
      </c>
    </row>
    <row r="2" spans="1:978" s="1" customFormat="1" ht="30" customHeight="1" x14ac:dyDescent="0.25">
      <c r="C2" s="769"/>
      <c r="D2" s="769"/>
      <c r="E2" s="769"/>
      <c r="F2" s="769"/>
      <c r="G2" s="769"/>
      <c r="H2" s="769"/>
      <c r="I2" s="769"/>
      <c r="J2" s="769"/>
      <c r="K2" s="769"/>
      <c r="L2" s="769"/>
      <c r="M2" s="769"/>
      <c r="N2" s="769"/>
      <c r="O2" s="769"/>
      <c r="P2" s="769"/>
      <c r="Q2" s="769"/>
      <c r="R2" s="769"/>
      <c r="S2" s="769"/>
      <c r="T2" s="769"/>
      <c r="U2" s="769"/>
      <c r="V2" s="769"/>
      <c r="W2" s="769"/>
      <c r="X2" s="769"/>
      <c r="AE2" s="2"/>
      <c r="AF2" s="2"/>
      <c r="AM2" s="2"/>
      <c r="AN2" s="2"/>
      <c r="AW2" s="53"/>
      <c r="AX2" s="53"/>
      <c r="AY2" s="53"/>
      <c r="AZ2" s="53"/>
      <c r="BA2" s="53"/>
      <c r="BB2" s="53"/>
      <c r="BC2" s="53"/>
      <c r="BD2" s="53"/>
      <c r="BE2" s="53"/>
      <c r="BF2" s="53"/>
      <c r="BG2" s="53"/>
      <c r="BH2" s="53"/>
      <c r="BI2" s="53"/>
      <c r="BJ2" s="53"/>
      <c r="BK2" s="53"/>
      <c r="BL2" s="53"/>
      <c r="BM2" s="53"/>
      <c r="BN2" s="53"/>
      <c r="BO2" s="53"/>
      <c r="BP2" s="53"/>
      <c r="BQ2" s="53"/>
      <c r="BR2" s="53"/>
      <c r="BS2" s="4" t="s">
        <v>2</v>
      </c>
      <c r="BT2" s="562">
        <v>5</v>
      </c>
    </row>
    <row r="3" spans="1:978" s="1" customFormat="1" ht="29.25" customHeight="1" x14ac:dyDescent="0.25">
      <c r="C3" s="769"/>
      <c r="D3" s="769"/>
      <c r="E3" s="769"/>
      <c r="F3" s="769"/>
      <c r="G3" s="769"/>
      <c r="H3" s="769"/>
      <c r="I3" s="769"/>
      <c r="J3" s="769"/>
      <c r="K3" s="769"/>
      <c r="L3" s="769"/>
      <c r="M3" s="769"/>
      <c r="N3" s="769"/>
      <c r="O3" s="769"/>
      <c r="P3" s="769"/>
      <c r="Q3" s="769"/>
      <c r="R3" s="769"/>
      <c r="S3" s="769"/>
      <c r="T3" s="769"/>
      <c r="U3" s="769"/>
      <c r="V3" s="769"/>
      <c r="W3" s="769"/>
      <c r="X3" s="769"/>
      <c r="AE3" s="2"/>
      <c r="AF3" s="2"/>
      <c r="AM3" s="2"/>
      <c r="AN3" s="2"/>
      <c r="AW3" s="53"/>
      <c r="AX3" s="53"/>
      <c r="AY3" s="53"/>
      <c r="AZ3" s="53"/>
      <c r="BA3" s="53"/>
      <c r="BB3" s="53"/>
      <c r="BC3" s="53"/>
      <c r="BD3" s="53"/>
      <c r="BE3" s="53"/>
      <c r="BF3" s="53"/>
      <c r="BG3" s="53"/>
      <c r="BH3" s="53"/>
      <c r="BI3" s="53"/>
      <c r="BJ3" s="53"/>
      <c r="BK3" s="53"/>
      <c r="BL3" s="53"/>
      <c r="BM3" s="53"/>
      <c r="BN3" s="53"/>
      <c r="BO3" s="53"/>
      <c r="BP3" s="53"/>
      <c r="BQ3" s="53"/>
      <c r="BR3" s="53"/>
      <c r="BS3" s="4" t="s">
        <v>3</v>
      </c>
      <c r="BT3" s="562" t="s">
        <v>4</v>
      </c>
    </row>
    <row r="4" spans="1:978" s="195" customFormat="1" x14ac:dyDescent="0.25">
      <c r="A4" s="815" t="s">
        <v>5</v>
      </c>
      <c r="B4" s="816"/>
      <c r="C4" s="816"/>
      <c r="D4" s="816"/>
      <c r="E4" s="816"/>
      <c r="F4" s="816"/>
      <c r="G4" s="816"/>
      <c r="H4" s="816"/>
      <c r="I4" s="816"/>
      <c r="J4" s="816"/>
      <c r="K4" s="817"/>
      <c r="L4" s="818" t="s">
        <v>6</v>
      </c>
      <c r="M4" s="819"/>
      <c r="N4" s="819"/>
      <c r="O4" s="819"/>
      <c r="P4" s="820"/>
      <c r="Q4" s="818" t="s">
        <v>7</v>
      </c>
      <c r="R4" s="819"/>
      <c r="S4" s="819"/>
      <c r="T4" s="819"/>
      <c r="U4" s="820"/>
      <c r="V4" s="874" t="s">
        <v>8</v>
      </c>
      <c r="W4" s="875"/>
      <c r="X4" s="825" t="s">
        <v>9</v>
      </c>
      <c r="Y4" s="812" t="s">
        <v>533</v>
      </c>
      <c r="Z4" s="813"/>
      <c r="AA4" s="813"/>
      <c r="AB4" s="813"/>
      <c r="AC4" s="813"/>
      <c r="AD4" s="813"/>
      <c r="AE4" s="813"/>
      <c r="AF4" s="814"/>
      <c r="AG4" s="812" t="s">
        <v>533</v>
      </c>
      <c r="AH4" s="813"/>
      <c r="AI4" s="813"/>
      <c r="AJ4" s="813"/>
      <c r="AK4" s="813"/>
      <c r="AL4" s="813"/>
      <c r="AM4" s="813"/>
      <c r="AN4" s="813"/>
      <c r="AO4" s="872" t="s">
        <v>533</v>
      </c>
      <c r="AP4" s="872"/>
      <c r="AQ4" s="872"/>
      <c r="AR4" s="872"/>
      <c r="AS4" s="872"/>
      <c r="AT4" s="872"/>
      <c r="AU4" s="872"/>
      <c r="AV4" s="872"/>
      <c r="AW4" s="872" t="s">
        <v>533</v>
      </c>
      <c r="AX4" s="872"/>
      <c r="AY4" s="872"/>
      <c r="AZ4" s="872"/>
      <c r="BA4" s="872"/>
      <c r="BB4" s="872"/>
      <c r="BC4" s="872"/>
      <c r="BD4" s="872"/>
      <c r="BE4" s="872" t="s">
        <v>533</v>
      </c>
      <c r="BF4" s="872"/>
      <c r="BG4" s="872"/>
      <c r="BH4" s="872"/>
      <c r="BI4" s="872"/>
      <c r="BJ4" s="872"/>
      <c r="BK4" s="872"/>
      <c r="BL4" s="872"/>
      <c r="BM4" s="872" t="s">
        <v>533</v>
      </c>
      <c r="BN4" s="872"/>
      <c r="BO4" s="872"/>
      <c r="BP4" s="872"/>
      <c r="BQ4" s="872"/>
      <c r="BR4" s="872"/>
      <c r="BS4" s="872"/>
      <c r="BT4" s="872"/>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c r="DM4" s="263"/>
      <c r="DN4" s="263"/>
      <c r="DO4" s="263"/>
      <c r="DP4" s="263"/>
      <c r="DQ4" s="263"/>
      <c r="DR4" s="263"/>
      <c r="DS4" s="263"/>
      <c r="DT4" s="263"/>
      <c r="DU4" s="263"/>
      <c r="DV4" s="263"/>
      <c r="DW4" s="263"/>
      <c r="DX4" s="263"/>
      <c r="DY4" s="263"/>
      <c r="DZ4" s="263"/>
      <c r="EA4" s="263"/>
      <c r="EB4" s="263"/>
      <c r="EC4" s="263"/>
      <c r="ED4" s="263"/>
      <c r="EE4" s="263"/>
      <c r="EF4" s="263"/>
      <c r="EG4" s="263"/>
      <c r="EH4" s="263"/>
      <c r="EI4" s="263"/>
      <c r="EJ4" s="263"/>
      <c r="EK4" s="263"/>
      <c r="EL4" s="263"/>
      <c r="EM4" s="263"/>
      <c r="EN4" s="263"/>
      <c r="EO4" s="263"/>
      <c r="EP4" s="263"/>
      <c r="EQ4" s="263"/>
      <c r="ER4" s="263"/>
      <c r="ES4" s="263"/>
      <c r="ET4" s="263"/>
      <c r="EU4" s="263"/>
      <c r="EV4" s="263"/>
      <c r="EW4" s="263"/>
      <c r="EX4" s="263"/>
      <c r="EY4" s="263"/>
      <c r="EZ4" s="263"/>
      <c r="FA4" s="263"/>
      <c r="FB4" s="263"/>
      <c r="FC4" s="263"/>
      <c r="FD4" s="263"/>
      <c r="FE4" s="263"/>
      <c r="FF4" s="263"/>
      <c r="FG4" s="263"/>
      <c r="FH4" s="263"/>
      <c r="FI4" s="263"/>
      <c r="FJ4" s="263"/>
      <c r="FK4" s="263"/>
      <c r="FL4" s="263"/>
      <c r="FM4" s="263"/>
      <c r="FN4" s="263"/>
      <c r="FO4" s="263"/>
      <c r="FP4" s="263"/>
      <c r="FQ4" s="263"/>
      <c r="FR4" s="263"/>
      <c r="FS4" s="263"/>
      <c r="FT4" s="263"/>
      <c r="FU4" s="263"/>
      <c r="FV4" s="263"/>
      <c r="FW4" s="263"/>
      <c r="FX4" s="263"/>
      <c r="FY4" s="263"/>
      <c r="FZ4" s="263"/>
      <c r="GA4" s="263"/>
      <c r="GB4" s="263"/>
      <c r="GC4" s="263"/>
      <c r="GD4" s="263"/>
      <c r="GE4" s="263"/>
      <c r="GF4" s="263"/>
      <c r="GG4" s="263"/>
      <c r="GH4" s="263"/>
      <c r="GI4" s="263"/>
      <c r="GJ4" s="263"/>
      <c r="GK4" s="263"/>
      <c r="GL4" s="263"/>
      <c r="GM4" s="263"/>
      <c r="GN4" s="263"/>
      <c r="GO4" s="263"/>
      <c r="GP4" s="263"/>
      <c r="GQ4" s="263"/>
      <c r="GR4" s="263"/>
      <c r="GS4" s="263"/>
      <c r="GT4" s="263"/>
      <c r="GU4" s="263"/>
      <c r="GV4" s="263"/>
      <c r="GW4" s="263"/>
      <c r="GX4" s="263"/>
      <c r="GY4" s="263"/>
      <c r="GZ4" s="263"/>
      <c r="HA4" s="263"/>
      <c r="HB4" s="263"/>
      <c r="HC4" s="263"/>
      <c r="HD4" s="263"/>
      <c r="HE4" s="263"/>
      <c r="HF4" s="263"/>
      <c r="HG4" s="263"/>
      <c r="HH4" s="263"/>
      <c r="HI4" s="263"/>
      <c r="HJ4" s="263"/>
      <c r="HK4" s="263"/>
      <c r="HL4" s="263"/>
      <c r="HM4" s="263"/>
      <c r="HN4" s="263"/>
      <c r="HO4" s="263"/>
      <c r="HP4" s="263"/>
      <c r="HQ4" s="263"/>
      <c r="HR4" s="263"/>
      <c r="HS4" s="263"/>
      <c r="HT4" s="263"/>
      <c r="HU4" s="263"/>
      <c r="HV4" s="263"/>
      <c r="HW4" s="263"/>
      <c r="HX4" s="263"/>
      <c r="HY4" s="263"/>
      <c r="HZ4" s="263"/>
      <c r="IA4" s="263"/>
      <c r="IB4" s="263"/>
      <c r="IC4" s="263"/>
      <c r="ID4" s="263"/>
      <c r="IE4" s="263"/>
      <c r="IF4" s="263"/>
      <c r="IG4" s="263"/>
      <c r="IH4" s="263"/>
      <c r="II4" s="263"/>
      <c r="IJ4" s="263"/>
      <c r="IK4" s="263"/>
      <c r="IL4" s="263"/>
      <c r="IM4" s="263"/>
      <c r="IN4" s="263"/>
      <c r="IO4" s="263"/>
      <c r="IP4" s="263"/>
      <c r="IQ4" s="263"/>
      <c r="IR4" s="263"/>
      <c r="IS4" s="263"/>
      <c r="IT4" s="263"/>
      <c r="IU4" s="263"/>
      <c r="IV4" s="263"/>
      <c r="IW4" s="263"/>
      <c r="IX4" s="263"/>
      <c r="IY4" s="263"/>
      <c r="IZ4" s="263"/>
      <c r="JA4" s="263"/>
      <c r="JB4" s="263"/>
      <c r="JC4" s="263"/>
      <c r="JD4" s="263"/>
      <c r="JE4" s="263"/>
      <c r="JF4" s="263"/>
      <c r="JG4" s="263"/>
      <c r="JH4" s="263"/>
      <c r="JI4" s="263"/>
      <c r="JJ4" s="263"/>
      <c r="JK4" s="263"/>
      <c r="JL4" s="263"/>
      <c r="JM4" s="263"/>
      <c r="JN4" s="263"/>
      <c r="JO4" s="263"/>
      <c r="JP4" s="263"/>
      <c r="JQ4" s="263"/>
      <c r="JR4" s="263"/>
      <c r="JS4" s="263"/>
      <c r="JT4" s="263"/>
      <c r="JU4" s="263"/>
      <c r="JV4" s="263"/>
      <c r="JW4" s="263"/>
      <c r="JX4" s="263"/>
      <c r="JY4" s="263"/>
      <c r="JZ4" s="263"/>
      <c r="KA4" s="263"/>
      <c r="KB4" s="263"/>
      <c r="KC4" s="263"/>
      <c r="KD4" s="263"/>
      <c r="KE4" s="263"/>
      <c r="KF4" s="263"/>
      <c r="KG4" s="263"/>
      <c r="KH4" s="263"/>
      <c r="KI4" s="263"/>
      <c r="KJ4" s="263"/>
      <c r="KK4" s="263"/>
      <c r="KL4" s="263"/>
      <c r="KM4" s="263"/>
      <c r="KN4" s="263"/>
      <c r="KO4" s="263"/>
      <c r="KP4" s="263"/>
      <c r="KQ4" s="263"/>
      <c r="KR4" s="263"/>
      <c r="KS4" s="263"/>
      <c r="KT4" s="263"/>
      <c r="KU4" s="263"/>
      <c r="KV4" s="263"/>
      <c r="KW4" s="263"/>
      <c r="KX4" s="263"/>
      <c r="KY4" s="263"/>
      <c r="KZ4" s="263"/>
      <c r="LA4" s="263"/>
      <c r="LB4" s="263"/>
      <c r="LC4" s="263"/>
      <c r="LD4" s="263"/>
      <c r="LE4" s="263"/>
      <c r="LF4" s="263"/>
      <c r="LG4" s="263"/>
      <c r="LH4" s="263"/>
      <c r="LI4" s="263"/>
      <c r="LJ4" s="263"/>
      <c r="LK4" s="263"/>
      <c r="LL4" s="263"/>
      <c r="LM4" s="263"/>
      <c r="LN4" s="263"/>
      <c r="LO4" s="263"/>
      <c r="LP4" s="263"/>
      <c r="LQ4" s="263"/>
      <c r="LR4" s="263"/>
      <c r="LS4" s="263"/>
      <c r="LT4" s="263"/>
      <c r="LU4" s="263"/>
      <c r="LV4" s="263"/>
      <c r="LW4" s="263"/>
      <c r="LX4" s="263"/>
      <c r="LY4" s="263"/>
      <c r="LZ4" s="263"/>
      <c r="MA4" s="263"/>
      <c r="MB4" s="263"/>
      <c r="MC4" s="263"/>
      <c r="MD4" s="263"/>
      <c r="ME4" s="263"/>
      <c r="MF4" s="263"/>
      <c r="MG4" s="263"/>
      <c r="MH4" s="263"/>
      <c r="MI4" s="263"/>
      <c r="MJ4" s="263"/>
      <c r="MK4" s="263"/>
      <c r="ML4" s="263"/>
      <c r="MM4" s="263"/>
      <c r="MN4" s="263"/>
      <c r="MO4" s="263"/>
      <c r="MP4" s="263"/>
      <c r="MQ4" s="263"/>
      <c r="MR4" s="263"/>
      <c r="MS4" s="263"/>
      <c r="MT4" s="263"/>
      <c r="MU4" s="263"/>
      <c r="MV4" s="263"/>
      <c r="MW4" s="263"/>
      <c r="MX4" s="263"/>
      <c r="MY4" s="263"/>
      <c r="MZ4" s="263"/>
      <c r="NA4" s="263"/>
      <c r="NB4" s="263"/>
      <c r="NC4" s="263"/>
      <c r="ND4" s="263"/>
      <c r="NE4" s="263"/>
      <c r="NF4" s="263"/>
      <c r="NG4" s="263"/>
      <c r="NH4" s="263"/>
      <c r="NI4" s="263"/>
      <c r="NJ4" s="263"/>
      <c r="NK4" s="263"/>
      <c r="NL4" s="263"/>
      <c r="NM4" s="263"/>
      <c r="NN4" s="263"/>
      <c r="NO4" s="263"/>
      <c r="NP4" s="263"/>
      <c r="NQ4" s="263"/>
      <c r="NR4" s="263"/>
      <c r="NS4" s="263"/>
      <c r="NT4" s="263"/>
      <c r="NU4" s="263"/>
      <c r="NV4" s="263"/>
      <c r="NW4" s="263"/>
      <c r="NX4" s="263"/>
      <c r="NY4" s="263"/>
      <c r="NZ4" s="263"/>
      <c r="OA4" s="263"/>
      <c r="OB4" s="263"/>
      <c r="OC4" s="263"/>
      <c r="OD4" s="263"/>
      <c r="OE4" s="263"/>
      <c r="OF4" s="263"/>
      <c r="OG4" s="263"/>
      <c r="OH4" s="263"/>
      <c r="OI4" s="263"/>
      <c r="OJ4" s="263"/>
      <c r="OK4" s="263"/>
      <c r="OL4" s="263"/>
      <c r="OM4" s="263"/>
      <c r="ON4" s="263"/>
      <c r="OO4" s="263"/>
      <c r="OP4" s="263"/>
      <c r="OQ4" s="263"/>
      <c r="OR4" s="263"/>
      <c r="OS4" s="263"/>
      <c r="OT4" s="263"/>
      <c r="OU4" s="263"/>
      <c r="OV4" s="263"/>
      <c r="OW4" s="263"/>
      <c r="OX4" s="263"/>
      <c r="OY4" s="263"/>
      <c r="OZ4" s="263"/>
      <c r="PA4" s="263"/>
      <c r="PB4" s="263"/>
      <c r="PC4" s="263"/>
      <c r="PD4" s="263"/>
      <c r="PE4" s="263"/>
      <c r="PF4" s="263"/>
      <c r="PG4" s="263"/>
      <c r="PH4" s="263"/>
      <c r="PI4" s="263"/>
      <c r="PJ4" s="263"/>
      <c r="PK4" s="263"/>
      <c r="PL4" s="263"/>
      <c r="PM4" s="263"/>
      <c r="PN4" s="263"/>
      <c r="PO4" s="263"/>
      <c r="PP4" s="263"/>
      <c r="PQ4" s="263"/>
      <c r="PR4" s="263"/>
      <c r="PS4" s="263"/>
      <c r="PT4" s="263"/>
      <c r="PU4" s="263"/>
      <c r="PV4" s="263"/>
      <c r="PW4" s="263"/>
      <c r="PX4" s="263"/>
      <c r="PY4" s="263"/>
      <c r="PZ4" s="263"/>
      <c r="QA4" s="263"/>
      <c r="QB4" s="263"/>
      <c r="QC4" s="263"/>
      <c r="QD4" s="263"/>
      <c r="QE4" s="263"/>
      <c r="QF4" s="263"/>
      <c r="QG4" s="263"/>
      <c r="QH4" s="263"/>
      <c r="QI4" s="263"/>
      <c r="QJ4" s="263"/>
      <c r="QK4" s="263"/>
      <c r="QL4" s="263"/>
      <c r="QM4" s="263"/>
      <c r="QN4" s="263"/>
      <c r="QO4" s="263"/>
      <c r="QP4" s="263"/>
      <c r="QQ4" s="263"/>
      <c r="QR4" s="263"/>
      <c r="QS4" s="263"/>
      <c r="QT4" s="263"/>
      <c r="QU4" s="263"/>
      <c r="QV4" s="263"/>
      <c r="QW4" s="263"/>
      <c r="QX4" s="263"/>
      <c r="QY4" s="263"/>
      <c r="QZ4" s="263"/>
      <c r="RA4" s="263"/>
      <c r="RB4" s="263"/>
      <c r="RC4" s="263"/>
      <c r="RD4" s="263"/>
      <c r="RE4" s="263"/>
      <c r="RF4" s="263"/>
      <c r="RG4" s="263"/>
      <c r="RH4" s="263"/>
      <c r="RI4" s="263"/>
      <c r="RJ4" s="263"/>
      <c r="RK4" s="263"/>
      <c r="RL4" s="263"/>
      <c r="RM4" s="263"/>
      <c r="RN4" s="263"/>
      <c r="RO4" s="263"/>
      <c r="RP4" s="263"/>
      <c r="RQ4" s="263"/>
      <c r="RR4" s="263"/>
      <c r="RS4" s="263"/>
      <c r="RT4" s="263"/>
      <c r="RU4" s="263"/>
      <c r="RV4" s="263"/>
      <c r="RW4" s="263"/>
      <c r="RX4" s="263"/>
      <c r="RY4" s="263"/>
      <c r="RZ4" s="263"/>
      <c r="SA4" s="263"/>
      <c r="SB4" s="263"/>
      <c r="SC4" s="263"/>
      <c r="SD4" s="263"/>
      <c r="SE4" s="263"/>
      <c r="SF4" s="263"/>
      <c r="SG4" s="263"/>
      <c r="SH4" s="263"/>
      <c r="SI4" s="263"/>
      <c r="SJ4" s="263"/>
      <c r="SK4" s="263"/>
      <c r="SL4" s="263"/>
      <c r="SM4" s="263"/>
      <c r="SN4" s="263"/>
      <c r="SO4" s="263"/>
      <c r="SP4" s="263"/>
      <c r="SQ4" s="263"/>
      <c r="SR4" s="263"/>
      <c r="SS4" s="263"/>
      <c r="ST4" s="263"/>
      <c r="SU4" s="263"/>
      <c r="SV4" s="263"/>
      <c r="SW4" s="263"/>
      <c r="SX4" s="263"/>
      <c r="SY4" s="263"/>
      <c r="SZ4" s="263"/>
      <c r="TA4" s="263"/>
      <c r="TB4" s="263"/>
      <c r="TC4" s="263"/>
      <c r="TD4" s="263"/>
      <c r="TE4" s="263"/>
      <c r="TF4" s="263"/>
      <c r="TG4" s="263"/>
      <c r="TH4" s="263"/>
      <c r="TI4" s="263"/>
      <c r="TJ4" s="263"/>
      <c r="TK4" s="263"/>
      <c r="TL4" s="263"/>
      <c r="TM4" s="263"/>
      <c r="TN4" s="263"/>
      <c r="TO4" s="263"/>
      <c r="TP4" s="263"/>
      <c r="TQ4" s="263"/>
      <c r="TR4" s="263"/>
      <c r="TS4" s="263"/>
      <c r="TT4" s="263"/>
      <c r="TU4" s="263"/>
      <c r="TV4" s="263"/>
      <c r="TW4" s="263"/>
      <c r="TX4" s="263"/>
      <c r="TY4" s="263"/>
      <c r="TZ4" s="263"/>
      <c r="UA4" s="263"/>
      <c r="UB4" s="263"/>
      <c r="UC4" s="263"/>
      <c r="UD4" s="263"/>
      <c r="UE4" s="263"/>
      <c r="UF4" s="263"/>
      <c r="UG4" s="263"/>
      <c r="UH4" s="263"/>
      <c r="UI4" s="263"/>
      <c r="UJ4" s="263"/>
      <c r="UK4" s="263"/>
      <c r="UL4" s="263"/>
      <c r="UM4" s="263"/>
      <c r="UN4" s="263"/>
      <c r="UO4" s="263"/>
      <c r="UP4" s="263"/>
      <c r="UQ4" s="263"/>
      <c r="UR4" s="263"/>
      <c r="US4" s="263"/>
      <c r="UT4" s="263"/>
      <c r="UU4" s="263"/>
      <c r="UV4" s="263"/>
      <c r="UW4" s="263"/>
      <c r="UX4" s="263"/>
      <c r="UY4" s="263"/>
      <c r="UZ4" s="263"/>
      <c r="VA4" s="263"/>
      <c r="VB4" s="263"/>
      <c r="VC4" s="263"/>
      <c r="VD4" s="263"/>
      <c r="VE4" s="263"/>
      <c r="VF4" s="263"/>
      <c r="VG4" s="263"/>
      <c r="VH4" s="263"/>
      <c r="VI4" s="263"/>
      <c r="VJ4" s="263"/>
      <c r="VK4" s="263"/>
      <c r="VL4" s="263"/>
      <c r="VM4" s="263"/>
      <c r="VN4" s="263"/>
      <c r="VO4" s="263"/>
      <c r="VP4" s="263"/>
      <c r="VQ4" s="263"/>
      <c r="VR4" s="263"/>
      <c r="VS4" s="263"/>
      <c r="VT4" s="263"/>
      <c r="VU4" s="263"/>
      <c r="VV4" s="263"/>
      <c r="VW4" s="263"/>
      <c r="VX4" s="263"/>
      <c r="VY4" s="263"/>
      <c r="VZ4" s="263"/>
      <c r="WA4" s="263"/>
      <c r="WB4" s="263"/>
      <c r="WC4" s="263"/>
      <c r="WD4" s="263"/>
      <c r="WE4" s="263"/>
      <c r="WF4" s="263"/>
      <c r="WG4" s="263"/>
      <c r="WH4" s="263"/>
      <c r="WI4" s="263"/>
      <c r="WJ4" s="263"/>
      <c r="WK4" s="263"/>
      <c r="WL4" s="263"/>
      <c r="WM4" s="263"/>
      <c r="WN4" s="263"/>
      <c r="WO4" s="263"/>
      <c r="WP4" s="263"/>
      <c r="WQ4" s="263"/>
      <c r="WR4" s="263"/>
      <c r="WS4" s="263"/>
      <c r="WT4" s="263"/>
      <c r="WU4" s="263"/>
      <c r="WV4" s="263"/>
      <c r="WW4" s="263"/>
      <c r="WX4" s="263"/>
      <c r="WY4" s="263"/>
      <c r="WZ4" s="263"/>
      <c r="XA4" s="263"/>
      <c r="XB4" s="263"/>
      <c r="XC4" s="263"/>
      <c r="XD4" s="263"/>
      <c r="XE4" s="263"/>
      <c r="XF4" s="263"/>
      <c r="XG4" s="263"/>
      <c r="XH4" s="263"/>
      <c r="XI4" s="263"/>
      <c r="XJ4" s="263"/>
      <c r="XK4" s="263"/>
      <c r="XL4" s="263"/>
      <c r="XM4" s="263"/>
      <c r="XN4" s="263"/>
      <c r="XO4" s="263"/>
      <c r="XP4" s="263"/>
      <c r="XQ4" s="263"/>
      <c r="XR4" s="263"/>
      <c r="XS4" s="263"/>
      <c r="XT4" s="263"/>
      <c r="XU4" s="263"/>
      <c r="XV4" s="263"/>
      <c r="XW4" s="263"/>
      <c r="XX4" s="263"/>
      <c r="XY4" s="263"/>
      <c r="XZ4" s="263"/>
      <c r="YA4" s="263"/>
      <c r="YB4" s="263"/>
      <c r="YC4" s="263"/>
      <c r="YD4" s="263"/>
      <c r="YE4" s="263"/>
      <c r="YF4" s="263"/>
      <c r="YG4" s="263"/>
      <c r="YH4" s="263"/>
      <c r="YI4" s="263"/>
      <c r="YJ4" s="263"/>
      <c r="YK4" s="263"/>
      <c r="YL4" s="263"/>
      <c r="YM4" s="263"/>
      <c r="YN4" s="263"/>
      <c r="YO4" s="263"/>
      <c r="YP4" s="263"/>
      <c r="YQ4" s="263"/>
      <c r="YR4" s="263"/>
      <c r="YS4" s="263"/>
      <c r="YT4" s="263"/>
      <c r="YU4" s="263"/>
      <c r="YV4" s="263"/>
      <c r="YW4" s="263"/>
      <c r="YX4" s="263"/>
      <c r="YY4" s="263"/>
      <c r="YZ4" s="263"/>
      <c r="ZA4" s="263"/>
      <c r="ZB4" s="263"/>
      <c r="ZC4" s="263"/>
      <c r="ZD4" s="263"/>
      <c r="ZE4" s="263"/>
      <c r="ZF4" s="263"/>
      <c r="ZG4" s="263"/>
      <c r="ZH4" s="263"/>
      <c r="ZI4" s="263"/>
      <c r="ZJ4" s="263"/>
      <c r="ZK4" s="263"/>
      <c r="ZL4" s="263"/>
      <c r="ZM4" s="263"/>
      <c r="ZN4" s="263"/>
      <c r="ZO4" s="263"/>
      <c r="ZP4" s="263"/>
      <c r="ZQ4" s="263"/>
      <c r="ZR4" s="263"/>
      <c r="ZS4" s="263"/>
      <c r="ZT4" s="263"/>
      <c r="ZU4" s="263"/>
      <c r="ZV4" s="263"/>
      <c r="ZW4" s="263"/>
      <c r="ZX4" s="263"/>
      <c r="ZY4" s="263"/>
      <c r="ZZ4" s="263"/>
      <c r="AAA4" s="263"/>
      <c r="AAB4" s="263"/>
      <c r="AAC4" s="263"/>
      <c r="AAD4" s="263"/>
      <c r="AAE4" s="263"/>
      <c r="AAF4" s="263"/>
      <c r="AAG4" s="263"/>
      <c r="AAH4" s="263"/>
      <c r="AAI4" s="263"/>
      <c r="AAJ4" s="263"/>
      <c r="AAK4" s="263"/>
      <c r="AAL4" s="263"/>
      <c r="AAM4" s="263"/>
      <c r="AAN4" s="263"/>
      <c r="AAO4" s="263"/>
      <c r="AAP4" s="263"/>
      <c r="AAQ4" s="263"/>
      <c r="AAR4" s="263"/>
      <c r="AAS4" s="263"/>
      <c r="AAT4" s="263"/>
      <c r="AAU4" s="263"/>
      <c r="AAV4" s="263"/>
      <c r="AAW4" s="263"/>
      <c r="AAX4" s="263"/>
      <c r="AAY4" s="263"/>
      <c r="AAZ4" s="263"/>
      <c r="ABA4" s="263"/>
      <c r="ABB4" s="263"/>
      <c r="ABC4" s="263"/>
      <c r="ABD4" s="263"/>
      <c r="ABE4" s="263"/>
      <c r="ABF4" s="263"/>
      <c r="ABG4" s="263"/>
      <c r="ABH4" s="263"/>
      <c r="ABI4" s="263"/>
      <c r="ABJ4" s="263"/>
      <c r="ABK4" s="263"/>
      <c r="ABL4" s="263"/>
      <c r="ABM4" s="263"/>
      <c r="ABN4" s="263"/>
      <c r="ABO4" s="263"/>
      <c r="ABP4" s="263"/>
      <c r="ABQ4" s="263"/>
      <c r="ABR4" s="263"/>
      <c r="ABS4" s="263"/>
      <c r="ABT4" s="263"/>
      <c r="ABU4" s="263"/>
      <c r="ABV4" s="263"/>
      <c r="ABW4" s="263"/>
      <c r="ABX4" s="263"/>
      <c r="ABY4" s="263"/>
      <c r="ABZ4" s="263"/>
      <c r="ACA4" s="263"/>
      <c r="ACB4" s="263"/>
      <c r="ACC4" s="263"/>
      <c r="ACD4" s="263"/>
      <c r="ACE4" s="263"/>
      <c r="ACF4" s="263"/>
      <c r="ACG4" s="263"/>
      <c r="ACH4" s="263"/>
      <c r="ACI4" s="263"/>
      <c r="ACJ4" s="263"/>
      <c r="ACK4" s="263"/>
      <c r="ACL4" s="263"/>
      <c r="ACM4" s="263"/>
      <c r="ACN4" s="263"/>
      <c r="ACO4" s="263"/>
      <c r="ACP4" s="263"/>
      <c r="ACQ4" s="263"/>
      <c r="ACR4" s="263"/>
      <c r="ACS4" s="263"/>
      <c r="ACT4" s="263"/>
      <c r="ACU4" s="263"/>
      <c r="ACV4" s="263"/>
      <c r="ACW4" s="263"/>
      <c r="ACX4" s="263"/>
      <c r="ACY4" s="263"/>
      <c r="ACZ4" s="263"/>
      <c r="ADA4" s="263"/>
      <c r="ADB4" s="263"/>
      <c r="ADC4" s="263"/>
      <c r="ADD4" s="263"/>
      <c r="ADE4" s="263"/>
      <c r="ADF4" s="263"/>
      <c r="ADG4" s="263"/>
      <c r="ADH4" s="263"/>
      <c r="ADI4" s="263"/>
      <c r="ADJ4" s="263"/>
      <c r="ADK4" s="263"/>
      <c r="ADL4" s="263"/>
      <c r="ADM4" s="263"/>
      <c r="ADN4" s="263"/>
      <c r="ADO4" s="263"/>
      <c r="ADP4" s="263"/>
      <c r="ADQ4" s="263"/>
      <c r="ADR4" s="263"/>
      <c r="ADS4" s="263"/>
      <c r="ADT4" s="263"/>
      <c r="ADU4" s="263"/>
      <c r="ADV4" s="263"/>
      <c r="ADW4" s="263"/>
      <c r="ADX4" s="263"/>
      <c r="ADY4" s="263"/>
      <c r="ADZ4" s="263"/>
      <c r="AEA4" s="263"/>
      <c r="AEB4" s="263"/>
      <c r="AEC4" s="263"/>
      <c r="AED4" s="263"/>
      <c r="AEE4" s="263"/>
      <c r="AEF4" s="263"/>
      <c r="AEG4" s="263"/>
      <c r="AEH4" s="263"/>
      <c r="AEI4" s="263"/>
      <c r="AEJ4" s="263"/>
      <c r="AEK4" s="263"/>
      <c r="AEL4" s="263"/>
      <c r="AEM4" s="263"/>
      <c r="AEN4" s="263"/>
      <c r="AEO4" s="263"/>
      <c r="AEP4" s="263"/>
      <c r="AEQ4" s="263"/>
      <c r="AER4" s="263"/>
      <c r="AES4" s="263"/>
      <c r="AET4" s="263"/>
      <c r="AEU4" s="263"/>
      <c r="AEV4" s="263"/>
      <c r="AEW4" s="263"/>
      <c r="AEX4" s="263"/>
      <c r="AEY4" s="263"/>
      <c r="AEZ4" s="263"/>
      <c r="AFA4" s="263"/>
      <c r="AFB4" s="263"/>
      <c r="AFC4" s="263"/>
      <c r="AFD4" s="263"/>
      <c r="AFE4" s="263"/>
      <c r="AFF4" s="263"/>
      <c r="AFG4" s="263"/>
      <c r="AFH4" s="263"/>
      <c r="AFI4" s="263"/>
      <c r="AFJ4" s="263"/>
      <c r="AFK4" s="263"/>
      <c r="AFL4" s="263"/>
      <c r="AFM4" s="263"/>
      <c r="AFN4" s="263"/>
      <c r="AFO4" s="263"/>
      <c r="AFP4" s="263"/>
      <c r="AFQ4" s="263"/>
      <c r="AFR4" s="263"/>
      <c r="AFS4" s="263"/>
      <c r="AFT4" s="263"/>
      <c r="AFU4" s="263"/>
      <c r="AFV4" s="263"/>
      <c r="AFW4" s="263"/>
      <c r="AFX4" s="263"/>
      <c r="AFY4" s="263"/>
      <c r="AFZ4" s="263"/>
      <c r="AGA4" s="263"/>
      <c r="AGB4" s="263"/>
      <c r="AGC4" s="263"/>
      <c r="AGD4" s="263"/>
      <c r="AGE4" s="263"/>
      <c r="AGF4" s="263"/>
      <c r="AGG4" s="263"/>
      <c r="AGH4" s="263"/>
      <c r="AGI4" s="263"/>
      <c r="AGJ4" s="263"/>
      <c r="AGK4" s="263"/>
      <c r="AGL4" s="263"/>
      <c r="AGM4" s="263"/>
      <c r="AGN4" s="263"/>
      <c r="AGO4" s="263"/>
      <c r="AGP4" s="263"/>
      <c r="AGQ4" s="263"/>
      <c r="AGR4" s="263"/>
      <c r="AGS4" s="263"/>
      <c r="AGT4" s="263"/>
      <c r="AGU4" s="263"/>
      <c r="AGV4" s="263"/>
      <c r="AGW4" s="263"/>
      <c r="AGX4" s="263"/>
      <c r="AGY4" s="263"/>
      <c r="AGZ4" s="263"/>
      <c r="AHA4" s="263"/>
      <c r="AHB4" s="263"/>
      <c r="AHC4" s="263"/>
      <c r="AHD4" s="263"/>
      <c r="AHE4" s="263"/>
      <c r="AHF4" s="263"/>
      <c r="AHG4" s="263"/>
      <c r="AHH4" s="263"/>
      <c r="AHI4" s="263"/>
      <c r="AHJ4" s="263"/>
      <c r="AHK4" s="263"/>
      <c r="AHL4" s="263"/>
      <c r="AHM4" s="263"/>
      <c r="AHN4" s="263"/>
      <c r="AHO4" s="263"/>
      <c r="AHP4" s="263"/>
      <c r="AHQ4" s="263"/>
      <c r="AHR4" s="263"/>
      <c r="AHS4" s="263"/>
      <c r="AHT4" s="263"/>
      <c r="AHU4" s="263"/>
      <c r="AHV4" s="263"/>
      <c r="AHW4" s="263"/>
      <c r="AHX4" s="263"/>
      <c r="AHY4" s="263"/>
      <c r="AHZ4" s="263"/>
      <c r="AIA4" s="263"/>
      <c r="AIB4" s="263"/>
      <c r="AIC4" s="263"/>
      <c r="AID4" s="263"/>
      <c r="AIE4" s="263"/>
      <c r="AIF4" s="263"/>
      <c r="AIG4" s="263"/>
      <c r="AIH4" s="263"/>
      <c r="AII4" s="263"/>
      <c r="AIJ4" s="263"/>
      <c r="AIK4" s="263"/>
      <c r="AIL4" s="263"/>
      <c r="AIM4" s="263"/>
      <c r="AIN4" s="263"/>
      <c r="AIO4" s="263"/>
      <c r="AIP4" s="263"/>
      <c r="AIQ4" s="263"/>
      <c r="AIR4" s="263"/>
      <c r="AIS4" s="263"/>
      <c r="AIT4" s="263"/>
      <c r="AIU4" s="263"/>
      <c r="AIV4" s="263"/>
      <c r="AIW4" s="263"/>
      <c r="AIX4" s="263"/>
      <c r="AIY4" s="263"/>
      <c r="AIZ4" s="263"/>
      <c r="AJA4" s="263"/>
      <c r="AJB4" s="263"/>
      <c r="AJC4" s="263"/>
      <c r="AJD4" s="263"/>
      <c r="AJE4" s="263"/>
      <c r="AJF4" s="263"/>
      <c r="AJG4" s="263"/>
      <c r="AJH4" s="263"/>
      <c r="AJI4" s="263"/>
      <c r="AJJ4" s="263"/>
      <c r="AJK4" s="263"/>
      <c r="AJL4" s="263"/>
      <c r="AJM4" s="263"/>
      <c r="AJN4" s="263"/>
      <c r="AJO4" s="263"/>
      <c r="AJP4" s="263"/>
      <c r="AJQ4" s="263"/>
      <c r="AJR4" s="263"/>
      <c r="AJS4" s="263"/>
      <c r="AJT4" s="263"/>
      <c r="AJU4" s="263"/>
      <c r="AJV4" s="263"/>
      <c r="AJW4" s="263"/>
      <c r="AJX4" s="263"/>
      <c r="AJY4" s="263"/>
      <c r="AJZ4" s="263"/>
      <c r="AKA4" s="263"/>
      <c r="AKB4" s="263"/>
      <c r="AKC4" s="263"/>
      <c r="AKD4" s="263"/>
      <c r="AKE4" s="263"/>
      <c r="AKF4" s="263"/>
      <c r="AKG4" s="263"/>
      <c r="AKH4" s="263"/>
      <c r="AKI4" s="263"/>
      <c r="AKJ4" s="263"/>
      <c r="AKK4" s="263"/>
      <c r="AKL4" s="263"/>
      <c r="AKM4" s="263"/>
      <c r="AKN4" s="263"/>
      <c r="AKO4" s="263"/>
    </row>
    <row r="5" spans="1:978" s="521" customFormat="1" ht="30" x14ac:dyDescent="0.25">
      <c r="A5" s="808" t="s">
        <v>13</v>
      </c>
      <c r="B5" s="803"/>
      <c r="C5" s="804"/>
      <c r="D5" s="522" t="s">
        <v>14</v>
      </c>
      <c r="E5" s="808" t="s">
        <v>15</v>
      </c>
      <c r="F5" s="804"/>
      <c r="G5" s="808" t="s">
        <v>16</v>
      </c>
      <c r="H5" s="803"/>
      <c r="I5" s="804"/>
      <c r="J5" s="810" t="s">
        <v>17</v>
      </c>
      <c r="K5" s="810" t="s">
        <v>18</v>
      </c>
      <c r="L5" s="812"/>
      <c r="M5" s="813"/>
      <c r="N5" s="813"/>
      <c r="O5" s="813"/>
      <c r="P5" s="814"/>
      <c r="Q5" s="812"/>
      <c r="R5" s="813"/>
      <c r="S5" s="813"/>
      <c r="T5" s="813"/>
      <c r="U5" s="814"/>
      <c r="V5" s="876"/>
      <c r="W5" s="877"/>
      <c r="X5" s="826"/>
      <c r="Y5" s="808" t="s">
        <v>534</v>
      </c>
      <c r="Z5" s="803"/>
      <c r="AA5" s="803"/>
      <c r="AB5" s="809"/>
      <c r="AC5" s="802" t="s">
        <v>535</v>
      </c>
      <c r="AD5" s="803"/>
      <c r="AE5" s="803"/>
      <c r="AF5" s="804"/>
      <c r="AG5" s="808" t="s">
        <v>536</v>
      </c>
      <c r="AH5" s="803"/>
      <c r="AI5" s="803"/>
      <c r="AJ5" s="809"/>
      <c r="AK5" s="802" t="s">
        <v>537</v>
      </c>
      <c r="AL5" s="803"/>
      <c r="AM5" s="803"/>
      <c r="AN5" s="803"/>
      <c r="AO5" s="872" t="s">
        <v>538</v>
      </c>
      <c r="AP5" s="872"/>
      <c r="AQ5" s="872"/>
      <c r="AR5" s="872"/>
      <c r="AS5" s="872" t="s">
        <v>539</v>
      </c>
      <c r="AT5" s="872"/>
      <c r="AU5" s="872"/>
      <c r="AV5" s="872"/>
      <c r="AW5" s="872" t="s">
        <v>986</v>
      </c>
      <c r="AX5" s="872"/>
      <c r="AY5" s="872"/>
      <c r="AZ5" s="872"/>
      <c r="BA5" s="872" t="s">
        <v>987</v>
      </c>
      <c r="BB5" s="872"/>
      <c r="BC5" s="872"/>
      <c r="BD5" s="872"/>
      <c r="BE5" s="872" t="s">
        <v>988</v>
      </c>
      <c r="BF5" s="872"/>
      <c r="BG5" s="872"/>
      <c r="BH5" s="872"/>
      <c r="BI5" s="872" t="s">
        <v>989</v>
      </c>
      <c r="BJ5" s="872"/>
      <c r="BK5" s="872"/>
      <c r="BL5" s="872"/>
      <c r="BM5" s="872" t="s">
        <v>990</v>
      </c>
      <c r="BN5" s="872"/>
      <c r="BO5" s="872"/>
      <c r="BP5" s="872"/>
      <c r="BQ5" s="872" t="s">
        <v>990</v>
      </c>
      <c r="BR5" s="872"/>
      <c r="BS5" s="872"/>
      <c r="BT5" s="872"/>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c r="DM5" s="263"/>
      <c r="DN5" s="263"/>
      <c r="DO5" s="263"/>
      <c r="DP5" s="263"/>
      <c r="DQ5" s="263"/>
      <c r="DR5" s="263"/>
      <c r="DS5" s="263"/>
      <c r="DT5" s="263"/>
      <c r="DU5" s="263"/>
      <c r="DV5" s="263"/>
      <c r="DW5" s="263"/>
      <c r="DX5" s="263"/>
      <c r="DY5" s="263"/>
      <c r="DZ5" s="263"/>
      <c r="EA5" s="263"/>
      <c r="EB5" s="263"/>
      <c r="EC5" s="263"/>
      <c r="ED5" s="263"/>
      <c r="EE5" s="263"/>
      <c r="EF5" s="263"/>
      <c r="EG5" s="263"/>
      <c r="EH5" s="263"/>
      <c r="EI5" s="263"/>
      <c r="EJ5" s="263"/>
      <c r="EK5" s="263"/>
      <c r="EL5" s="263"/>
      <c r="EM5" s="263"/>
      <c r="EN5" s="263"/>
      <c r="EO5" s="263"/>
      <c r="EP5" s="263"/>
      <c r="EQ5" s="263"/>
      <c r="ER5" s="263"/>
      <c r="ES5" s="263"/>
      <c r="ET5" s="263"/>
      <c r="EU5" s="263"/>
      <c r="EV5" s="263"/>
      <c r="EW5" s="263"/>
      <c r="EX5" s="263"/>
      <c r="EY5" s="263"/>
      <c r="EZ5" s="263"/>
      <c r="FA5" s="263"/>
      <c r="FB5" s="263"/>
      <c r="FC5" s="263"/>
      <c r="FD5" s="263"/>
      <c r="FE5" s="263"/>
      <c r="FF5" s="263"/>
      <c r="FG5" s="263"/>
      <c r="FH5" s="263"/>
      <c r="FI5" s="263"/>
      <c r="FJ5" s="263"/>
      <c r="FK5" s="263"/>
      <c r="FL5" s="263"/>
      <c r="FM5" s="263"/>
      <c r="FN5" s="263"/>
      <c r="FO5" s="263"/>
      <c r="FP5" s="263"/>
      <c r="FQ5" s="263"/>
      <c r="FR5" s="263"/>
      <c r="FS5" s="263"/>
      <c r="FT5" s="263"/>
      <c r="FU5" s="263"/>
      <c r="FV5" s="263"/>
      <c r="FW5" s="263"/>
      <c r="FX5" s="263"/>
      <c r="FY5" s="263"/>
      <c r="FZ5" s="263"/>
      <c r="GA5" s="263"/>
      <c r="GB5" s="263"/>
      <c r="GC5" s="263"/>
      <c r="GD5" s="263"/>
      <c r="GE5" s="263"/>
      <c r="GF5" s="263"/>
      <c r="GG5" s="263"/>
      <c r="GH5" s="263"/>
      <c r="GI5" s="263"/>
      <c r="GJ5" s="263"/>
      <c r="GK5" s="263"/>
      <c r="GL5" s="263"/>
      <c r="GM5" s="263"/>
      <c r="GN5" s="263"/>
      <c r="GO5" s="263"/>
      <c r="GP5" s="263"/>
      <c r="GQ5" s="263"/>
      <c r="GR5" s="263"/>
      <c r="GS5" s="263"/>
      <c r="GT5" s="263"/>
      <c r="GU5" s="263"/>
      <c r="GV5" s="263"/>
      <c r="GW5" s="263"/>
      <c r="GX5" s="263"/>
      <c r="GY5" s="263"/>
      <c r="GZ5" s="263"/>
      <c r="HA5" s="263"/>
      <c r="HB5" s="263"/>
      <c r="HC5" s="263"/>
      <c r="HD5" s="263"/>
      <c r="HE5" s="263"/>
      <c r="HF5" s="263"/>
      <c r="HG5" s="263"/>
      <c r="HH5" s="263"/>
      <c r="HI5" s="263"/>
      <c r="HJ5" s="263"/>
      <c r="HK5" s="263"/>
      <c r="HL5" s="263"/>
      <c r="HM5" s="263"/>
      <c r="HN5" s="263"/>
      <c r="HO5" s="263"/>
      <c r="HP5" s="263"/>
      <c r="HQ5" s="263"/>
      <c r="HR5" s="263"/>
      <c r="HS5" s="263"/>
      <c r="HT5" s="263"/>
      <c r="HU5" s="263"/>
      <c r="HV5" s="263"/>
      <c r="HW5" s="263"/>
      <c r="HX5" s="263"/>
      <c r="HY5" s="263"/>
      <c r="HZ5" s="263"/>
      <c r="IA5" s="263"/>
      <c r="IB5" s="263"/>
      <c r="IC5" s="263"/>
      <c r="ID5" s="263"/>
      <c r="IE5" s="263"/>
      <c r="IF5" s="263"/>
      <c r="IG5" s="263"/>
      <c r="IH5" s="263"/>
      <c r="II5" s="263"/>
      <c r="IJ5" s="263"/>
      <c r="IK5" s="263"/>
      <c r="IL5" s="263"/>
      <c r="IM5" s="263"/>
      <c r="IN5" s="263"/>
      <c r="IO5" s="263"/>
      <c r="IP5" s="263"/>
      <c r="IQ5" s="263"/>
      <c r="IR5" s="263"/>
      <c r="IS5" s="263"/>
      <c r="IT5" s="263"/>
      <c r="IU5" s="263"/>
      <c r="IV5" s="263"/>
      <c r="IW5" s="263"/>
      <c r="IX5" s="263"/>
      <c r="IY5" s="263"/>
      <c r="IZ5" s="263"/>
      <c r="JA5" s="263"/>
      <c r="JB5" s="263"/>
      <c r="JC5" s="263"/>
      <c r="JD5" s="263"/>
      <c r="JE5" s="263"/>
      <c r="JF5" s="263"/>
      <c r="JG5" s="263"/>
      <c r="JH5" s="263"/>
      <c r="JI5" s="263"/>
      <c r="JJ5" s="263"/>
      <c r="JK5" s="263"/>
      <c r="JL5" s="263"/>
      <c r="JM5" s="263"/>
      <c r="JN5" s="263"/>
      <c r="JO5" s="263"/>
      <c r="JP5" s="263"/>
      <c r="JQ5" s="263"/>
      <c r="JR5" s="263"/>
      <c r="JS5" s="263"/>
      <c r="JT5" s="263"/>
      <c r="JU5" s="263"/>
      <c r="JV5" s="263"/>
      <c r="JW5" s="263"/>
      <c r="JX5" s="263"/>
      <c r="JY5" s="263"/>
      <c r="JZ5" s="263"/>
      <c r="KA5" s="263"/>
      <c r="KB5" s="263"/>
      <c r="KC5" s="263"/>
      <c r="KD5" s="263"/>
      <c r="KE5" s="263"/>
      <c r="KF5" s="263"/>
      <c r="KG5" s="263"/>
      <c r="KH5" s="263"/>
      <c r="KI5" s="263"/>
      <c r="KJ5" s="263"/>
      <c r="KK5" s="263"/>
      <c r="KL5" s="263"/>
      <c r="KM5" s="263"/>
      <c r="KN5" s="263"/>
      <c r="KO5" s="263"/>
      <c r="KP5" s="263"/>
      <c r="KQ5" s="263"/>
      <c r="KR5" s="263"/>
      <c r="KS5" s="263"/>
      <c r="KT5" s="263"/>
      <c r="KU5" s="263"/>
      <c r="KV5" s="263"/>
      <c r="KW5" s="263"/>
      <c r="KX5" s="263"/>
      <c r="KY5" s="263"/>
      <c r="KZ5" s="263"/>
      <c r="LA5" s="263"/>
      <c r="LB5" s="263"/>
      <c r="LC5" s="263"/>
      <c r="LD5" s="263"/>
      <c r="LE5" s="263"/>
      <c r="LF5" s="263"/>
      <c r="LG5" s="263"/>
      <c r="LH5" s="263"/>
      <c r="LI5" s="263"/>
      <c r="LJ5" s="263"/>
      <c r="LK5" s="263"/>
      <c r="LL5" s="263"/>
      <c r="LM5" s="263"/>
      <c r="LN5" s="263"/>
      <c r="LO5" s="263"/>
      <c r="LP5" s="263"/>
      <c r="LQ5" s="263"/>
      <c r="LR5" s="263"/>
      <c r="LS5" s="263"/>
      <c r="LT5" s="263"/>
      <c r="LU5" s="263"/>
      <c r="LV5" s="263"/>
      <c r="LW5" s="263"/>
      <c r="LX5" s="263"/>
      <c r="LY5" s="263"/>
      <c r="LZ5" s="263"/>
      <c r="MA5" s="263"/>
      <c r="MB5" s="263"/>
      <c r="MC5" s="263"/>
      <c r="MD5" s="263"/>
      <c r="ME5" s="263"/>
      <c r="MF5" s="263"/>
      <c r="MG5" s="263"/>
      <c r="MH5" s="263"/>
      <c r="MI5" s="263"/>
      <c r="MJ5" s="263"/>
      <c r="MK5" s="263"/>
      <c r="ML5" s="263"/>
      <c r="MM5" s="263"/>
      <c r="MN5" s="263"/>
      <c r="MO5" s="263"/>
      <c r="MP5" s="263"/>
      <c r="MQ5" s="263"/>
      <c r="MR5" s="263"/>
      <c r="MS5" s="263"/>
      <c r="MT5" s="263"/>
      <c r="MU5" s="263"/>
      <c r="MV5" s="263"/>
      <c r="MW5" s="263"/>
      <c r="MX5" s="263"/>
      <c r="MY5" s="263"/>
      <c r="MZ5" s="263"/>
      <c r="NA5" s="263"/>
      <c r="NB5" s="263"/>
      <c r="NC5" s="263"/>
      <c r="ND5" s="263"/>
      <c r="NE5" s="263"/>
      <c r="NF5" s="263"/>
      <c r="NG5" s="263"/>
      <c r="NH5" s="263"/>
      <c r="NI5" s="263"/>
      <c r="NJ5" s="263"/>
      <c r="NK5" s="263"/>
      <c r="NL5" s="263"/>
      <c r="NM5" s="263"/>
      <c r="NN5" s="263"/>
      <c r="NO5" s="263"/>
      <c r="NP5" s="263"/>
      <c r="NQ5" s="263"/>
      <c r="NR5" s="263"/>
      <c r="NS5" s="263"/>
      <c r="NT5" s="263"/>
      <c r="NU5" s="263"/>
      <c r="NV5" s="263"/>
      <c r="NW5" s="263"/>
      <c r="NX5" s="263"/>
      <c r="NY5" s="263"/>
      <c r="NZ5" s="263"/>
      <c r="OA5" s="263"/>
      <c r="OB5" s="263"/>
      <c r="OC5" s="263"/>
      <c r="OD5" s="263"/>
      <c r="OE5" s="263"/>
      <c r="OF5" s="263"/>
      <c r="OG5" s="263"/>
      <c r="OH5" s="263"/>
      <c r="OI5" s="263"/>
      <c r="OJ5" s="263"/>
      <c r="OK5" s="263"/>
      <c r="OL5" s="263"/>
      <c r="OM5" s="263"/>
      <c r="ON5" s="263"/>
      <c r="OO5" s="263"/>
      <c r="OP5" s="263"/>
      <c r="OQ5" s="263"/>
      <c r="OR5" s="263"/>
      <c r="OS5" s="263"/>
      <c r="OT5" s="263"/>
      <c r="OU5" s="263"/>
      <c r="OV5" s="263"/>
      <c r="OW5" s="263"/>
      <c r="OX5" s="263"/>
      <c r="OY5" s="263"/>
      <c r="OZ5" s="263"/>
      <c r="PA5" s="263"/>
      <c r="PB5" s="263"/>
      <c r="PC5" s="263"/>
      <c r="PD5" s="263"/>
      <c r="PE5" s="263"/>
      <c r="PF5" s="263"/>
      <c r="PG5" s="263"/>
      <c r="PH5" s="263"/>
      <c r="PI5" s="263"/>
      <c r="PJ5" s="263"/>
      <c r="PK5" s="263"/>
      <c r="PL5" s="263"/>
      <c r="PM5" s="263"/>
      <c r="PN5" s="263"/>
      <c r="PO5" s="263"/>
      <c r="PP5" s="263"/>
      <c r="PQ5" s="263"/>
      <c r="PR5" s="263"/>
      <c r="PS5" s="263"/>
      <c r="PT5" s="263"/>
      <c r="PU5" s="263"/>
      <c r="PV5" s="263"/>
      <c r="PW5" s="263"/>
      <c r="PX5" s="263"/>
      <c r="PY5" s="263"/>
      <c r="PZ5" s="263"/>
      <c r="QA5" s="263"/>
      <c r="QB5" s="263"/>
      <c r="QC5" s="263"/>
      <c r="QD5" s="263"/>
      <c r="QE5" s="263"/>
      <c r="QF5" s="263"/>
      <c r="QG5" s="263"/>
      <c r="QH5" s="263"/>
      <c r="QI5" s="263"/>
      <c r="QJ5" s="263"/>
      <c r="QK5" s="263"/>
      <c r="QL5" s="263"/>
      <c r="QM5" s="263"/>
      <c r="QN5" s="263"/>
      <c r="QO5" s="263"/>
      <c r="QP5" s="263"/>
      <c r="QQ5" s="263"/>
      <c r="QR5" s="263"/>
      <c r="QS5" s="263"/>
      <c r="QT5" s="263"/>
      <c r="QU5" s="263"/>
      <c r="QV5" s="263"/>
      <c r="QW5" s="263"/>
      <c r="QX5" s="263"/>
      <c r="QY5" s="263"/>
      <c r="QZ5" s="263"/>
      <c r="RA5" s="263"/>
      <c r="RB5" s="263"/>
      <c r="RC5" s="263"/>
      <c r="RD5" s="263"/>
      <c r="RE5" s="263"/>
      <c r="RF5" s="263"/>
      <c r="RG5" s="263"/>
      <c r="RH5" s="263"/>
      <c r="RI5" s="263"/>
      <c r="RJ5" s="263"/>
      <c r="RK5" s="263"/>
      <c r="RL5" s="263"/>
      <c r="RM5" s="263"/>
      <c r="RN5" s="263"/>
      <c r="RO5" s="263"/>
      <c r="RP5" s="263"/>
      <c r="RQ5" s="263"/>
      <c r="RR5" s="263"/>
      <c r="RS5" s="263"/>
      <c r="RT5" s="263"/>
      <c r="RU5" s="263"/>
      <c r="RV5" s="263"/>
      <c r="RW5" s="263"/>
      <c r="RX5" s="263"/>
      <c r="RY5" s="263"/>
      <c r="RZ5" s="263"/>
      <c r="SA5" s="263"/>
      <c r="SB5" s="263"/>
      <c r="SC5" s="263"/>
      <c r="SD5" s="263"/>
      <c r="SE5" s="263"/>
      <c r="SF5" s="263"/>
      <c r="SG5" s="263"/>
      <c r="SH5" s="263"/>
      <c r="SI5" s="263"/>
      <c r="SJ5" s="263"/>
      <c r="SK5" s="263"/>
      <c r="SL5" s="263"/>
      <c r="SM5" s="263"/>
      <c r="SN5" s="263"/>
      <c r="SO5" s="263"/>
      <c r="SP5" s="263"/>
      <c r="SQ5" s="263"/>
      <c r="SR5" s="263"/>
      <c r="SS5" s="263"/>
      <c r="ST5" s="263"/>
      <c r="SU5" s="263"/>
      <c r="SV5" s="263"/>
      <c r="SW5" s="263"/>
      <c r="SX5" s="263"/>
      <c r="SY5" s="263"/>
      <c r="SZ5" s="263"/>
      <c r="TA5" s="263"/>
      <c r="TB5" s="263"/>
      <c r="TC5" s="263"/>
      <c r="TD5" s="263"/>
      <c r="TE5" s="263"/>
      <c r="TF5" s="263"/>
      <c r="TG5" s="263"/>
      <c r="TH5" s="263"/>
      <c r="TI5" s="263"/>
      <c r="TJ5" s="263"/>
      <c r="TK5" s="263"/>
      <c r="TL5" s="263"/>
      <c r="TM5" s="263"/>
      <c r="TN5" s="263"/>
      <c r="TO5" s="263"/>
      <c r="TP5" s="263"/>
      <c r="TQ5" s="263"/>
      <c r="TR5" s="263"/>
      <c r="TS5" s="263"/>
      <c r="TT5" s="263"/>
      <c r="TU5" s="263"/>
      <c r="TV5" s="263"/>
      <c r="TW5" s="263"/>
      <c r="TX5" s="263"/>
      <c r="TY5" s="263"/>
      <c r="TZ5" s="263"/>
      <c r="UA5" s="263"/>
      <c r="UB5" s="263"/>
      <c r="UC5" s="263"/>
      <c r="UD5" s="263"/>
      <c r="UE5" s="263"/>
      <c r="UF5" s="263"/>
      <c r="UG5" s="263"/>
      <c r="UH5" s="263"/>
      <c r="UI5" s="263"/>
      <c r="UJ5" s="263"/>
      <c r="UK5" s="263"/>
      <c r="UL5" s="263"/>
      <c r="UM5" s="263"/>
      <c r="UN5" s="263"/>
      <c r="UO5" s="263"/>
      <c r="UP5" s="263"/>
      <c r="UQ5" s="263"/>
      <c r="UR5" s="263"/>
      <c r="US5" s="263"/>
      <c r="UT5" s="263"/>
      <c r="UU5" s="263"/>
      <c r="UV5" s="263"/>
      <c r="UW5" s="263"/>
      <c r="UX5" s="263"/>
      <c r="UY5" s="263"/>
      <c r="UZ5" s="263"/>
      <c r="VA5" s="263"/>
      <c r="VB5" s="263"/>
      <c r="VC5" s="263"/>
      <c r="VD5" s="263"/>
      <c r="VE5" s="263"/>
      <c r="VF5" s="263"/>
      <c r="VG5" s="263"/>
      <c r="VH5" s="263"/>
      <c r="VI5" s="263"/>
      <c r="VJ5" s="263"/>
      <c r="VK5" s="263"/>
      <c r="VL5" s="263"/>
      <c r="VM5" s="263"/>
      <c r="VN5" s="263"/>
      <c r="VO5" s="263"/>
      <c r="VP5" s="263"/>
      <c r="VQ5" s="263"/>
      <c r="VR5" s="263"/>
      <c r="VS5" s="263"/>
      <c r="VT5" s="263"/>
      <c r="VU5" s="263"/>
      <c r="VV5" s="263"/>
      <c r="VW5" s="263"/>
      <c r="VX5" s="263"/>
      <c r="VY5" s="263"/>
      <c r="VZ5" s="263"/>
      <c r="WA5" s="263"/>
      <c r="WB5" s="263"/>
      <c r="WC5" s="263"/>
      <c r="WD5" s="263"/>
      <c r="WE5" s="263"/>
      <c r="WF5" s="263"/>
      <c r="WG5" s="263"/>
      <c r="WH5" s="263"/>
      <c r="WI5" s="263"/>
      <c r="WJ5" s="263"/>
      <c r="WK5" s="263"/>
      <c r="WL5" s="263"/>
      <c r="WM5" s="263"/>
      <c r="WN5" s="263"/>
      <c r="WO5" s="263"/>
      <c r="WP5" s="263"/>
      <c r="WQ5" s="263"/>
      <c r="WR5" s="263"/>
      <c r="WS5" s="263"/>
      <c r="WT5" s="263"/>
      <c r="WU5" s="263"/>
      <c r="WV5" s="263"/>
      <c r="WW5" s="263"/>
      <c r="WX5" s="263"/>
      <c r="WY5" s="263"/>
      <c r="WZ5" s="263"/>
      <c r="XA5" s="263"/>
      <c r="XB5" s="263"/>
      <c r="XC5" s="263"/>
      <c r="XD5" s="263"/>
      <c r="XE5" s="263"/>
      <c r="XF5" s="263"/>
      <c r="XG5" s="263"/>
      <c r="XH5" s="263"/>
      <c r="XI5" s="263"/>
      <c r="XJ5" s="263"/>
      <c r="XK5" s="263"/>
      <c r="XL5" s="263"/>
      <c r="XM5" s="263"/>
      <c r="XN5" s="263"/>
      <c r="XO5" s="263"/>
      <c r="XP5" s="263"/>
      <c r="XQ5" s="263"/>
      <c r="XR5" s="263"/>
      <c r="XS5" s="263"/>
      <c r="XT5" s="263"/>
      <c r="XU5" s="263"/>
      <c r="XV5" s="263"/>
      <c r="XW5" s="263"/>
      <c r="XX5" s="263"/>
      <c r="XY5" s="263"/>
      <c r="XZ5" s="263"/>
      <c r="YA5" s="263"/>
      <c r="YB5" s="263"/>
      <c r="YC5" s="263"/>
      <c r="YD5" s="263"/>
      <c r="YE5" s="263"/>
      <c r="YF5" s="263"/>
      <c r="YG5" s="263"/>
      <c r="YH5" s="263"/>
      <c r="YI5" s="263"/>
      <c r="YJ5" s="263"/>
      <c r="YK5" s="263"/>
      <c r="YL5" s="263"/>
      <c r="YM5" s="263"/>
      <c r="YN5" s="263"/>
      <c r="YO5" s="263"/>
      <c r="YP5" s="263"/>
      <c r="YQ5" s="263"/>
      <c r="YR5" s="263"/>
      <c r="YS5" s="263"/>
      <c r="YT5" s="263"/>
      <c r="YU5" s="263"/>
      <c r="YV5" s="263"/>
      <c r="YW5" s="263"/>
      <c r="YX5" s="263"/>
      <c r="YY5" s="263"/>
      <c r="YZ5" s="263"/>
      <c r="ZA5" s="263"/>
      <c r="ZB5" s="263"/>
      <c r="ZC5" s="263"/>
      <c r="ZD5" s="263"/>
      <c r="ZE5" s="263"/>
      <c r="ZF5" s="263"/>
      <c r="ZG5" s="263"/>
      <c r="ZH5" s="263"/>
      <c r="ZI5" s="263"/>
      <c r="ZJ5" s="263"/>
      <c r="ZK5" s="263"/>
      <c r="ZL5" s="263"/>
      <c r="ZM5" s="263"/>
      <c r="ZN5" s="263"/>
      <c r="ZO5" s="263"/>
      <c r="ZP5" s="263"/>
      <c r="ZQ5" s="263"/>
      <c r="ZR5" s="263"/>
      <c r="ZS5" s="263"/>
      <c r="ZT5" s="263"/>
      <c r="ZU5" s="263"/>
      <c r="ZV5" s="263"/>
      <c r="ZW5" s="263"/>
      <c r="ZX5" s="263"/>
      <c r="ZY5" s="263"/>
      <c r="ZZ5" s="263"/>
      <c r="AAA5" s="263"/>
      <c r="AAB5" s="263"/>
      <c r="AAC5" s="263"/>
      <c r="AAD5" s="263"/>
      <c r="AAE5" s="263"/>
      <c r="AAF5" s="263"/>
      <c r="AAG5" s="263"/>
      <c r="AAH5" s="263"/>
      <c r="AAI5" s="263"/>
      <c r="AAJ5" s="263"/>
      <c r="AAK5" s="263"/>
      <c r="AAL5" s="263"/>
      <c r="AAM5" s="263"/>
      <c r="AAN5" s="263"/>
      <c r="AAO5" s="263"/>
      <c r="AAP5" s="263"/>
      <c r="AAQ5" s="263"/>
      <c r="AAR5" s="263"/>
      <c r="AAS5" s="263"/>
      <c r="AAT5" s="263"/>
      <c r="AAU5" s="263"/>
      <c r="AAV5" s="263"/>
      <c r="AAW5" s="263"/>
      <c r="AAX5" s="263"/>
      <c r="AAY5" s="263"/>
      <c r="AAZ5" s="263"/>
      <c r="ABA5" s="263"/>
      <c r="ABB5" s="263"/>
      <c r="ABC5" s="263"/>
      <c r="ABD5" s="263"/>
      <c r="ABE5" s="263"/>
      <c r="ABF5" s="263"/>
      <c r="ABG5" s="263"/>
      <c r="ABH5" s="263"/>
      <c r="ABI5" s="263"/>
      <c r="ABJ5" s="263"/>
      <c r="ABK5" s="263"/>
      <c r="ABL5" s="263"/>
      <c r="ABM5" s="263"/>
      <c r="ABN5" s="263"/>
      <c r="ABO5" s="263"/>
      <c r="ABP5" s="263"/>
      <c r="ABQ5" s="263"/>
      <c r="ABR5" s="263"/>
      <c r="ABS5" s="263"/>
      <c r="ABT5" s="263"/>
      <c r="ABU5" s="263"/>
      <c r="ABV5" s="263"/>
      <c r="ABW5" s="263"/>
      <c r="ABX5" s="263"/>
      <c r="ABY5" s="263"/>
      <c r="ABZ5" s="263"/>
      <c r="ACA5" s="263"/>
      <c r="ACB5" s="263"/>
      <c r="ACC5" s="263"/>
      <c r="ACD5" s="263"/>
      <c r="ACE5" s="263"/>
      <c r="ACF5" s="263"/>
      <c r="ACG5" s="263"/>
      <c r="ACH5" s="263"/>
      <c r="ACI5" s="263"/>
      <c r="ACJ5" s="263"/>
      <c r="ACK5" s="263"/>
      <c r="ACL5" s="263"/>
      <c r="ACM5" s="263"/>
      <c r="ACN5" s="263"/>
      <c r="ACO5" s="263"/>
      <c r="ACP5" s="263"/>
      <c r="ACQ5" s="263"/>
      <c r="ACR5" s="263"/>
      <c r="ACS5" s="263"/>
      <c r="ACT5" s="263"/>
      <c r="ACU5" s="263"/>
      <c r="ACV5" s="263"/>
      <c r="ACW5" s="263"/>
      <c r="ACX5" s="263"/>
      <c r="ACY5" s="263"/>
      <c r="ACZ5" s="263"/>
      <c r="ADA5" s="263"/>
      <c r="ADB5" s="263"/>
      <c r="ADC5" s="263"/>
      <c r="ADD5" s="263"/>
      <c r="ADE5" s="263"/>
      <c r="ADF5" s="263"/>
      <c r="ADG5" s="263"/>
      <c r="ADH5" s="263"/>
      <c r="ADI5" s="263"/>
      <c r="ADJ5" s="263"/>
      <c r="ADK5" s="263"/>
      <c r="ADL5" s="263"/>
      <c r="ADM5" s="263"/>
      <c r="ADN5" s="263"/>
      <c r="ADO5" s="263"/>
      <c r="ADP5" s="263"/>
      <c r="ADQ5" s="263"/>
      <c r="ADR5" s="263"/>
      <c r="ADS5" s="263"/>
      <c r="ADT5" s="263"/>
      <c r="ADU5" s="263"/>
      <c r="ADV5" s="263"/>
      <c r="ADW5" s="263"/>
      <c r="ADX5" s="263"/>
      <c r="ADY5" s="263"/>
      <c r="ADZ5" s="263"/>
      <c r="AEA5" s="263"/>
      <c r="AEB5" s="263"/>
      <c r="AEC5" s="263"/>
      <c r="AED5" s="263"/>
      <c r="AEE5" s="263"/>
      <c r="AEF5" s="263"/>
      <c r="AEG5" s="263"/>
      <c r="AEH5" s="263"/>
      <c r="AEI5" s="263"/>
      <c r="AEJ5" s="263"/>
      <c r="AEK5" s="263"/>
      <c r="AEL5" s="263"/>
      <c r="AEM5" s="263"/>
      <c r="AEN5" s="263"/>
      <c r="AEO5" s="263"/>
      <c r="AEP5" s="263"/>
      <c r="AEQ5" s="263"/>
      <c r="AER5" s="263"/>
      <c r="AES5" s="263"/>
      <c r="AET5" s="263"/>
      <c r="AEU5" s="263"/>
      <c r="AEV5" s="263"/>
      <c r="AEW5" s="263"/>
      <c r="AEX5" s="263"/>
      <c r="AEY5" s="263"/>
      <c r="AEZ5" s="263"/>
      <c r="AFA5" s="263"/>
      <c r="AFB5" s="263"/>
      <c r="AFC5" s="263"/>
      <c r="AFD5" s="263"/>
      <c r="AFE5" s="263"/>
      <c r="AFF5" s="263"/>
      <c r="AFG5" s="263"/>
      <c r="AFH5" s="263"/>
      <c r="AFI5" s="263"/>
      <c r="AFJ5" s="263"/>
      <c r="AFK5" s="263"/>
      <c r="AFL5" s="263"/>
      <c r="AFM5" s="263"/>
      <c r="AFN5" s="263"/>
      <c r="AFO5" s="263"/>
      <c r="AFP5" s="263"/>
      <c r="AFQ5" s="263"/>
      <c r="AFR5" s="263"/>
      <c r="AFS5" s="263"/>
      <c r="AFT5" s="263"/>
      <c r="AFU5" s="263"/>
      <c r="AFV5" s="263"/>
      <c r="AFW5" s="263"/>
      <c r="AFX5" s="263"/>
      <c r="AFY5" s="263"/>
      <c r="AFZ5" s="263"/>
      <c r="AGA5" s="263"/>
      <c r="AGB5" s="263"/>
      <c r="AGC5" s="263"/>
      <c r="AGD5" s="263"/>
      <c r="AGE5" s="263"/>
      <c r="AGF5" s="263"/>
      <c r="AGG5" s="263"/>
      <c r="AGH5" s="263"/>
      <c r="AGI5" s="263"/>
      <c r="AGJ5" s="263"/>
      <c r="AGK5" s="263"/>
      <c r="AGL5" s="263"/>
      <c r="AGM5" s="263"/>
      <c r="AGN5" s="263"/>
      <c r="AGO5" s="263"/>
      <c r="AGP5" s="263"/>
      <c r="AGQ5" s="263"/>
      <c r="AGR5" s="263"/>
      <c r="AGS5" s="263"/>
      <c r="AGT5" s="263"/>
      <c r="AGU5" s="263"/>
      <c r="AGV5" s="263"/>
      <c r="AGW5" s="263"/>
      <c r="AGX5" s="263"/>
      <c r="AGY5" s="263"/>
      <c r="AGZ5" s="263"/>
      <c r="AHA5" s="263"/>
      <c r="AHB5" s="263"/>
      <c r="AHC5" s="263"/>
      <c r="AHD5" s="263"/>
      <c r="AHE5" s="263"/>
      <c r="AHF5" s="263"/>
      <c r="AHG5" s="263"/>
      <c r="AHH5" s="263"/>
      <c r="AHI5" s="263"/>
      <c r="AHJ5" s="263"/>
      <c r="AHK5" s="263"/>
      <c r="AHL5" s="263"/>
      <c r="AHM5" s="263"/>
      <c r="AHN5" s="263"/>
      <c r="AHO5" s="263"/>
      <c r="AHP5" s="263"/>
      <c r="AHQ5" s="263"/>
      <c r="AHR5" s="263"/>
      <c r="AHS5" s="263"/>
      <c r="AHT5" s="263"/>
      <c r="AHU5" s="263"/>
      <c r="AHV5" s="263"/>
      <c r="AHW5" s="263"/>
      <c r="AHX5" s="263"/>
      <c r="AHY5" s="263"/>
      <c r="AHZ5" s="263"/>
      <c r="AIA5" s="263"/>
      <c r="AIB5" s="263"/>
      <c r="AIC5" s="263"/>
      <c r="AID5" s="263"/>
      <c r="AIE5" s="263"/>
      <c r="AIF5" s="263"/>
      <c r="AIG5" s="263"/>
      <c r="AIH5" s="263"/>
      <c r="AII5" s="263"/>
      <c r="AIJ5" s="263"/>
      <c r="AIK5" s="263"/>
      <c r="AIL5" s="263"/>
      <c r="AIM5" s="263"/>
      <c r="AIN5" s="263"/>
      <c r="AIO5" s="263"/>
      <c r="AIP5" s="263"/>
      <c r="AIQ5" s="263"/>
      <c r="AIR5" s="263"/>
      <c r="AIS5" s="263"/>
      <c r="AIT5" s="263"/>
      <c r="AIU5" s="263"/>
      <c r="AIV5" s="263"/>
      <c r="AIW5" s="263"/>
      <c r="AIX5" s="263"/>
      <c r="AIY5" s="263"/>
      <c r="AIZ5" s="263"/>
      <c r="AJA5" s="263"/>
      <c r="AJB5" s="263"/>
      <c r="AJC5" s="263"/>
      <c r="AJD5" s="263"/>
      <c r="AJE5" s="263"/>
      <c r="AJF5" s="263"/>
      <c r="AJG5" s="263"/>
      <c r="AJH5" s="263"/>
      <c r="AJI5" s="263"/>
      <c r="AJJ5" s="263"/>
      <c r="AJK5" s="263"/>
      <c r="AJL5" s="263"/>
      <c r="AJM5" s="263"/>
      <c r="AJN5" s="263"/>
      <c r="AJO5" s="263"/>
      <c r="AJP5" s="263"/>
      <c r="AJQ5" s="263"/>
      <c r="AJR5" s="263"/>
      <c r="AJS5" s="263"/>
      <c r="AJT5" s="263"/>
      <c r="AJU5" s="263"/>
      <c r="AJV5" s="263"/>
      <c r="AJW5" s="263"/>
      <c r="AJX5" s="263"/>
      <c r="AJY5" s="263"/>
      <c r="AJZ5" s="263"/>
      <c r="AKA5" s="263"/>
      <c r="AKB5" s="263"/>
      <c r="AKC5" s="263"/>
      <c r="AKD5" s="263"/>
      <c r="AKE5" s="263"/>
      <c r="AKF5" s="263"/>
      <c r="AKG5" s="263"/>
      <c r="AKH5" s="263"/>
      <c r="AKI5" s="263"/>
      <c r="AKJ5" s="263"/>
      <c r="AKK5" s="263"/>
      <c r="AKL5" s="263"/>
      <c r="AKM5" s="263"/>
      <c r="AKN5" s="263"/>
      <c r="AKO5" s="263"/>
    </row>
    <row r="6" spans="1:978" s="195" customFormat="1" ht="30" x14ac:dyDescent="0.25">
      <c r="A6" s="523" t="s">
        <v>21</v>
      </c>
      <c r="B6" s="523" t="s">
        <v>22</v>
      </c>
      <c r="C6" s="523" t="s">
        <v>23</v>
      </c>
      <c r="D6" s="523" t="s">
        <v>24</v>
      </c>
      <c r="E6" s="523" t="s">
        <v>25</v>
      </c>
      <c r="F6" s="523" t="s">
        <v>26</v>
      </c>
      <c r="G6" s="523" t="s">
        <v>27</v>
      </c>
      <c r="H6" s="523" t="s">
        <v>28</v>
      </c>
      <c r="I6" s="523" t="s">
        <v>29</v>
      </c>
      <c r="J6" s="811"/>
      <c r="K6" s="811"/>
      <c r="L6" s="523" t="s">
        <v>6</v>
      </c>
      <c r="M6" s="523" t="s">
        <v>30</v>
      </c>
      <c r="N6" s="523" t="s">
        <v>31</v>
      </c>
      <c r="O6" s="523" t="s">
        <v>32</v>
      </c>
      <c r="P6" s="523" t="s">
        <v>33</v>
      </c>
      <c r="Q6" s="523" t="s">
        <v>7</v>
      </c>
      <c r="R6" s="523" t="s">
        <v>34</v>
      </c>
      <c r="S6" s="523" t="s">
        <v>31</v>
      </c>
      <c r="T6" s="523" t="s">
        <v>32</v>
      </c>
      <c r="U6" s="523" t="s">
        <v>35</v>
      </c>
      <c r="V6" s="198" t="s">
        <v>36</v>
      </c>
      <c r="W6" s="198" t="s">
        <v>37</v>
      </c>
      <c r="X6" s="523" t="s">
        <v>38</v>
      </c>
      <c r="Y6" s="523" t="s">
        <v>39</v>
      </c>
      <c r="Z6" s="523" t="s">
        <v>40</v>
      </c>
      <c r="AA6" s="523" t="s">
        <v>41</v>
      </c>
      <c r="AB6" s="523" t="s">
        <v>42</v>
      </c>
      <c r="AC6" s="523" t="s">
        <v>39</v>
      </c>
      <c r="AD6" s="523" t="s">
        <v>40</v>
      </c>
      <c r="AE6" s="523" t="s">
        <v>41</v>
      </c>
      <c r="AF6" s="523" t="s">
        <v>42</v>
      </c>
      <c r="AG6" s="523" t="s">
        <v>39</v>
      </c>
      <c r="AH6" s="523" t="s">
        <v>40</v>
      </c>
      <c r="AI6" s="523" t="s">
        <v>41</v>
      </c>
      <c r="AJ6" s="523" t="s">
        <v>42</v>
      </c>
      <c r="AK6" s="523" t="s">
        <v>39</v>
      </c>
      <c r="AL6" s="523" t="s">
        <v>40</v>
      </c>
      <c r="AM6" s="523" t="s">
        <v>41</v>
      </c>
      <c r="AN6" s="199" t="s">
        <v>42</v>
      </c>
      <c r="AO6" s="200" t="s">
        <v>39</v>
      </c>
      <c r="AP6" s="200" t="s">
        <v>40</v>
      </c>
      <c r="AQ6" s="200" t="s">
        <v>41</v>
      </c>
      <c r="AR6" s="200" t="s">
        <v>42</v>
      </c>
      <c r="AS6" s="200" t="s">
        <v>39</v>
      </c>
      <c r="AT6" s="200" t="s">
        <v>40</v>
      </c>
      <c r="AU6" s="200" t="s">
        <v>41</v>
      </c>
      <c r="AV6" s="200" t="s">
        <v>42</v>
      </c>
      <c r="AW6" s="200" t="s">
        <v>39</v>
      </c>
      <c r="AX6" s="200" t="s">
        <v>40</v>
      </c>
      <c r="AY6" s="200" t="s">
        <v>41</v>
      </c>
      <c r="AZ6" s="200" t="s">
        <v>42</v>
      </c>
      <c r="BA6" s="200" t="s">
        <v>39</v>
      </c>
      <c r="BB6" s="200" t="s">
        <v>40</v>
      </c>
      <c r="BC6" s="200" t="s">
        <v>41</v>
      </c>
      <c r="BD6" s="200" t="s">
        <v>42</v>
      </c>
      <c r="BE6" s="200" t="s">
        <v>39</v>
      </c>
      <c r="BF6" s="200" t="s">
        <v>40</v>
      </c>
      <c r="BG6" s="200" t="s">
        <v>41</v>
      </c>
      <c r="BH6" s="200" t="s">
        <v>42</v>
      </c>
      <c r="BI6" s="200" t="s">
        <v>39</v>
      </c>
      <c r="BJ6" s="200" t="s">
        <v>40</v>
      </c>
      <c r="BK6" s="200" t="s">
        <v>41</v>
      </c>
      <c r="BL6" s="200" t="s">
        <v>42</v>
      </c>
      <c r="BM6" s="200" t="s">
        <v>39</v>
      </c>
      <c r="BN6" s="200" t="s">
        <v>40</v>
      </c>
      <c r="BO6" s="200" t="s">
        <v>41</v>
      </c>
      <c r="BP6" s="200" t="s">
        <v>42</v>
      </c>
      <c r="BQ6" s="200" t="s">
        <v>39</v>
      </c>
      <c r="BR6" s="200" t="s">
        <v>40</v>
      </c>
      <c r="BS6" s="200" t="s">
        <v>41</v>
      </c>
      <c r="BT6" s="563" t="s">
        <v>42</v>
      </c>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c r="DM6" s="263"/>
      <c r="DN6" s="263"/>
      <c r="DO6" s="263"/>
      <c r="DP6" s="263"/>
      <c r="DQ6" s="263"/>
      <c r="DR6" s="263"/>
      <c r="DS6" s="263"/>
      <c r="DT6" s="263"/>
      <c r="DU6" s="263"/>
      <c r="DV6" s="263"/>
      <c r="DW6" s="263"/>
      <c r="DX6" s="263"/>
      <c r="DY6" s="263"/>
      <c r="DZ6" s="263"/>
      <c r="EA6" s="263"/>
      <c r="EB6" s="263"/>
      <c r="EC6" s="263"/>
      <c r="ED6" s="263"/>
      <c r="EE6" s="263"/>
      <c r="EF6" s="263"/>
      <c r="EG6" s="263"/>
      <c r="EH6" s="263"/>
      <c r="EI6" s="263"/>
      <c r="EJ6" s="263"/>
      <c r="EK6" s="263"/>
      <c r="EL6" s="263"/>
      <c r="EM6" s="263"/>
      <c r="EN6" s="263"/>
      <c r="EO6" s="263"/>
      <c r="EP6" s="263"/>
      <c r="EQ6" s="263"/>
      <c r="ER6" s="263"/>
      <c r="ES6" s="263"/>
      <c r="ET6" s="263"/>
      <c r="EU6" s="263"/>
      <c r="EV6" s="263"/>
      <c r="EW6" s="263"/>
      <c r="EX6" s="263"/>
      <c r="EY6" s="263"/>
      <c r="EZ6" s="263"/>
      <c r="FA6" s="263"/>
      <c r="FB6" s="263"/>
      <c r="FC6" s="263"/>
      <c r="FD6" s="263"/>
      <c r="FE6" s="263"/>
      <c r="FF6" s="263"/>
      <c r="FG6" s="263"/>
      <c r="FH6" s="263"/>
      <c r="FI6" s="263"/>
      <c r="FJ6" s="263"/>
      <c r="FK6" s="263"/>
      <c r="FL6" s="263"/>
      <c r="FM6" s="263"/>
      <c r="FN6" s="263"/>
      <c r="FO6" s="263"/>
      <c r="FP6" s="263"/>
      <c r="FQ6" s="263"/>
      <c r="FR6" s="263"/>
      <c r="FS6" s="263"/>
      <c r="FT6" s="263"/>
      <c r="FU6" s="263"/>
      <c r="FV6" s="263"/>
      <c r="FW6" s="263"/>
      <c r="FX6" s="263"/>
      <c r="FY6" s="263"/>
      <c r="FZ6" s="263"/>
      <c r="GA6" s="263"/>
      <c r="GB6" s="263"/>
      <c r="GC6" s="263"/>
      <c r="GD6" s="263"/>
      <c r="GE6" s="263"/>
      <c r="GF6" s="263"/>
      <c r="GG6" s="263"/>
      <c r="GH6" s="263"/>
      <c r="GI6" s="263"/>
      <c r="GJ6" s="263"/>
      <c r="GK6" s="263"/>
      <c r="GL6" s="263"/>
      <c r="GM6" s="263"/>
      <c r="GN6" s="263"/>
      <c r="GO6" s="263"/>
      <c r="GP6" s="263"/>
      <c r="GQ6" s="263"/>
      <c r="GR6" s="263"/>
      <c r="GS6" s="263"/>
      <c r="GT6" s="263"/>
      <c r="GU6" s="263"/>
      <c r="GV6" s="263"/>
      <c r="GW6" s="263"/>
      <c r="GX6" s="263"/>
      <c r="GY6" s="263"/>
      <c r="GZ6" s="263"/>
      <c r="HA6" s="263"/>
      <c r="HB6" s="263"/>
      <c r="HC6" s="263"/>
      <c r="HD6" s="263"/>
      <c r="HE6" s="263"/>
      <c r="HF6" s="263"/>
      <c r="HG6" s="263"/>
      <c r="HH6" s="263"/>
      <c r="HI6" s="263"/>
      <c r="HJ6" s="263"/>
      <c r="HK6" s="263"/>
      <c r="HL6" s="263"/>
      <c r="HM6" s="263"/>
      <c r="HN6" s="263"/>
      <c r="HO6" s="263"/>
      <c r="HP6" s="263"/>
      <c r="HQ6" s="263"/>
      <c r="HR6" s="263"/>
      <c r="HS6" s="263"/>
      <c r="HT6" s="263"/>
      <c r="HU6" s="263"/>
      <c r="HV6" s="263"/>
      <c r="HW6" s="263"/>
      <c r="HX6" s="263"/>
      <c r="HY6" s="263"/>
      <c r="HZ6" s="263"/>
      <c r="IA6" s="263"/>
      <c r="IB6" s="263"/>
      <c r="IC6" s="263"/>
      <c r="ID6" s="263"/>
      <c r="IE6" s="263"/>
      <c r="IF6" s="263"/>
      <c r="IG6" s="263"/>
      <c r="IH6" s="263"/>
      <c r="II6" s="263"/>
      <c r="IJ6" s="263"/>
      <c r="IK6" s="263"/>
      <c r="IL6" s="263"/>
      <c r="IM6" s="263"/>
      <c r="IN6" s="263"/>
      <c r="IO6" s="263"/>
      <c r="IP6" s="263"/>
      <c r="IQ6" s="263"/>
      <c r="IR6" s="263"/>
      <c r="IS6" s="263"/>
      <c r="IT6" s="263"/>
      <c r="IU6" s="263"/>
      <c r="IV6" s="263"/>
      <c r="IW6" s="263"/>
      <c r="IX6" s="263"/>
      <c r="IY6" s="263"/>
      <c r="IZ6" s="263"/>
      <c r="JA6" s="263"/>
      <c r="JB6" s="263"/>
      <c r="JC6" s="263"/>
      <c r="JD6" s="263"/>
      <c r="JE6" s="263"/>
      <c r="JF6" s="263"/>
      <c r="JG6" s="263"/>
      <c r="JH6" s="263"/>
      <c r="JI6" s="263"/>
      <c r="JJ6" s="263"/>
      <c r="JK6" s="263"/>
      <c r="JL6" s="263"/>
      <c r="JM6" s="263"/>
      <c r="JN6" s="263"/>
      <c r="JO6" s="263"/>
      <c r="JP6" s="263"/>
      <c r="JQ6" s="263"/>
      <c r="JR6" s="263"/>
      <c r="JS6" s="263"/>
      <c r="JT6" s="263"/>
      <c r="JU6" s="263"/>
      <c r="JV6" s="263"/>
      <c r="JW6" s="263"/>
      <c r="JX6" s="263"/>
      <c r="JY6" s="263"/>
      <c r="JZ6" s="263"/>
      <c r="KA6" s="263"/>
      <c r="KB6" s="263"/>
      <c r="KC6" s="263"/>
      <c r="KD6" s="263"/>
      <c r="KE6" s="263"/>
      <c r="KF6" s="263"/>
      <c r="KG6" s="263"/>
      <c r="KH6" s="263"/>
      <c r="KI6" s="263"/>
      <c r="KJ6" s="263"/>
      <c r="KK6" s="263"/>
      <c r="KL6" s="263"/>
      <c r="KM6" s="263"/>
      <c r="KN6" s="263"/>
      <c r="KO6" s="263"/>
      <c r="KP6" s="263"/>
      <c r="KQ6" s="263"/>
      <c r="KR6" s="263"/>
      <c r="KS6" s="263"/>
      <c r="KT6" s="263"/>
      <c r="KU6" s="263"/>
      <c r="KV6" s="263"/>
      <c r="KW6" s="263"/>
      <c r="KX6" s="263"/>
      <c r="KY6" s="263"/>
      <c r="KZ6" s="263"/>
      <c r="LA6" s="263"/>
      <c r="LB6" s="263"/>
      <c r="LC6" s="263"/>
      <c r="LD6" s="263"/>
      <c r="LE6" s="263"/>
      <c r="LF6" s="263"/>
      <c r="LG6" s="263"/>
      <c r="LH6" s="263"/>
      <c r="LI6" s="263"/>
      <c r="LJ6" s="263"/>
      <c r="LK6" s="263"/>
      <c r="LL6" s="263"/>
      <c r="LM6" s="263"/>
      <c r="LN6" s="263"/>
      <c r="LO6" s="263"/>
      <c r="LP6" s="263"/>
      <c r="LQ6" s="263"/>
      <c r="LR6" s="263"/>
      <c r="LS6" s="263"/>
      <c r="LT6" s="263"/>
      <c r="LU6" s="263"/>
      <c r="LV6" s="263"/>
      <c r="LW6" s="263"/>
      <c r="LX6" s="263"/>
      <c r="LY6" s="263"/>
      <c r="LZ6" s="263"/>
      <c r="MA6" s="263"/>
      <c r="MB6" s="263"/>
      <c r="MC6" s="263"/>
      <c r="MD6" s="263"/>
      <c r="ME6" s="263"/>
      <c r="MF6" s="263"/>
      <c r="MG6" s="263"/>
      <c r="MH6" s="263"/>
      <c r="MI6" s="263"/>
      <c r="MJ6" s="263"/>
      <c r="MK6" s="263"/>
      <c r="ML6" s="263"/>
      <c r="MM6" s="263"/>
      <c r="MN6" s="263"/>
      <c r="MO6" s="263"/>
      <c r="MP6" s="263"/>
      <c r="MQ6" s="263"/>
      <c r="MR6" s="263"/>
      <c r="MS6" s="263"/>
      <c r="MT6" s="263"/>
      <c r="MU6" s="263"/>
      <c r="MV6" s="263"/>
      <c r="MW6" s="263"/>
      <c r="MX6" s="263"/>
      <c r="MY6" s="263"/>
      <c r="MZ6" s="263"/>
      <c r="NA6" s="263"/>
      <c r="NB6" s="263"/>
      <c r="NC6" s="263"/>
      <c r="ND6" s="263"/>
      <c r="NE6" s="263"/>
      <c r="NF6" s="263"/>
      <c r="NG6" s="263"/>
      <c r="NH6" s="263"/>
      <c r="NI6" s="263"/>
      <c r="NJ6" s="263"/>
      <c r="NK6" s="263"/>
      <c r="NL6" s="263"/>
      <c r="NM6" s="263"/>
      <c r="NN6" s="263"/>
      <c r="NO6" s="263"/>
      <c r="NP6" s="263"/>
      <c r="NQ6" s="263"/>
      <c r="NR6" s="263"/>
      <c r="NS6" s="263"/>
      <c r="NT6" s="263"/>
      <c r="NU6" s="263"/>
      <c r="NV6" s="263"/>
      <c r="NW6" s="263"/>
      <c r="NX6" s="263"/>
      <c r="NY6" s="263"/>
      <c r="NZ6" s="263"/>
      <c r="OA6" s="263"/>
      <c r="OB6" s="263"/>
      <c r="OC6" s="263"/>
      <c r="OD6" s="263"/>
      <c r="OE6" s="263"/>
      <c r="OF6" s="263"/>
      <c r="OG6" s="263"/>
      <c r="OH6" s="263"/>
      <c r="OI6" s="263"/>
      <c r="OJ6" s="263"/>
      <c r="OK6" s="263"/>
      <c r="OL6" s="263"/>
      <c r="OM6" s="263"/>
      <c r="ON6" s="263"/>
      <c r="OO6" s="263"/>
      <c r="OP6" s="263"/>
      <c r="OQ6" s="263"/>
      <c r="OR6" s="263"/>
      <c r="OS6" s="263"/>
      <c r="OT6" s="263"/>
      <c r="OU6" s="263"/>
      <c r="OV6" s="263"/>
      <c r="OW6" s="263"/>
      <c r="OX6" s="263"/>
      <c r="OY6" s="263"/>
      <c r="OZ6" s="263"/>
      <c r="PA6" s="263"/>
      <c r="PB6" s="263"/>
      <c r="PC6" s="263"/>
      <c r="PD6" s="263"/>
      <c r="PE6" s="263"/>
      <c r="PF6" s="263"/>
      <c r="PG6" s="263"/>
      <c r="PH6" s="263"/>
      <c r="PI6" s="263"/>
      <c r="PJ6" s="263"/>
      <c r="PK6" s="263"/>
      <c r="PL6" s="263"/>
      <c r="PM6" s="263"/>
      <c r="PN6" s="263"/>
      <c r="PO6" s="263"/>
      <c r="PP6" s="263"/>
      <c r="PQ6" s="263"/>
      <c r="PR6" s="263"/>
      <c r="PS6" s="263"/>
      <c r="PT6" s="263"/>
      <c r="PU6" s="263"/>
      <c r="PV6" s="263"/>
      <c r="PW6" s="263"/>
      <c r="PX6" s="263"/>
      <c r="PY6" s="263"/>
      <c r="PZ6" s="263"/>
      <c r="QA6" s="263"/>
      <c r="QB6" s="263"/>
      <c r="QC6" s="263"/>
      <c r="QD6" s="263"/>
      <c r="QE6" s="263"/>
      <c r="QF6" s="263"/>
      <c r="QG6" s="263"/>
      <c r="QH6" s="263"/>
      <c r="QI6" s="263"/>
      <c r="QJ6" s="263"/>
      <c r="QK6" s="263"/>
      <c r="QL6" s="263"/>
      <c r="QM6" s="263"/>
      <c r="QN6" s="263"/>
      <c r="QO6" s="263"/>
      <c r="QP6" s="263"/>
      <c r="QQ6" s="263"/>
      <c r="QR6" s="263"/>
      <c r="QS6" s="263"/>
      <c r="QT6" s="263"/>
      <c r="QU6" s="263"/>
      <c r="QV6" s="263"/>
      <c r="QW6" s="263"/>
      <c r="QX6" s="263"/>
      <c r="QY6" s="263"/>
      <c r="QZ6" s="263"/>
      <c r="RA6" s="263"/>
      <c r="RB6" s="263"/>
      <c r="RC6" s="263"/>
      <c r="RD6" s="263"/>
      <c r="RE6" s="263"/>
      <c r="RF6" s="263"/>
      <c r="RG6" s="263"/>
      <c r="RH6" s="263"/>
      <c r="RI6" s="263"/>
      <c r="RJ6" s="263"/>
      <c r="RK6" s="263"/>
      <c r="RL6" s="263"/>
      <c r="RM6" s="263"/>
      <c r="RN6" s="263"/>
      <c r="RO6" s="263"/>
      <c r="RP6" s="263"/>
      <c r="RQ6" s="263"/>
      <c r="RR6" s="263"/>
      <c r="RS6" s="263"/>
      <c r="RT6" s="263"/>
      <c r="RU6" s="263"/>
      <c r="RV6" s="263"/>
      <c r="RW6" s="263"/>
      <c r="RX6" s="263"/>
      <c r="RY6" s="263"/>
      <c r="RZ6" s="263"/>
      <c r="SA6" s="263"/>
      <c r="SB6" s="263"/>
      <c r="SC6" s="263"/>
      <c r="SD6" s="263"/>
      <c r="SE6" s="263"/>
      <c r="SF6" s="263"/>
      <c r="SG6" s="263"/>
      <c r="SH6" s="263"/>
      <c r="SI6" s="263"/>
      <c r="SJ6" s="263"/>
      <c r="SK6" s="263"/>
      <c r="SL6" s="263"/>
      <c r="SM6" s="263"/>
      <c r="SN6" s="263"/>
      <c r="SO6" s="263"/>
      <c r="SP6" s="263"/>
      <c r="SQ6" s="263"/>
      <c r="SR6" s="263"/>
      <c r="SS6" s="263"/>
      <c r="ST6" s="263"/>
      <c r="SU6" s="263"/>
      <c r="SV6" s="263"/>
      <c r="SW6" s="263"/>
      <c r="SX6" s="263"/>
      <c r="SY6" s="263"/>
      <c r="SZ6" s="263"/>
      <c r="TA6" s="263"/>
      <c r="TB6" s="263"/>
      <c r="TC6" s="263"/>
      <c r="TD6" s="263"/>
      <c r="TE6" s="263"/>
      <c r="TF6" s="263"/>
      <c r="TG6" s="263"/>
      <c r="TH6" s="263"/>
      <c r="TI6" s="263"/>
      <c r="TJ6" s="263"/>
      <c r="TK6" s="263"/>
      <c r="TL6" s="263"/>
      <c r="TM6" s="263"/>
      <c r="TN6" s="263"/>
      <c r="TO6" s="263"/>
      <c r="TP6" s="263"/>
      <c r="TQ6" s="263"/>
      <c r="TR6" s="263"/>
      <c r="TS6" s="263"/>
      <c r="TT6" s="263"/>
      <c r="TU6" s="263"/>
      <c r="TV6" s="263"/>
      <c r="TW6" s="263"/>
      <c r="TX6" s="263"/>
      <c r="TY6" s="263"/>
      <c r="TZ6" s="263"/>
      <c r="UA6" s="263"/>
      <c r="UB6" s="263"/>
      <c r="UC6" s="263"/>
      <c r="UD6" s="263"/>
      <c r="UE6" s="263"/>
      <c r="UF6" s="263"/>
      <c r="UG6" s="263"/>
      <c r="UH6" s="263"/>
      <c r="UI6" s="263"/>
      <c r="UJ6" s="263"/>
      <c r="UK6" s="263"/>
      <c r="UL6" s="263"/>
      <c r="UM6" s="263"/>
      <c r="UN6" s="263"/>
      <c r="UO6" s="263"/>
      <c r="UP6" s="263"/>
      <c r="UQ6" s="263"/>
      <c r="UR6" s="263"/>
      <c r="US6" s="263"/>
      <c r="UT6" s="263"/>
      <c r="UU6" s="263"/>
      <c r="UV6" s="263"/>
      <c r="UW6" s="263"/>
      <c r="UX6" s="263"/>
      <c r="UY6" s="263"/>
      <c r="UZ6" s="263"/>
      <c r="VA6" s="263"/>
      <c r="VB6" s="263"/>
      <c r="VC6" s="263"/>
      <c r="VD6" s="263"/>
      <c r="VE6" s="263"/>
      <c r="VF6" s="263"/>
      <c r="VG6" s="263"/>
      <c r="VH6" s="263"/>
      <c r="VI6" s="263"/>
      <c r="VJ6" s="263"/>
      <c r="VK6" s="263"/>
      <c r="VL6" s="263"/>
      <c r="VM6" s="263"/>
      <c r="VN6" s="263"/>
      <c r="VO6" s="263"/>
      <c r="VP6" s="263"/>
      <c r="VQ6" s="263"/>
      <c r="VR6" s="263"/>
      <c r="VS6" s="263"/>
      <c r="VT6" s="263"/>
      <c r="VU6" s="263"/>
      <c r="VV6" s="263"/>
      <c r="VW6" s="263"/>
      <c r="VX6" s="263"/>
      <c r="VY6" s="263"/>
      <c r="VZ6" s="263"/>
      <c r="WA6" s="263"/>
      <c r="WB6" s="263"/>
      <c r="WC6" s="263"/>
      <c r="WD6" s="263"/>
      <c r="WE6" s="263"/>
      <c r="WF6" s="263"/>
      <c r="WG6" s="263"/>
      <c r="WH6" s="263"/>
      <c r="WI6" s="263"/>
      <c r="WJ6" s="263"/>
      <c r="WK6" s="263"/>
      <c r="WL6" s="263"/>
      <c r="WM6" s="263"/>
      <c r="WN6" s="263"/>
      <c r="WO6" s="263"/>
      <c r="WP6" s="263"/>
      <c r="WQ6" s="263"/>
      <c r="WR6" s="263"/>
      <c r="WS6" s="263"/>
      <c r="WT6" s="263"/>
      <c r="WU6" s="263"/>
      <c r="WV6" s="263"/>
      <c r="WW6" s="263"/>
      <c r="WX6" s="263"/>
      <c r="WY6" s="263"/>
      <c r="WZ6" s="263"/>
      <c r="XA6" s="263"/>
      <c r="XB6" s="263"/>
      <c r="XC6" s="263"/>
      <c r="XD6" s="263"/>
      <c r="XE6" s="263"/>
      <c r="XF6" s="263"/>
      <c r="XG6" s="263"/>
      <c r="XH6" s="263"/>
      <c r="XI6" s="263"/>
      <c r="XJ6" s="263"/>
      <c r="XK6" s="263"/>
      <c r="XL6" s="263"/>
      <c r="XM6" s="263"/>
      <c r="XN6" s="263"/>
      <c r="XO6" s="263"/>
      <c r="XP6" s="263"/>
      <c r="XQ6" s="263"/>
      <c r="XR6" s="263"/>
      <c r="XS6" s="263"/>
      <c r="XT6" s="263"/>
      <c r="XU6" s="263"/>
      <c r="XV6" s="263"/>
      <c r="XW6" s="263"/>
      <c r="XX6" s="263"/>
      <c r="XY6" s="263"/>
      <c r="XZ6" s="263"/>
      <c r="YA6" s="263"/>
      <c r="YB6" s="263"/>
      <c r="YC6" s="263"/>
      <c r="YD6" s="263"/>
      <c r="YE6" s="263"/>
      <c r="YF6" s="263"/>
      <c r="YG6" s="263"/>
      <c r="YH6" s="263"/>
      <c r="YI6" s="263"/>
      <c r="YJ6" s="263"/>
      <c r="YK6" s="263"/>
      <c r="YL6" s="263"/>
      <c r="YM6" s="263"/>
      <c r="YN6" s="263"/>
      <c r="YO6" s="263"/>
      <c r="YP6" s="263"/>
      <c r="YQ6" s="263"/>
      <c r="YR6" s="263"/>
      <c r="YS6" s="263"/>
      <c r="YT6" s="263"/>
      <c r="YU6" s="263"/>
      <c r="YV6" s="263"/>
      <c r="YW6" s="263"/>
      <c r="YX6" s="263"/>
      <c r="YY6" s="263"/>
      <c r="YZ6" s="263"/>
      <c r="ZA6" s="263"/>
      <c r="ZB6" s="263"/>
      <c r="ZC6" s="263"/>
      <c r="ZD6" s="263"/>
      <c r="ZE6" s="263"/>
      <c r="ZF6" s="263"/>
      <c r="ZG6" s="263"/>
      <c r="ZH6" s="263"/>
      <c r="ZI6" s="263"/>
      <c r="ZJ6" s="263"/>
      <c r="ZK6" s="263"/>
      <c r="ZL6" s="263"/>
      <c r="ZM6" s="263"/>
      <c r="ZN6" s="263"/>
      <c r="ZO6" s="263"/>
      <c r="ZP6" s="263"/>
      <c r="ZQ6" s="263"/>
      <c r="ZR6" s="263"/>
      <c r="ZS6" s="263"/>
      <c r="ZT6" s="263"/>
      <c r="ZU6" s="263"/>
      <c r="ZV6" s="263"/>
      <c r="ZW6" s="263"/>
      <c r="ZX6" s="263"/>
      <c r="ZY6" s="263"/>
      <c r="ZZ6" s="263"/>
      <c r="AAA6" s="263"/>
      <c r="AAB6" s="263"/>
      <c r="AAC6" s="263"/>
      <c r="AAD6" s="263"/>
      <c r="AAE6" s="263"/>
      <c r="AAF6" s="263"/>
      <c r="AAG6" s="263"/>
      <c r="AAH6" s="263"/>
      <c r="AAI6" s="263"/>
      <c r="AAJ6" s="263"/>
      <c r="AAK6" s="263"/>
      <c r="AAL6" s="263"/>
      <c r="AAM6" s="263"/>
      <c r="AAN6" s="263"/>
      <c r="AAO6" s="263"/>
      <c r="AAP6" s="263"/>
      <c r="AAQ6" s="263"/>
      <c r="AAR6" s="263"/>
      <c r="AAS6" s="263"/>
      <c r="AAT6" s="263"/>
      <c r="AAU6" s="263"/>
      <c r="AAV6" s="263"/>
      <c r="AAW6" s="263"/>
      <c r="AAX6" s="263"/>
      <c r="AAY6" s="263"/>
      <c r="AAZ6" s="263"/>
      <c r="ABA6" s="263"/>
      <c r="ABB6" s="263"/>
      <c r="ABC6" s="263"/>
      <c r="ABD6" s="263"/>
      <c r="ABE6" s="263"/>
      <c r="ABF6" s="263"/>
      <c r="ABG6" s="263"/>
      <c r="ABH6" s="263"/>
      <c r="ABI6" s="263"/>
      <c r="ABJ6" s="263"/>
      <c r="ABK6" s="263"/>
      <c r="ABL6" s="263"/>
      <c r="ABM6" s="263"/>
      <c r="ABN6" s="263"/>
      <c r="ABO6" s="263"/>
      <c r="ABP6" s="263"/>
      <c r="ABQ6" s="263"/>
      <c r="ABR6" s="263"/>
      <c r="ABS6" s="263"/>
      <c r="ABT6" s="263"/>
      <c r="ABU6" s="263"/>
      <c r="ABV6" s="263"/>
      <c r="ABW6" s="263"/>
      <c r="ABX6" s="263"/>
      <c r="ABY6" s="263"/>
      <c r="ABZ6" s="263"/>
      <c r="ACA6" s="263"/>
      <c r="ACB6" s="263"/>
      <c r="ACC6" s="263"/>
      <c r="ACD6" s="263"/>
      <c r="ACE6" s="263"/>
      <c r="ACF6" s="263"/>
      <c r="ACG6" s="263"/>
      <c r="ACH6" s="263"/>
      <c r="ACI6" s="263"/>
      <c r="ACJ6" s="263"/>
      <c r="ACK6" s="263"/>
      <c r="ACL6" s="263"/>
      <c r="ACM6" s="263"/>
      <c r="ACN6" s="263"/>
      <c r="ACO6" s="263"/>
      <c r="ACP6" s="263"/>
      <c r="ACQ6" s="263"/>
      <c r="ACR6" s="263"/>
      <c r="ACS6" s="263"/>
      <c r="ACT6" s="263"/>
      <c r="ACU6" s="263"/>
      <c r="ACV6" s="263"/>
      <c r="ACW6" s="263"/>
      <c r="ACX6" s="263"/>
      <c r="ACY6" s="263"/>
      <c r="ACZ6" s="263"/>
      <c r="ADA6" s="263"/>
      <c r="ADB6" s="263"/>
      <c r="ADC6" s="263"/>
      <c r="ADD6" s="263"/>
      <c r="ADE6" s="263"/>
      <c r="ADF6" s="263"/>
      <c r="ADG6" s="263"/>
      <c r="ADH6" s="263"/>
      <c r="ADI6" s="263"/>
      <c r="ADJ6" s="263"/>
      <c r="ADK6" s="263"/>
      <c r="ADL6" s="263"/>
      <c r="ADM6" s="263"/>
      <c r="ADN6" s="263"/>
      <c r="ADO6" s="263"/>
      <c r="ADP6" s="263"/>
      <c r="ADQ6" s="263"/>
      <c r="ADR6" s="263"/>
      <c r="ADS6" s="263"/>
      <c r="ADT6" s="263"/>
      <c r="ADU6" s="263"/>
      <c r="ADV6" s="263"/>
      <c r="ADW6" s="263"/>
      <c r="ADX6" s="263"/>
      <c r="ADY6" s="263"/>
      <c r="ADZ6" s="263"/>
      <c r="AEA6" s="263"/>
      <c r="AEB6" s="263"/>
      <c r="AEC6" s="263"/>
      <c r="AED6" s="263"/>
      <c r="AEE6" s="263"/>
      <c r="AEF6" s="263"/>
      <c r="AEG6" s="263"/>
      <c r="AEH6" s="263"/>
      <c r="AEI6" s="263"/>
      <c r="AEJ6" s="263"/>
      <c r="AEK6" s="263"/>
      <c r="AEL6" s="263"/>
      <c r="AEM6" s="263"/>
      <c r="AEN6" s="263"/>
      <c r="AEO6" s="263"/>
      <c r="AEP6" s="263"/>
      <c r="AEQ6" s="263"/>
      <c r="AER6" s="263"/>
      <c r="AES6" s="263"/>
      <c r="AET6" s="263"/>
      <c r="AEU6" s="263"/>
      <c r="AEV6" s="263"/>
      <c r="AEW6" s="263"/>
      <c r="AEX6" s="263"/>
      <c r="AEY6" s="263"/>
      <c r="AEZ6" s="263"/>
      <c r="AFA6" s="263"/>
      <c r="AFB6" s="263"/>
      <c r="AFC6" s="263"/>
      <c r="AFD6" s="263"/>
      <c r="AFE6" s="263"/>
      <c r="AFF6" s="263"/>
      <c r="AFG6" s="263"/>
      <c r="AFH6" s="263"/>
      <c r="AFI6" s="263"/>
      <c r="AFJ6" s="263"/>
      <c r="AFK6" s="263"/>
      <c r="AFL6" s="263"/>
      <c r="AFM6" s="263"/>
      <c r="AFN6" s="263"/>
      <c r="AFO6" s="263"/>
      <c r="AFP6" s="263"/>
      <c r="AFQ6" s="263"/>
      <c r="AFR6" s="263"/>
      <c r="AFS6" s="263"/>
      <c r="AFT6" s="263"/>
      <c r="AFU6" s="263"/>
      <c r="AFV6" s="263"/>
      <c r="AFW6" s="263"/>
      <c r="AFX6" s="263"/>
      <c r="AFY6" s="263"/>
      <c r="AFZ6" s="263"/>
      <c r="AGA6" s="263"/>
      <c r="AGB6" s="263"/>
      <c r="AGC6" s="263"/>
      <c r="AGD6" s="263"/>
      <c r="AGE6" s="263"/>
      <c r="AGF6" s="263"/>
      <c r="AGG6" s="263"/>
      <c r="AGH6" s="263"/>
      <c r="AGI6" s="263"/>
      <c r="AGJ6" s="263"/>
      <c r="AGK6" s="263"/>
      <c r="AGL6" s="263"/>
      <c r="AGM6" s="263"/>
      <c r="AGN6" s="263"/>
      <c r="AGO6" s="263"/>
      <c r="AGP6" s="263"/>
      <c r="AGQ6" s="263"/>
      <c r="AGR6" s="263"/>
      <c r="AGS6" s="263"/>
      <c r="AGT6" s="263"/>
      <c r="AGU6" s="263"/>
      <c r="AGV6" s="263"/>
      <c r="AGW6" s="263"/>
      <c r="AGX6" s="263"/>
      <c r="AGY6" s="263"/>
      <c r="AGZ6" s="263"/>
      <c r="AHA6" s="263"/>
      <c r="AHB6" s="263"/>
      <c r="AHC6" s="263"/>
      <c r="AHD6" s="263"/>
      <c r="AHE6" s="263"/>
      <c r="AHF6" s="263"/>
      <c r="AHG6" s="263"/>
      <c r="AHH6" s="263"/>
      <c r="AHI6" s="263"/>
      <c r="AHJ6" s="263"/>
      <c r="AHK6" s="263"/>
      <c r="AHL6" s="263"/>
      <c r="AHM6" s="263"/>
      <c r="AHN6" s="263"/>
      <c r="AHO6" s="263"/>
      <c r="AHP6" s="263"/>
      <c r="AHQ6" s="263"/>
      <c r="AHR6" s="263"/>
      <c r="AHS6" s="263"/>
      <c r="AHT6" s="263"/>
      <c r="AHU6" s="263"/>
      <c r="AHV6" s="263"/>
      <c r="AHW6" s="263"/>
      <c r="AHX6" s="263"/>
      <c r="AHY6" s="263"/>
      <c r="AHZ6" s="263"/>
      <c r="AIA6" s="263"/>
      <c r="AIB6" s="263"/>
      <c r="AIC6" s="263"/>
      <c r="AID6" s="263"/>
      <c r="AIE6" s="263"/>
      <c r="AIF6" s="263"/>
      <c r="AIG6" s="263"/>
      <c r="AIH6" s="263"/>
      <c r="AII6" s="263"/>
      <c r="AIJ6" s="263"/>
      <c r="AIK6" s="263"/>
      <c r="AIL6" s="263"/>
      <c r="AIM6" s="263"/>
      <c r="AIN6" s="263"/>
      <c r="AIO6" s="263"/>
      <c r="AIP6" s="263"/>
      <c r="AIQ6" s="263"/>
      <c r="AIR6" s="263"/>
      <c r="AIS6" s="263"/>
      <c r="AIT6" s="263"/>
      <c r="AIU6" s="263"/>
      <c r="AIV6" s="263"/>
      <c r="AIW6" s="263"/>
      <c r="AIX6" s="263"/>
      <c r="AIY6" s="263"/>
      <c r="AIZ6" s="263"/>
      <c r="AJA6" s="263"/>
      <c r="AJB6" s="263"/>
      <c r="AJC6" s="263"/>
      <c r="AJD6" s="263"/>
      <c r="AJE6" s="263"/>
      <c r="AJF6" s="263"/>
      <c r="AJG6" s="263"/>
      <c r="AJH6" s="263"/>
      <c r="AJI6" s="263"/>
      <c r="AJJ6" s="263"/>
      <c r="AJK6" s="263"/>
      <c r="AJL6" s="263"/>
      <c r="AJM6" s="263"/>
      <c r="AJN6" s="263"/>
      <c r="AJO6" s="263"/>
      <c r="AJP6" s="263"/>
      <c r="AJQ6" s="263"/>
      <c r="AJR6" s="263"/>
      <c r="AJS6" s="263"/>
      <c r="AJT6" s="263"/>
      <c r="AJU6" s="263"/>
      <c r="AJV6" s="263"/>
      <c r="AJW6" s="263"/>
      <c r="AJX6" s="263"/>
      <c r="AJY6" s="263"/>
      <c r="AJZ6" s="263"/>
      <c r="AKA6" s="263"/>
      <c r="AKB6" s="263"/>
      <c r="AKC6" s="263"/>
      <c r="AKD6" s="263"/>
      <c r="AKE6" s="263"/>
      <c r="AKF6" s="263"/>
      <c r="AKG6" s="263"/>
      <c r="AKH6" s="263"/>
      <c r="AKI6" s="263"/>
      <c r="AKJ6" s="263"/>
      <c r="AKK6" s="263"/>
      <c r="AKL6" s="263"/>
      <c r="AKM6" s="263"/>
      <c r="AKN6" s="263"/>
      <c r="AKO6" s="263"/>
    </row>
    <row r="7" spans="1:978" s="205" customFormat="1" ht="168" customHeight="1" x14ac:dyDescent="0.25">
      <c r="A7" s="871" t="s">
        <v>43</v>
      </c>
      <c r="B7" s="871" t="s">
        <v>44</v>
      </c>
      <c r="C7" s="871" t="s">
        <v>45</v>
      </c>
      <c r="D7" s="871" t="s">
        <v>540</v>
      </c>
      <c r="E7" s="871" t="s">
        <v>524</v>
      </c>
      <c r="F7" s="871" t="s">
        <v>525</v>
      </c>
      <c r="G7" s="873" t="s">
        <v>377</v>
      </c>
      <c r="H7" s="871" t="s">
        <v>541</v>
      </c>
      <c r="I7" s="871" t="s">
        <v>542</v>
      </c>
      <c r="J7" s="871" t="s">
        <v>543</v>
      </c>
      <c r="K7" s="871" t="s">
        <v>543</v>
      </c>
      <c r="L7" s="869" t="s">
        <v>544</v>
      </c>
      <c r="M7" s="869" t="s">
        <v>544</v>
      </c>
      <c r="N7" s="869" t="s">
        <v>56</v>
      </c>
      <c r="O7" s="869"/>
      <c r="P7" s="867">
        <v>3610</v>
      </c>
      <c r="Q7" s="201" t="s">
        <v>545</v>
      </c>
      <c r="R7" s="201" t="s">
        <v>546</v>
      </c>
      <c r="S7" s="201" t="s">
        <v>56</v>
      </c>
      <c r="T7" s="201"/>
      <c r="U7" s="530">
        <v>10</v>
      </c>
      <c r="V7" s="868">
        <v>295199874</v>
      </c>
      <c r="W7" s="868">
        <v>664924547</v>
      </c>
      <c r="X7" s="869" t="s">
        <v>547</v>
      </c>
      <c r="Y7" s="870">
        <v>106</v>
      </c>
      <c r="Z7" s="857">
        <v>3610</v>
      </c>
      <c r="AA7" s="854">
        <f>Y7/Z7</f>
        <v>2.9362880886426593E-2</v>
      </c>
      <c r="AB7" s="858" t="s">
        <v>548</v>
      </c>
      <c r="AC7" s="202">
        <v>8</v>
      </c>
      <c r="AD7" s="202">
        <v>10</v>
      </c>
      <c r="AE7" s="307">
        <f t="shared" ref="AE7:AE12" si="0">AC7/AD7</f>
        <v>0.8</v>
      </c>
      <c r="AF7" s="202" t="s">
        <v>549</v>
      </c>
      <c r="AG7" s="861">
        <v>711</v>
      </c>
      <c r="AH7" s="858">
        <v>3610</v>
      </c>
      <c r="AI7" s="864">
        <f>AG7/AH7</f>
        <v>0.19695290858725761</v>
      </c>
      <c r="AJ7" s="858" t="s">
        <v>550</v>
      </c>
      <c r="AK7" s="202">
        <v>10</v>
      </c>
      <c r="AL7" s="202">
        <v>10</v>
      </c>
      <c r="AM7" s="203">
        <f t="shared" ref="AM7:AM12" si="1">AK7/AL7</f>
        <v>1</v>
      </c>
      <c r="AN7" s="204" t="s">
        <v>551</v>
      </c>
      <c r="AO7" s="852">
        <v>1173</v>
      </c>
      <c r="AP7" s="853">
        <v>3610</v>
      </c>
      <c r="AQ7" s="854">
        <f>AO7/AP7</f>
        <v>0.32493074792243765</v>
      </c>
      <c r="AR7" s="857" t="s">
        <v>552</v>
      </c>
      <c r="AS7" s="202">
        <v>10</v>
      </c>
      <c r="AT7" s="202">
        <v>10</v>
      </c>
      <c r="AU7" s="203">
        <f t="shared" ref="AU7:AU12" si="2">AS7/AT7</f>
        <v>1</v>
      </c>
      <c r="AV7" s="202" t="s">
        <v>553</v>
      </c>
      <c r="AW7" s="852">
        <v>1740</v>
      </c>
      <c r="AX7" s="853">
        <v>3610</v>
      </c>
      <c r="AY7" s="854">
        <f>AW7/AX7</f>
        <v>0.48199445983379502</v>
      </c>
      <c r="AZ7" s="857" t="s">
        <v>991</v>
      </c>
      <c r="BA7" s="202">
        <v>10</v>
      </c>
      <c r="BB7" s="202">
        <v>10</v>
      </c>
      <c r="BC7" s="203">
        <f t="shared" ref="BC7:BC9" si="3">BA7/BB7</f>
        <v>1</v>
      </c>
      <c r="BD7" s="202" t="s">
        <v>992</v>
      </c>
      <c r="BE7" s="852">
        <v>2210</v>
      </c>
      <c r="BF7" s="853">
        <v>3610</v>
      </c>
      <c r="BG7" s="854">
        <f>BE7/BF7</f>
        <v>0.61218836565096957</v>
      </c>
      <c r="BH7" s="857" t="s">
        <v>993</v>
      </c>
      <c r="BI7" s="202">
        <v>10</v>
      </c>
      <c r="BJ7" s="202">
        <v>10</v>
      </c>
      <c r="BK7" s="203">
        <f t="shared" ref="BK7:BK9" si="4">BI7/BJ7</f>
        <v>1</v>
      </c>
      <c r="BL7" s="202" t="s">
        <v>994</v>
      </c>
      <c r="BM7" s="852">
        <f>BQ8+BQ9</f>
        <v>2646</v>
      </c>
      <c r="BN7" s="853">
        <v>3610</v>
      </c>
      <c r="BO7" s="854">
        <f>BM7/BN7</f>
        <v>0.73296398891966763</v>
      </c>
      <c r="BP7" s="853" t="s">
        <v>995</v>
      </c>
      <c r="BQ7" s="202">
        <v>10</v>
      </c>
      <c r="BR7" s="202">
        <v>10</v>
      </c>
      <c r="BS7" s="203">
        <f>BQ7/BR7</f>
        <v>1</v>
      </c>
      <c r="BT7" s="204" t="s">
        <v>996</v>
      </c>
      <c r="BU7" s="292"/>
      <c r="BV7" s="292"/>
      <c r="BW7" s="292"/>
      <c r="BX7" s="292"/>
      <c r="BY7" s="292"/>
      <c r="BZ7" s="292"/>
      <c r="CA7" s="292"/>
      <c r="CB7" s="292"/>
      <c r="CC7" s="292"/>
      <c r="CD7" s="292"/>
      <c r="CE7" s="292"/>
      <c r="CF7" s="292"/>
      <c r="CG7" s="292"/>
      <c r="CH7" s="292"/>
      <c r="CI7" s="292"/>
      <c r="CJ7" s="292"/>
      <c r="CK7" s="292"/>
      <c r="CL7" s="292"/>
      <c r="CM7" s="292"/>
      <c r="CN7" s="292"/>
      <c r="CO7" s="292"/>
      <c r="CP7" s="292"/>
      <c r="CQ7" s="292"/>
      <c r="CR7" s="292"/>
      <c r="CS7" s="292"/>
      <c r="CT7" s="292"/>
      <c r="CU7" s="292"/>
      <c r="CV7" s="292"/>
      <c r="CW7" s="292"/>
      <c r="CX7" s="292"/>
      <c r="CY7" s="292"/>
      <c r="CZ7" s="292"/>
      <c r="DA7" s="292"/>
      <c r="DB7" s="292"/>
      <c r="DC7" s="292"/>
      <c r="DD7" s="292"/>
      <c r="DE7" s="292"/>
      <c r="DF7" s="292"/>
      <c r="DG7" s="292"/>
      <c r="DH7" s="292"/>
      <c r="DI7" s="292"/>
      <c r="DJ7" s="292"/>
      <c r="DK7" s="292"/>
      <c r="DL7" s="292"/>
      <c r="DM7" s="292"/>
      <c r="DN7" s="292"/>
      <c r="DO7" s="292"/>
      <c r="DP7" s="292"/>
      <c r="DQ7" s="292"/>
      <c r="DR7" s="292"/>
      <c r="DS7" s="292"/>
      <c r="DT7" s="292"/>
      <c r="DU7" s="292"/>
      <c r="DV7" s="292"/>
      <c r="DW7" s="292"/>
      <c r="DX7" s="292"/>
      <c r="DY7" s="292"/>
      <c r="DZ7" s="292"/>
      <c r="EA7" s="292"/>
      <c r="EB7" s="292"/>
      <c r="EC7" s="292"/>
      <c r="ED7" s="292"/>
      <c r="EE7" s="292"/>
      <c r="EF7" s="292"/>
      <c r="EG7" s="292"/>
      <c r="EH7" s="292"/>
      <c r="EI7" s="292"/>
      <c r="EJ7" s="292"/>
      <c r="EK7" s="292"/>
      <c r="EL7" s="292"/>
      <c r="EM7" s="292"/>
      <c r="EN7" s="292"/>
      <c r="EO7" s="292"/>
      <c r="EP7" s="292"/>
      <c r="EQ7" s="292"/>
      <c r="ER7" s="292"/>
      <c r="ES7" s="292"/>
      <c r="ET7" s="292"/>
      <c r="EU7" s="292"/>
      <c r="EV7" s="292"/>
      <c r="EW7" s="292"/>
      <c r="EX7" s="292"/>
      <c r="EY7" s="292"/>
      <c r="EZ7" s="292"/>
      <c r="FA7" s="292"/>
      <c r="FB7" s="292"/>
      <c r="FC7" s="292"/>
      <c r="FD7" s="292"/>
      <c r="FE7" s="292"/>
      <c r="FF7" s="292"/>
      <c r="FG7" s="292"/>
      <c r="FH7" s="292"/>
      <c r="FI7" s="292"/>
      <c r="FJ7" s="292"/>
      <c r="FK7" s="292"/>
      <c r="FL7" s="292"/>
      <c r="FM7" s="292"/>
      <c r="FN7" s="292"/>
      <c r="FO7" s="292"/>
      <c r="FP7" s="292"/>
      <c r="FQ7" s="292"/>
      <c r="FR7" s="292"/>
      <c r="FS7" s="292"/>
      <c r="FT7" s="292"/>
      <c r="FU7" s="292"/>
      <c r="FV7" s="292"/>
      <c r="FW7" s="292"/>
      <c r="FX7" s="292"/>
      <c r="FY7" s="292"/>
      <c r="FZ7" s="292"/>
      <c r="GA7" s="292"/>
      <c r="GB7" s="292"/>
      <c r="GC7" s="292"/>
      <c r="GD7" s="292"/>
      <c r="GE7" s="292"/>
      <c r="GF7" s="292"/>
      <c r="GG7" s="292"/>
      <c r="GH7" s="292"/>
      <c r="GI7" s="292"/>
      <c r="GJ7" s="292"/>
      <c r="GK7" s="292"/>
      <c r="GL7" s="292"/>
      <c r="GM7" s="292"/>
      <c r="GN7" s="292"/>
      <c r="GO7" s="292"/>
      <c r="GP7" s="292"/>
      <c r="GQ7" s="292"/>
      <c r="GR7" s="292"/>
      <c r="GS7" s="292"/>
      <c r="GT7" s="292"/>
      <c r="GU7" s="292"/>
      <c r="GV7" s="292"/>
      <c r="GW7" s="292"/>
      <c r="GX7" s="292"/>
      <c r="GY7" s="292"/>
      <c r="GZ7" s="292"/>
      <c r="HA7" s="292"/>
      <c r="HB7" s="292"/>
      <c r="HC7" s="292"/>
      <c r="HD7" s="292"/>
      <c r="HE7" s="292"/>
      <c r="HF7" s="292"/>
      <c r="HG7" s="292"/>
      <c r="HH7" s="292"/>
      <c r="HI7" s="292"/>
      <c r="HJ7" s="292"/>
      <c r="HK7" s="292"/>
      <c r="HL7" s="292"/>
      <c r="HM7" s="292"/>
      <c r="HN7" s="292"/>
      <c r="HO7" s="292"/>
      <c r="HP7" s="292"/>
      <c r="HQ7" s="292"/>
      <c r="HR7" s="292"/>
      <c r="HS7" s="292"/>
      <c r="HT7" s="292"/>
      <c r="HU7" s="292"/>
      <c r="HV7" s="292"/>
      <c r="HW7" s="292"/>
      <c r="HX7" s="292"/>
      <c r="HY7" s="292"/>
      <c r="HZ7" s="292"/>
      <c r="IA7" s="292"/>
      <c r="IB7" s="292"/>
      <c r="IC7" s="292"/>
      <c r="ID7" s="292"/>
      <c r="IE7" s="292"/>
      <c r="IF7" s="292"/>
      <c r="IG7" s="292"/>
      <c r="IH7" s="292"/>
      <c r="II7" s="292"/>
      <c r="IJ7" s="292"/>
      <c r="IK7" s="292"/>
      <c r="IL7" s="292"/>
      <c r="IM7" s="292"/>
      <c r="IN7" s="292"/>
      <c r="IO7" s="292"/>
      <c r="IP7" s="292"/>
      <c r="IQ7" s="292"/>
      <c r="IR7" s="292"/>
      <c r="IS7" s="292"/>
      <c r="IT7" s="292"/>
      <c r="IU7" s="292"/>
      <c r="IV7" s="292"/>
      <c r="IW7" s="292"/>
      <c r="IX7" s="292"/>
      <c r="IY7" s="292"/>
      <c r="IZ7" s="292"/>
      <c r="JA7" s="292"/>
      <c r="JB7" s="292"/>
      <c r="JC7" s="292"/>
      <c r="JD7" s="292"/>
      <c r="JE7" s="292"/>
      <c r="JF7" s="292"/>
      <c r="JG7" s="292"/>
      <c r="JH7" s="292"/>
      <c r="JI7" s="292"/>
      <c r="JJ7" s="292"/>
      <c r="JK7" s="292"/>
      <c r="JL7" s="292"/>
      <c r="JM7" s="292"/>
      <c r="JN7" s="292"/>
      <c r="JO7" s="292"/>
      <c r="JP7" s="292"/>
      <c r="JQ7" s="292"/>
      <c r="JR7" s="292"/>
      <c r="JS7" s="292"/>
      <c r="JT7" s="292"/>
      <c r="JU7" s="292"/>
      <c r="JV7" s="292"/>
      <c r="JW7" s="292"/>
      <c r="JX7" s="292"/>
      <c r="JY7" s="292"/>
      <c r="JZ7" s="292"/>
      <c r="KA7" s="292"/>
      <c r="KB7" s="292"/>
      <c r="KC7" s="292"/>
      <c r="KD7" s="292"/>
      <c r="KE7" s="292"/>
      <c r="KF7" s="292"/>
      <c r="KG7" s="292"/>
      <c r="KH7" s="292"/>
      <c r="KI7" s="292"/>
      <c r="KJ7" s="292"/>
      <c r="KK7" s="292"/>
      <c r="KL7" s="292"/>
      <c r="KM7" s="292"/>
      <c r="KN7" s="292"/>
      <c r="KO7" s="292"/>
      <c r="KP7" s="292"/>
      <c r="KQ7" s="292"/>
      <c r="KR7" s="292"/>
      <c r="KS7" s="292"/>
      <c r="KT7" s="292"/>
      <c r="KU7" s="292"/>
      <c r="KV7" s="292"/>
      <c r="KW7" s="292"/>
      <c r="KX7" s="292"/>
      <c r="KY7" s="292"/>
      <c r="KZ7" s="292"/>
      <c r="LA7" s="292"/>
      <c r="LB7" s="292"/>
      <c r="LC7" s="292"/>
      <c r="LD7" s="292"/>
      <c r="LE7" s="292"/>
      <c r="LF7" s="292"/>
      <c r="LG7" s="292"/>
      <c r="LH7" s="292"/>
      <c r="LI7" s="292"/>
      <c r="LJ7" s="292"/>
      <c r="LK7" s="292"/>
      <c r="LL7" s="292"/>
      <c r="LM7" s="292"/>
      <c r="LN7" s="292"/>
      <c r="LO7" s="292"/>
      <c r="LP7" s="292"/>
      <c r="LQ7" s="292"/>
      <c r="LR7" s="292"/>
      <c r="LS7" s="292"/>
      <c r="LT7" s="292"/>
      <c r="LU7" s="292"/>
      <c r="LV7" s="292"/>
      <c r="LW7" s="292"/>
      <c r="LX7" s="292"/>
      <c r="LY7" s="292"/>
      <c r="LZ7" s="292"/>
      <c r="MA7" s="292"/>
      <c r="MB7" s="292"/>
      <c r="MC7" s="292"/>
      <c r="MD7" s="292"/>
      <c r="ME7" s="292"/>
      <c r="MF7" s="292"/>
      <c r="MG7" s="292"/>
      <c r="MH7" s="292"/>
      <c r="MI7" s="292"/>
      <c r="MJ7" s="292"/>
      <c r="MK7" s="292"/>
      <c r="ML7" s="292"/>
      <c r="MM7" s="292"/>
      <c r="MN7" s="292"/>
      <c r="MO7" s="292"/>
      <c r="MP7" s="292"/>
      <c r="MQ7" s="292"/>
      <c r="MR7" s="292"/>
      <c r="MS7" s="292"/>
      <c r="MT7" s="292"/>
      <c r="MU7" s="292"/>
      <c r="MV7" s="292"/>
      <c r="MW7" s="292"/>
      <c r="MX7" s="292"/>
      <c r="MY7" s="292"/>
      <c r="MZ7" s="292"/>
      <c r="NA7" s="292"/>
      <c r="NB7" s="292"/>
      <c r="NC7" s="292"/>
      <c r="ND7" s="292"/>
      <c r="NE7" s="292"/>
      <c r="NF7" s="292"/>
      <c r="NG7" s="292"/>
      <c r="NH7" s="292"/>
      <c r="NI7" s="292"/>
      <c r="NJ7" s="292"/>
      <c r="NK7" s="292"/>
      <c r="NL7" s="292"/>
      <c r="NM7" s="292"/>
      <c r="NN7" s="292"/>
      <c r="NO7" s="292"/>
      <c r="NP7" s="292"/>
      <c r="NQ7" s="292"/>
      <c r="NR7" s="292"/>
      <c r="NS7" s="292"/>
      <c r="NT7" s="292"/>
      <c r="NU7" s="292"/>
      <c r="NV7" s="292"/>
      <c r="NW7" s="292"/>
      <c r="NX7" s="292"/>
      <c r="NY7" s="292"/>
      <c r="NZ7" s="292"/>
      <c r="OA7" s="292"/>
      <c r="OB7" s="292"/>
      <c r="OC7" s="292"/>
      <c r="OD7" s="292"/>
      <c r="OE7" s="292"/>
      <c r="OF7" s="292"/>
      <c r="OG7" s="292"/>
      <c r="OH7" s="292"/>
      <c r="OI7" s="292"/>
      <c r="OJ7" s="292"/>
      <c r="OK7" s="292"/>
      <c r="OL7" s="292"/>
      <c r="OM7" s="292"/>
      <c r="ON7" s="292"/>
      <c r="OO7" s="292"/>
      <c r="OP7" s="292"/>
      <c r="OQ7" s="292"/>
      <c r="OR7" s="292"/>
      <c r="OS7" s="292"/>
      <c r="OT7" s="292"/>
      <c r="OU7" s="292"/>
      <c r="OV7" s="292"/>
      <c r="OW7" s="292"/>
      <c r="OX7" s="292"/>
      <c r="OY7" s="292"/>
      <c r="OZ7" s="292"/>
      <c r="PA7" s="292"/>
      <c r="PB7" s="292"/>
      <c r="PC7" s="292"/>
      <c r="PD7" s="292"/>
      <c r="PE7" s="292"/>
      <c r="PF7" s="292"/>
      <c r="PG7" s="292"/>
      <c r="PH7" s="292"/>
      <c r="PI7" s="292"/>
      <c r="PJ7" s="292"/>
      <c r="PK7" s="292"/>
      <c r="PL7" s="292"/>
      <c r="PM7" s="292"/>
      <c r="PN7" s="292"/>
      <c r="PO7" s="292"/>
      <c r="PP7" s="292"/>
      <c r="PQ7" s="292"/>
      <c r="PR7" s="292"/>
      <c r="PS7" s="292"/>
      <c r="PT7" s="292"/>
      <c r="PU7" s="292"/>
      <c r="PV7" s="292"/>
      <c r="PW7" s="292"/>
      <c r="PX7" s="292"/>
      <c r="PY7" s="292"/>
      <c r="PZ7" s="292"/>
      <c r="QA7" s="292"/>
      <c r="QB7" s="292"/>
      <c r="QC7" s="292"/>
      <c r="QD7" s="292"/>
      <c r="QE7" s="292"/>
      <c r="QF7" s="292"/>
      <c r="QG7" s="292"/>
      <c r="QH7" s="292"/>
      <c r="QI7" s="292"/>
      <c r="QJ7" s="292"/>
      <c r="QK7" s="292"/>
      <c r="QL7" s="292"/>
      <c r="QM7" s="292"/>
      <c r="QN7" s="292"/>
      <c r="QO7" s="292"/>
      <c r="QP7" s="292"/>
      <c r="QQ7" s="292"/>
      <c r="QR7" s="292"/>
      <c r="QS7" s="292"/>
      <c r="QT7" s="292"/>
      <c r="QU7" s="292"/>
      <c r="QV7" s="292"/>
      <c r="QW7" s="292"/>
      <c r="QX7" s="292"/>
      <c r="QY7" s="292"/>
      <c r="QZ7" s="292"/>
      <c r="RA7" s="292"/>
      <c r="RB7" s="292"/>
      <c r="RC7" s="292"/>
      <c r="RD7" s="292"/>
      <c r="RE7" s="292"/>
      <c r="RF7" s="292"/>
      <c r="RG7" s="292"/>
      <c r="RH7" s="292"/>
      <c r="RI7" s="292"/>
      <c r="RJ7" s="292"/>
      <c r="RK7" s="292"/>
      <c r="RL7" s="292"/>
      <c r="RM7" s="292"/>
      <c r="RN7" s="292"/>
      <c r="RO7" s="292"/>
      <c r="RP7" s="292"/>
      <c r="RQ7" s="292"/>
      <c r="RR7" s="292"/>
      <c r="RS7" s="292"/>
      <c r="RT7" s="292"/>
      <c r="RU7" s="292"/>
      <c r="RV7" s="292"/>
      <c r="RW7" s="292"/>
      <c r="RX7" s="292"/>
      <c r="RY7" s="292"/>
      <c r="RZ7" s="292"/>
      <c r="SA7" s="292"/>
      <c r="SB7" s="292"/>
      <c r="SC7" s="292"/>
      <c r="SD7" s="292"/>
      <c r="SE7" s="292"/>
      <c r="SF7" s="292"/>
      <c r="SG7" s="292"/>
      <c r="SH7" s="292"/>
      <c r="SI7" s="292"/>
      <c r="SJ7" s="292"/>
      <c r="SK7" s="292"/>
      <c r="SL7" s="292"/>
      <c r="SM7" s="292"/>
      <c r="SN7" s="292"/>
      <c r="SO7" s="292"/>
      <c r="SP7" s="292"/>
      <c r="SQ7" s="292"/>
      <c r="SR7" s="292"/>
      <c r="SS7" s="292"/>
      <c r="ST7" s="292"/>
      <c r="SU7" s="292"/>
      <c r="SV7" s="292"/>
      <c r="SW7" s="292"/>
      <c r="SX7" s="292"/>
      <c r="SY7" s="292"/>
      <c r="SZ7" s="292"/>
      <c r="TA7" s="292"/>
      <c r="TB7" s="292"/>
      <c r="TC7" s="292"/>
      <c r="TD7" s="292"/>
      <c r="TE7" s="292"/>
      <c r="TF7" s="292"/>
      <c r="TG7" s="292"/>
      <c r="TH7" s="292"/>
      <c r="TI7" s="292"/>
      <c r="TJ7" s="292"/>
      <c r="TK7" s="292"/>
      <c r="TL7" s="292"/>
      <c r="TM7" s="292"/>
      <c r="TN7" s="292"/>
      <c r="TO7" s="292"/>
      <c r="TP7" s="292"/>
      <c r="TQ7" s="292"/>
      <c r="TR7" s="292"/>
      <c r="TS7" s="292"/>
      <c r="TT7" s="292"/>
      <c r="TU7" s="292"/>
      <c r="TV7" s="292"/>
      <c r="TW7" s="292"/>
      <c r="TX7" s="292"/>
      <c r="TY7" s="292"/>
      <c r="TZ7" s="292"/>
      <c r="UA7" s="292"/>
      <c r="UB7" s="292"/>
      <c r="UC7" s="292"/>
      <c r="UD7" s="292"/>
      <c r="UE7" s="292"/>
      <c r="UF7" s="292"/>
      <c r="UG7" s="292"/>
      <c r="UH7" s="292"/>
      <c r="UI7" s="292"/>
      <c r="UJ7" s="292"/>
      <c r="UK7" s="292"/>
      <c r="UL7" s="292"/>
      <c r="UM7" s="292"/>
      <c r="UN7" s="292"/>
      <c r="UO7" s="292"/>
      <c r="UP7" s="292"/>
      <c r="UQ7" s="292"/>
      <c r="UR7" s="292"/>
      <c r="US7" s="292"/>
      <c r="UT7" s="292"/>
      <c r="UU7" s="292"/>
      <c r="UV7" s="292"/>
      <c r="UW7" s="292"/>
      <c r="UX7" s="292"/>
      <c r="UY7" s="292"/>
      <c r="UZ7" s="292"/>
      <c r="VA7" s="292"/>
      <c r="VB7" s="292"/>
      <c r="VC7" s="292"/>
      <c r="VD7" s="292"/>
      <c r="VE7" s="292"/>
      <c r="VF7" s="292"/>
      <c r="VG7" s="292"/>
      <c r="VH7" s="292"/>
      <c r="VI7" s="292"/>
      <c r="VJ7" s="292"/>
      <c r="VK7" s="292"/>
      <c r="VL7" s="292"/>
      <c r="VM7" s="292"/>
      <c r="VN7" s="292"/>
      <c r="VO7" s="292"/>
      <c r="VP7" s="292"/>
      <c r="VQ7" s="292"/>
      <c r="VR7" s="292"/>
      <c r="VS7" s="292"/>
      <c r="VT7" s="292"/>
      <c r="VU7" s="292"/>
      <c r="VV7" s="292"/>
      <c r="VW7" s="292"/>
      <c r="VX7" s="292"/>
      <c r="VY7" s="292"/>
      <c r="VZ7" s="292"/>
      <c r="WA7" s="292"/>
      <c r="WB7" s="292"/>
      <c r="WC7" s="292"/>
      <c r="WD7" s="292"/>
      <c r="WE7" s="292"/>
      <c r="WF7" s="292"/>
      <c r="WG7" s="292"/>
      <c r="WH7" s="292"/>
      <c r="WI7" s="292"/>
      <c r="WJ7" s="292"/>
      <c r="WK7" s="292"/>
      <c r="WL7" s="292"/>
      <c r="WM7" s="292"/>
      <c r="WN7" s="292"/>
      <c r="WO7" s="292"/>
      <c r="WP7" s="292"/>
      <c r="WQ7" s="292"/>
      <c r="WR7" s="292"/>
      <c r="WS7" s="292"/>
      <c r="WT7" s="292"/>
      <c r="WU7" s="292"/>
      <c r="WV7" s="292"/>
      <c r="WW7" s="292"/>
      <c r="WX7" s="292"/>
      <c r="WY7" s="292"/>
      <c r="WZ7" s="292"/>
      <c r="XA7" s="292"/>
      <c r="XB7" s="292"/>
      <c r="XC7" s="292"/>
      <c r="XD7" s="292"/>
      <c r="XE7" s="292"/>
      <c r="XF7" s="292"/>
      <c r="XG7" s="292"/>
      <c r="XH7" s="292"/>
      <c r="XI7" s="292"/>
      <c r="XJ7" s="292"/>
      <c r="XK7" s="292"/>
      <c r="XL7" s="292"/>
      <c r="XM7" s="292"/>
      <c r="XN7" s="292"/>
      <c r="XO7" s="292"/>
      <c r="XP7" s="292"/>
      <c r="XQ7" s="292"/>
      <c r="XR7" s="292"/>
      <c r="XS7" s="292"/>
      <c r="XT7" s="292"/>
      <c r="XU7" s="292"/>
      <c r="XV7" s="292"/>
      <c r="XW7" s="292"/>
      <c r="XX7" s="292"/>
      <c r="XY7" s="292"/>
      <c r="XZ7" s="292"/>
      <c r="YA7" s="292"/>
      <c r="YB7" s="292"/>
      <c r="YC7" s="292"/>
      <c r="YD7" s="292"/>
      <c r="YE7" s="292"/>
      <c r="YF7" s="292"/>
      <c r="YG7" s="292"/>
      <c r="YH7" s="292"/>
      <c r="YI7" s="292"/>
      <c r="YJ7" s="292"/>
      <c r="YK7" s="292"/>
      <c r="YL7" s="292"/>
      <c r="YM7" s="292"/>
      <c r="YN7" s="292"/>
      <c r="YO7" s="292"/>
      <c r="YP7" s="292"/>
      <c r="YQ7" s="292"/>
      <c r="YR7" s="292"/>
      <c r="YS7" s="292"/>
      <c r="YT7" s="292"/>
      <c r="YU7" s="292"/>
      <c r="YV7" s="292"/>
      <c r="YW7" s="292"/>
      <c r="YX7" s="292"/>
      <c r="YY7" s="292"/>
      <c r="YZ7" s="292"/>
      <c r="ZA7" s="292"/>
      <c r="ZB7" s="292"/>
      <c r="ZC7" s="292"/>
      <c r="ZD7" s="292"/>
      <c r="ZE7" s="292"/>
      <c r="ZF7" s="292"/>
      <c r="ZG7" s="292"/>
      <c r="ZH7" s="292"/>
      <c r="ZI7" s="292"/>
      <c r="ZJ7" s="292"/>
      <c r="ZK7" s="292"/>
      <c r="ZL7" s="292"/>
      <c r="ZM7" s="292"/>
      <c r="ZN7" s="292"/>
      <c r="ZO7" s="292"/>
      <c r="ZP7" s="292"/>
      <c r="ZQ7" s="292"/>
      <c r="ZR7" s="292"/>
      <c r="ZS7" s="292"/>
      <c r="ZT7" s="292"/>
      <c r="ZU7" s="292"/>
      <c r="ZV7" s="292"/>
      <c r="ZW7" s="292"/>
      <c r="ZX7" s="292"/>
      <c r="ZY7" s="292"/>
      <c r="ZZ7" s="292"/>
      <c r="AAA7" s="292"/>
      <c r="AAB7" s="292"/>
      <c r="AAC7" s="292"/>
      <c r="AAD7" s="292"/>
      <c r="AAE7" s="292"/>
      <c r="AAF7" s="292"/>
      <c r="AAG7" s="292"/>
      <c r="AAH7" s="292"/>
      <c r="AAI7" s="292"/>
      <c r="AAJ7" s="292"/>
      <c r="AAK7" s="292"/>
      <c r="AAL7" s="292"/>
      <c r="AAM7" s="292"/>
      <c r="AAN7" s="292"/>
      <c r="AAO7" s="292"/>
      <c r="AAP7" s="292"/>
      <c r="AAQ7" s="292"/>
      <c r="AAR7" s="292"/>
      <c r="AAS7" s="292"/>
      <c r="AAT7" s="292"/>
      <c r="AAU7" s="292"/>
      <c r="AAV7" s="292"/>
      <c r="AAW7" s="292"/>
      <c r="AAX7" s="292"/>
      <c r="AAY7" s="292"/>
      <c r="AAZ7" s="292"/>
      <c r="ABA7" s="292"/>
      <c r="ABB7" s="292"/>
      <c r="ABC7" s="292"/>
      <c r="ABD7" s="292"/>
      <c r="ABE7" s="292"/>
      <c r="ABF7" s="292"/>
      <c r="ABG7" s="292"/>
      <c r="ABH7" s="292"/>
      <c r="ABI7" s="292"/>
      <c r="ABJ7" s="292"/>
      <c r="ABK7" s="292"/>
      <c r="ABL7" s="292"/>
      <c r="ABM7" s="292"/>
      <c r="ABN7" s="292"/>
      <c r="ABO7" s="292"/>
      <c r="ABP7" s="292"/>
      <c r="ABQ7" s="292"/>
      <c r="ABR7" s="292"/>
      <c r="ABS7" s="292"/>
      <c r="ABT7" s="292"/>
      <c r="ABU7" s="292"/>
      <c r="ABV7" s="292"/>
      <c r="ABW7" s="292"/>
      <c r="ABX7" s="292"/>
      <c r="ABY7" s="292"/>
      <c r="ABZ7" s="292"/>
      <c r="ACA7" s="292"/>
      <c r="ACB7" s="292"/>
      <c r="ACC7" s="292"/>
      <c r="ACD7" s="292"/>
      <c r="ACE7" s="292"/>
      <c r="ACF7" s="292"/>
      <c r="ACG7" s="292"/>
      <c r="ACH7" s="292"/>
      <c r="ACI7" s="292"/>
      <c r="ACJ7" s="292"/>
      <c r="ACK7" s="292"/>
      <c r="ACL7" s="292"/>
      <c r="ACM7" s="292"/>
      <c r="ACN7" s="292"/>
      <c r="ACO7" s="292"/>
      <c r="ACP7" s="292"/>
      <c r="ACQ7" s="292"/>
      <c r="ACR7" s="292"/>
      <c r="ACS7" s="292"/>
      <c r="ACT7" s="292"/>
      <c r="ACU7" s="292"/>
      <c r="ACV7" s="292"/>
      <c r="ACW7" s="292"/>
      <c r="ACX7" s="292"/>
      <c r="ACY7" s="292"/>
      <c r="ACZ7" s="292"/>
      <c r="ADA7" s="292"/>
      <c r="ADB7" s="292"/>
      <c r="ADC7" s="292"/>
      <c r="ADD7" s="292"/>
      <c r="ADE7" s="292"/>
      <c r="ADF7" s="292"/>
      <c r="ADG7" s="292"/>
      <c r="ADH7" s="292"/>
      <c r="ADI7" s="292"/>
      <c r="ADJ7" s="292"/>
      <c r="ADK7" s="292"/>
      <c r="ADL7" s="292"/>
      <c r="ADM7" s="292"/>
      <c r="ADN7" s="292"/>
      <c r="ADO7" s="292"/>
      <c r="ADP7" s="292"/>
      <c r="ADQ7" s="292"/>
      <c r="ADR7" s="292"/>
      <c r="ADS7" s="292"/>
      <c r="ADT7" s="292"/>
      <c r="ADU7" s="292"/>
      <c r="ADV7" s="292"/>
      <c r="ADW7" s="292"/>
      <c r="ADX7" s="292"/>
      <c r="ADY7" s="292"/>
      <c r="ADZ7" s="292"/>
      <c r="AEA7" s="292"/>
      <c r="AEB7" s="292"/>
      <c r="AEC7" s="292"/>
      <c r="AED7" s="292"/>
      <c r="AEE7" s="292"/>
      <c r="AEF7" s="292"/>
      <c r="AEG7" s="292"/>
      <c r="AEH7" s="292"/>
      <c r="AEI7" s="292"/>
      <c r="AEJ7" s="292"/>
      <c r="AEK7" s="292"/>
      <c r="AEL7" s="292"/>
      <c r="AEM7" s="292"/>
      <c r="AEN7" s="292"/>
      <c r="AEO7" s="292"/>
      <c r="AEP7" s="292"/>
      <c r="AEQ7" s="292"/>
      <c r="AER7" s="292"/>
      <c r="AES7" s="292"/>
      <c r="AET7" s="292"/>
      <c r="AEU7" s="292"/>
      <c r="AEV7" s="292"/>
      <c r="AEW7" s="292"/>
      <c r="AEX7" s="292"/>
      <c r="AEY7" s="292"/>
      <c r="AEZ7" s="292"/>
      <c r="AFA7" s="292"/>
      <c r="AFB7" s="292"/>
      <c r="AFC7" s="292"/>
      <c r="AFD7" s="292"/>
      <c r="AFE7" s="292"/>
      <c r="AFF7" s="292"/>
      <c r="AFG7" s="292"/>
      <c r="AFH7" s="292"/>
      <c r="AFI7" s="292"/>
      <c r="AFJ7" s="292"/>
      <c r="AFK7" s="292"/>
      <c r="AFL7" s="292"/>
      <c r="AFM7" s="292"/>
      <c r="AFN7" s="292"/>
      <c r="AFO7" s="292"/>
      <c r="AFP7" s="292"/>
      <c r="AFQ7" s="292"/>
      <c r="AFR7" s="292"/>
      <c r="AFS7" s="292"/>
      <c r="AFT7" s="292"/>
      <c r="AFU7" s="292"/>
      <c r="AFV7" s="292"/>
      <c r="AFW7" s="292"/>
      <c r="AFX7" s="292"/>
      <c r="AFY7" s="292"/>
      <c r="AFZ7" s="292"/>
      <c r="AGA7" s="292"/>
      <c r="AGB7" s="292"/>
      <c r="AGC7" s="292"/>
      <c r="AGD7" s="292"/>
      <c r="AGE7" s="292"/>
      <c r="AGF7" s="292"/>
      <c r="AGG7" s="292"/>
      <c r="AGH7" s="292"/>
      <c r="AGI7" s="292"/>
      <c r="AGJ7" s="292"/>
      <c r="AGK7" s="292"/>
      <c r="AGL7" s="292"/>
      <c r="AGM7" s="292"/>
      <c r="AGN7" s="292"/>
      <c r="AGO7" s="292"/>
      <c r="AGP7" s="292"/>
      <c r="AGQ7" s="292"/>
      <c r="AGR7" s="292"/>
      <c r="AGS7" s="292"/>
      <c r="AGT7" s="292"/>
      <c r="AGU7" s="292"/>
      <c r="AGV7" s="292"/>
      <c r="AGW7" s="292"/>
      <c r="AGX7" s="292"/>
      <c r="AGY7" s="292"/>
      <c r="AGZ7" s="292"/>
      <c r="AHA7" s="292"/>
      <c r="AHB7" s="292"/>
      <c r="AHC7" s="292"/>
      <c r="AHD7" s="292"/>
      <c r="AHE7" s="292"/>
      <c r="AHF7" s="292"/>
      <c r="AHG7" s="292"/>
      <c r="AHH7" s="292"/>
      <c r="AHI7" s="292"/>
      <c r="AHJ7" s="292"/>
      <c r="AHK7" s="292"/>
      <c r="AHL7" s="292"/>
      <c r="AHM7" s="292"/>
      <c r="AHN7" s="292"/>
      <c r="AHO7" s="292"/>
      <c r="AHP7" s="292"/>
      <c r="AHQ7" s="292"/>
      <c r="AHR7" s="292"/>
      <c r="AHS7" s="292"/>
      <c r="AHT7" s="292"/>
      <c r="AHU7" s="292"/>
      <c r="AHV7" s="292"/>
      <c r="AHW7" s="292"/>
      <c r="AHX7" s="292"/>
      <c r="AHY7" s="292"/>
      <c r="AHZ7" s="292"/>
      <c r="AIA7" s="292"/>
      <c r="AIB7" s="292"/>
      <c r="AIC7" s="292"/>
      <c r="AID7" s="292"/>
      <c r="AIE7" s="292"/>
      <c r="AIF7" s="292"/>
      <c r="AIG7" s="292"/>
      <c r="AIH7" s="292"/>
      <c r="AII7" s="292"/>
      <c r="AIJ7" s="292"/>
      <c r="AIK7" s="292"/>
      <c r="AIL7" s="292"/>
      <c r="AIM7" s="292"/>
      <c r="AIN7" s="292"/>
      <c r="AIO7" s="292"/>
      <c r="AIP7" s="292"/>
      <c r="AIQ7" s="292"/>
      <c r="AIR7" s="292"/>
      <c r="AIS7" s="292"/>
      <c r="AIT7" s="292"/>
      <c r="AIU7" s="292"/>
      <c r="AIV7" s="292"/>
      <c r="AIW7" s="292"/>
      <c r="AIX7" s="292"/>
      <c r="AIY7" s="292"/>
      <c r="AIZ7" s="292"/>
      <c r="AJA7" s="292"/>
      <c r="AJB7" s="292"/>
      <c r="AJC7" s="292"/>
      <c r="AJD7" s="292"/>
      <c r="AJE7" s="292"/>
      <c r="AJF7" s="292"/>
      <c r="AJG7" s="292"/>
      <c r="AJH7" s="292"/>
      <c r="AJI7" s="292"/>
      <c r="AJJ7" s="292"/>
      <c r="AJK7" s="292"/>
      <c r="AJL7" s="292"/>
      <c r="AJM7" s="292"/>
      <c r="AJN7" s="292"/>
      <c r="AJO7" s="292"/>
      <c r="AJP7" s="292"/>
      <c r="AJQ7" s="292"/>
      <c r="AJR7" s="292"/>
      <c r="AJS7" s="292"/>
      <c r="AJT7" s="292"/>
      <c r="AJU7" s="292"/>
      <c r="AJV7" s="292"/>
      <c r="AJW7" s="292"/>
      <c r="AJX7" s="292"/>
      <c r="AJY7" s="292"/>
      <c r="AJZ7" s="292"/>
      <c r="AKA7" s="292"/>
      <c r="AKB7" s="292"/>
      <c r="AKC7" s="292"/>
      <c r="AKD7" s="292"/>
      <c r="AKE7" s="292"/>
      <c r="AKF7" s="292"/>
      <c r="AKG7" s="292"/>
      <c r="AKH7" s="292"/>
      <c r="AKI7" s="292"/>
      <c r="AKJ7" s="292"/>
      <c r="AKK7" s="292"/>
      <c r="AKL7" s="292"/>
      <c r="AKM7" s="292"/>
      <c r="AKN7" s="292"/>
      <c r="AKO7" s="292"/>
      <c r="AKP7" s="564"/>
    </row>
    <row r="8" spans="1:978" s="205" customFormat="1" ht="153" customHeight="1" x14ac:dyDescent="0.25">
      <c r="A8" s="871"/>
      <c r="B8" s="871"/>
      <c r="C8" s="871"/>
      <c r="D8" s="871"/>
      <c r="E8" s="871"/>
      <c r="F8" s="871"/>
      <c r="G8" s="873"/>
      <c r="H8" s="871"/>
      <c r="I8" s="871"/>
      <c r="J8" s="871"/>
      <c r="K8" s="871"/>
      <c r="L8" s="869"/>
      <c r="M8" s="869"/>
      <c r="N8" s="869"/>
      <c r="O8" s="869"/>
      <c r="P8" s="867"/>
      <c r="Q8" s="206" t="s">
        <v>554</v>
      </c>
      <c r="R8" s="206" t="s">
        <v>555</v>
      </c>
      <c r="S8" s="206" t="s">
        <v>56</v>
      </c>
      <c r="T8" s="206"/>
      <c r="U8" s="207">
        <v>1100</v>
      </c>
      <c r="V8" s="868"/>
      <c r="W8" s="868"/>
      <c r="X8" s="869"/>
      <c r="Y8" s="870"/>
      <c r="Z8" s="857"/>
      <c r="AA8" s="854"/>
      <c r="AB8" s="859"/>
      <c r="AC8" s="208">
        <v>57</v>
      </c>
      <c r="AD8" s="206">
        <v>1100</v>
      </c>
      <c r="AE8" s="528">
        <f t="shared" si="0"/>
        <v>5.1818181818181819E-2</v>
      </c>
      <c r="AF8" s="206" t="s">
        <v>556</v>
      </c>
      <c r="AG8" s="862"/>
      <c r="AH8" s="859"/>
      <c r="AI8" s="865"/>
      <c r="AJ8" s="859"/>
      <c r="AK8" s="210">
        <f>AC8+228</f>
        <v>285</v>
      </c>
      <c r="AL8" s="211">
        <v>1100</v>
      </c>
      <c r="AM8" s="209">
        <f t="shared" si="1"/>
        <v>0.25909090909090909</v>
      </c>
      <c r="AN8" s="212" t="s">
        <v>557</v>
      </c>
      <c r="AO8" s="852"/>
      <c r="AP8" s="853"/>
      <c r="AQ8" s="854"/>
      <c r="AR8" s="857"/>
      <c r="AS8" s="210">
        <v>360</v>
      </c>
      <c r="AT8" s="211">
        <v>1100</v>
      </c>
      <c r="AU8" s="209">
        <f t="shared" si="2"/>
        <v>0.32727272727272727</v>
      </c>
      <c r="AV8" s="209" t="s">
        <v>558</v>
      </c>
      <c r="AW8" s="852"/>
      <c r="AX8" s="853"/>
      <c r="AY8" s="854"/>
      <c r="AZ8" s="857"/>
      <c r="BA8" s="210">
        <v>571</v>
      </c>
      <c r="BB8" s="211">
        <v>1100</v>
      </c>
      <c r="BC8" s="209">
        <f t="shared" si="3"/>
        <v>0.51909090909090905</v>
      </c>
      <c r="BD8" s="209" t="s">
        <v>997</v>
      </c>
      <c r="BE8" s="852"/>
      <c r="BF8" s="853"/>
      <c r="BG8" s="854"/>
      <c r="BH8" s="857"/>
      <c r="BI8" s="210">
        <v>678</v>
      </c>
      <c r="BJ8" s="211">
        <v>1100</v>
      </c>
      <c r="BK8" s="209">
        <f t="shared" si="4"/>
        <v>0.61636363636363634</v>
      </c>
      <c r="BL8" s="422" t="s">
        <v>998</v>
      </c>
      <c r="BM8" s="852"/>
      <c r="BN8" s="853"/>
      <c r="BO8" s="854"/>
      <c r="BP8" s="853"/>
      <c r="BQ8" s="423">
        <v>769</v>
      </c>
      <c r="BR8" s="211">
        <v>1100</v>
      </c>
      <c r="BS8" s="209">
        <f t="shared" ref="BS8" si="5">BQ8/BR8</f>
        <v>0.6990909090909091</v>
      </c>
      <c r="BT8" s="565" t="s">
        <v>999</v>
      </c>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292"/>
      <c r="DE8" s="292"/>
      <c r="DF8" s="292"/>
      <c r="DG8" s="292"/>
      <c r="DH8" s="292"/>
      <c r="DI8" s="292"/>
      <c r="DJ8" s="292"/>
      <c r="DK8" s="292"/>
      <c r="DL8" s="292"/>
      <c r="DM8" s="292"/>
      <c r="DN8" s="292"/>
      <c r="DO8" s="292"/>
      <c r="DP8" s="292"/>
      <c r="DQ8" s="292"/>
      <c r="DR8" s="292"/>
      <c r="DS8" s="292"/>
      <c r="DT8" s="292"/>
      <c r="DU8" s="292"/>
      <c r="DV8" s="292"/>
      <c r="DW8" s="292"/>
      <c r="DX8" s="292"/>
      <c r="DY8" s="292"/>
      <c r="DZ8" s="292"/>
      <c r="EA8" s="292"/>
      <c r="EB8" s="292"/>
      <c r="EC8" s="292"/>
      <c r="ED8" s="292"/>
      <c r="EE8" s="292"/>
      <c r="EF8" s="292"/>
      <c r="EG8" s="292"/>
      <c r="EH8" s="292"/>
      <c r="EI8" s="292"/>
      <c r="EJ8" s="292"/>
      <c r="EK8" s="292"/>
      <c r="EL8" s="292"/>
      <c r="EM8" s="292"/>
      <c r="EN8" s="292"/>
      <c r="EO8" s="292"/>
      <c r="EP8" s="292"/>
      <c r="EQ8" s="292"/>
      <c r="ER8" s="292"/>
      <c r="ES8" s="292"/>
      <c r="ET8" s="292"/>
      <c r="EU8" s="292"/>
      <c r="EV8" s="292"/>
      <c r="EW8" s="292"/>
      <c r="EX8" s="292"/>
      <c r="EY8" s="292"/>
      <c r="EZ8" s="292"/>
      <c r="FA8" s="292"/>
      <c r="FB8" s="292"/>
      <c r="FC8" s="292"/>
      <c r="FD8" s="292"/>
      <c r="FE8" s="292"/>
      <c r="FF8" s="292"/>
      <c r="FG8" s="292"/>
      <c r="FH8" s="292"/>
      <c r="FI8" s="292"/>
      <c r="FJ8" s="292"/>
      <c r="FK8" s="292"/>
      <c r="FL8" s="292"/>
      <c r="FM8" s="292"/>
      <c r="FN8" s="292"/>
      <c r="FO8" s="292"/>
      <c r="FP8" s="292"/>
      <c r="FQ8" s="292"/>
      <c r="FR8" s="292"/>
      <c r="FS8" s="292"/>
      <c r="FT8" s="292"/>
      <c r="FU8" s="292"/>
      <c r="FV8" s="292"/>
      <c r="FW8" s="292"/>
      <c r="FX8" s="292"/>
      <c r="FY8" s="292"/>
      <c r="FZ8" s="292"/>
      <c r="GA8" s="292"/>
      <c r="GB8" s="292"/>
      <c r="GC8" s="292"/>
      <c r="GD8" s="292"/>
      <c r="GE8" s="292"/>
      <c r="GF8" s="292"/>
      <c r="GG8" s="292"/>
      <c r="GH8" s="292"/>
      <c r="GI8" s="292"/>
      <c r="GJ8" s="292"/>
      <c r="GK8" s="292"/>
      <c r="GL8" s="292"/>
      <c r="GM8" s="292"/>
      <c r="GN8" s="292"/>
      <c r="GO8" s="292"/>
      <c r="GP8" s="292"/>
      <c r="GQ8" s="292"/>
      <c r="GR8" s="292"/>
      <c r="GS8" s="292"/>
      <c r="GT8" s="292"/>
      <c r="GU8" s="292"/>
      <c r="GV8" s="292"/>
      <c r="GW8" s="292"/>
      <c r="GX8" s="292"/>
      <c r="GY8" s="292"/>
      <c r="GZ8" s="292"/>
      <c r="HA8" s="292"/>
      <c r="HB8" s="292"/>
      <c r="HC8" s="292"/>
      <c r="HD8" s="292"/>
      <c r="HE8" s="292"/>
      <c r="HF8" s="292"/>
      <c r="HG8" s="292"/>
      <c r="HH8" s="292"/>
      <c r="HI8" s="292"/>
      <c r="HJ8" s="292"/>
      <c r="HK8" s="292"/>
      <c r="HL8" s="292"/>
      <c r="HM8" s="292"/>
      <c r="HN8" s="292"/>
      <c r="HO8" s="292"/>
      <c r="HP8" s="292"/>
      <c r="HQ8" s="292"/>
      <c r="HR8" s="292"/>
      <c r="HS8" s="292"/>
      <c r="HT8" s="292"/>
      <c r="HU8" s="292"/>
      <c r="HV8" s="292"/>
      <c r="HW8" s="292"/>
      <c r="HX8" s="292"/>
      <c r="HY8" s="292"/>
      <c r="HZ8" s="292"/>
      <c r="IA8" s="292"/>
      <c r="IB8" s="292"/>
      <c r="IC8" s="292"/>
      <c r="ID8" s="292"/>
      <c r="IE8" s="292"/>
      <c r="IF8" s="292"/>
      <c r="IG8" s="292"/>
      <c r="IH8" s="292"/>
      <c r="II8" s="292"/>
      <c r="IJ8" s="292"/>
      <c r="IK8" s="292"/>
      <c r="IL8" s="292"/>
      <c r="IM8" s="292"/>
      <c r="IN8" s="292"/>
      <c r="IO8" s="292"/>
      <c r="IP8" s="292"/>
      <c r="IQ8" s="292"/>
      <c r="IR8" s="292"/>
      <c r="IS8" s="292"/>
      <c r="IT8" s="292"/>
      <c r="IU8" s="292"/>
      <c r="IV8" s="292"/>
      <c r="IW8" s="292"/>
      <c r="IX8" s="292"/>
      <c r="IY8" s="292"/>
      <c r="IZ8" s="292"/>
      <c r="JA8" s="292"/>
      <c r="JB8" s="292"/>
      <c r="JC8" s="292"/>
      <c r="JD8" s="292"/>
      <c r="JE8" s="292"/>
      <c r="JF8" s="292"/>
      <c r="JG8" s="292"/>
      <c r="JH8" s="292"/>
      <c r="JI8" s="292"/>
      <c r="JJ8" s="292"/>
      <c r="JK8" s="292"/>
      <c r="JL8" s="292"/>
      <c r="JM8" s="292"/>
      <c r="JN8" s="292"/>
      <c r="JO8" s="292"/>
      <c r="JP8" s="292"/>
      <c r="JQ8" s="292"/>
      <c r="JR8" s="292"/>
      <c r="JS8" s="292"/>
      <c r="JT8" s="292"/>
      <c r="JU8" s="292"/>
      <c r="JV8" s="292"/>
      <c r="JW8" s="292"/>
      <c r="JX8" s="292"/>
      <c r="JY8" s="292"/>
      <c r="JZ8" s="292"/>
      <c r="KA8" s="292"/>
      <c r="KB8" s="292"/>
      <c r="KC8" s="292"/>
      <c r="KD8" s="292"/>
      <c r="KE8" s="292"/>
      <c r="KF8" s="292"/>
      <c r="KG8" s="292"/>
      <c r="KH8" s="292"/>
      <c r="KI8" s="292"/>
      <c r="KJ8" s="292"/>
      <c r="KK8" s="292"/>
      <c r="KL8" s="292"/>
      <c r="KM8" s="292"/>
      <c r="KN8" s="292"/>
      <c r="KO8" s="292"/>
      <c r="KP8" s="292"/>
      <c r="KQ8" s="292"/>
      <c r="KR8" s="292"/>
      <c r="KS8" s="292"/>
      <c r="KT8" s="292"/>
      <c r="KU8" s="292"/>
      <c r="KV8" s="292"/>
      <c r="KW8" s="292"/>
      <c r="KX8" s="292"/>
      <c r="KY8" s="292"/>
      <c r="KZ8" s="292"/>
      <c r="LA8" s="292"/>
      <c r="LB8" s="292"/>
      <c r="LC8" s="292"/>
      <c r="LD8" s="292"/>
      <c r="LE8" s="292"/>
      <c r="LF8" s="292"/>
      <c r="LG8" s="292"/>
      <c r="LH8" s="292"/>
      <c r="LI8" s="292"/>
      <c r="LJ8" s="292"/>
      <c r="LK8" s="292"/>
      <c r="LL8" s="292"/>
      <c r="LM8" s="292"/>
      <c r="LN8" s="292"/>
      <c r="LO8" s="292"/>
      <c r="LP8" s="292"/>
      <c r="LQ8" s="292"/>
      <c r="LR8" s="292"/>
      <c r="LS8" s="292"/>
      <c r="LT8" s="292"/>
      <c r="LU8" s="292"/>
      <c r="LV8" s="292"/>
      <c r="LW8" s="292"/>
      <c r="LX8" s="292"/>
      <c r="LY8" s="292"/>
      <c r="LZ8" s="292"/>
      <c r="MA8" s="292"/>
      <c r="MB8" s="292"/>
      <c r="MC8" s="292"/>
      <c r="MD8" s="292"/>
      <c r="ME8" s="292"/>
      <c r="MF8" s="292"/>
      <c r="MG8" s="292"/>
      <c r="MH8" s="292"/>
      <c r="MI8" s="292"/>
      <c r="MJ8" s="292"/>
      <c r="MK8" s="292"/>
      <c r="ML8" s="292"/>
      <c r="MM8" s="292"/>
      <c r="MN8" s="292"/>
      <c r="MO8" s="292"/>
      <c r="MP8" s="292"/>
      <c r="MQ8" s="292"/>
      <c r="MR8" s="292"/>
      <c r="MS8" s="292"/>
      <c r="MT8" s="292"/>
      <c r="MU8" s="292"/>
      <c r="MV8" s="292"/>
      <c r="MW8" s="292"/>
      <c r="MX8" s="292"/>
      <c r="MY8" s="292"/>
      <c r="MZ8" s="292"/>
      <c r="NA8" s="292"/>
      <c r="NB8" s="292"/>
      <c r="NC8" s="292"/>
      <c r="ND8" s="292"/>
      <c r="NE8" s="292"/>
      <c r="NF8" s="292"/>
      <c r="NG8" s="292"/>
      <c r="NH8" s="292"/>
      <c r="NI8" s="292"/>
      <c r="NJ8" s="292"/>
      <c r="NK8" s="292"/>
      <c r="NL8" s="292"/>
      <c r="NM8" s="292"/>
      <c r="NN8" s="292"/>
      <c r="NO8" s="292"/>
      <c r="NP8" s="292"/>
      <c r="NQ8" s="292"/>
      <c r="NR8" s="292"/>
      <c r="NS8" s="292"/>
      <c r="NT8" s="292"/>
      <c r="NU8" s="292"/>
      <c r="NV8" s="292"/>
      <c r="NW8" s="292"/>
      <c r="NX8" s="292"/>
      <c r="NY8" s="292"/>
      <c r="NZ8" s="292"/>
      <c r="OA8" s="292"/>
      <c r="OB8" s="292"/>
      <c r="OC8" s="292"/>
      <c r="OD8" s="292"/>
      <c r="OE8" s="292"/>
      <c r="OF8" s="292"/>
      <c r="OG8" s="292"/>
      <c r="OH8" s="292"/>
      <c r="OI8" s="292"/>
      <c r="OJ8" s="292"/>
      <c r="OK8" s="292"/>
      <c r="OL8" s="292"/>
      <c r="OM8" s="292"/>
      <c r="ON8" s="292"/>
      <c r="OO8" s="292"/>
      <c r="OP8" s="292"/>
      <c r="OQ8" s="292"/>
      <c r="OR8" s="292"/>
      <c r="OS8" s="292"/>
      <c r="OT8" s="292"/>
      <c r="OU8" s="292"/>
      <c r="OV8" s="292"/>
      <c r="OW8" s="292"/>
      <c r="OX8" s="292"/>
      <c r="OY8" s="292"/>
      <c r="OZ8" s="292"/>
      <c r="PA8" s="292"/>
      <c r="PB8" s="292"/>
      <c r="PC8" s="292"/>
      <c r="PD8" s="292"/>
      <c r="PE8" s="292"/>
      <c r="PF8" s="292"/>
      <c r="PG8" s="292"/>
      <c r="PH8" s="292"/>
      <c r="PI8" s="292"/>
      <c r="PJ8" s="292"/>
      <c r="PK8" s="292"/>
      <c r="PL8" s="292"/>
      <c r="PM8" s="292"/>
      <c r="PN8" s="292"/>
      <c r="PO8" s="292"/>
      <c r="PP8" s="292"/>
      <c r="PQ8" s="292"/>
      <c r="PR8" s="292"/>
      <c r="PS8" s="292"/>
      <c r="PT8" s="292"/>
      <c r="PU8" s="292"/>
      <c r="PV8" s="292"/>
      <c r="PW8" s="292"/>
      <c r="PX8" s="292"/>
      <c r="PY8" s="292"/>
      <c r="PZ8" s="292"/>
      <c r="QA8" s="292"/>
      <c r="QB8" s="292"/>
      <c r="QC8" s="292"/>
      <c r="QD8" s="292"/>
      <c r="QE8" s="292"/>
      <c r="QF8" s="292"/>
      <c r="QG8" s="292"/>
      <c r="QH8" s="292"/>
      <c r="QI8" s="292"/>
      <c r="QJ8" s="292"/>
      <c r="QK8" s="292"/>
      <c r="QL8" s="292"/>
      <c r="QM8" s="292"/>
      <c r="QN8" s="292"/>
      <c r="QO8" s="292"/>
      <c r="QP8" s="292"/>
      <c r="QQ8" s="292"/>
      <c r="QR8" s="292"/>
      <c r="QS8" s="292"/>
      <c r="QT8" s="292"/>
      <c r="QU8" s="292"/>
      <c r="QV8" s="292"/>
      <c r="QW8" s="292"/>
      <c r="QX8" s="292"/>
      <c r="QY8" s="292"/>
      <c r="QZ8" s="292"/>
      <c r="RA8" s="292"/>
      <c r="RB8" s="292"/>
      <c r="RC8" s="292"/>
      <c r="RD8" s="292"/>
      <c r="RE8" s="292"/>
      <c r="RF8" s="292"/>
      <c r="RG8" s="292"/>
      <c r="RH8" s="292"/>
      <c r="RI8" s="292"/>
      <c r="RJ8" s="292"/>
      <c r="RK8" s="292"/>
      <c r="RL8" s="292"/>
      <c r="RM8" s="292"/>
      <c r="RN8" s="292"/>
      <c r="RO8" s="292"/>
      <c r="RP8" s="292"/>
      <c r="RQ8" s="292"/>
      <c r="RR8" s="292"/>
      <c r="RS8" s="292"/>
      <c r="RT8" s="292"/>
      <c r="RU8" s="292"/>
      <c r="RV8" s="292"/>
      <c r="RW8" s="292"/>
      <c r="RX8" s="292"/>
      <c r="RY8" s="292"/>
      <c r="RZ8" s="292"/>
      <c r="SA8" s="292"/>
      <c r="SB8" s="292"/>
      <c r="SC8" s="292"/>
      <c r="SD8" s="292"/>
      <c r="SE8" s="292"/>
      <c r="SF8" s="292"/>
      <c r="SG8" s="292"/>
      <c r="SH8" s="292"/>
      <c r="SI8" s="292"/>
      <c r="SJ8" s="292"/>
      <c r="SK8" s="292"/>
      <c r="SL8" s="292"/>
      <c r="SM8" s="292"/>
      <c r="SN8" s="292"/>
      <c r="SO8" s="292"/>
      <c r="SP8" s="292"/>
      <c r="SQ8" s="292"/>
      <c r="SR8" s="292"/>
      <c r="SS8" s="292"/>
      <c r="ST8" s="292"/>
      <c r="SU8" s="292"/>
      <c r="SV8" s="292"/>
      <c r="SW8" s="292"/>
      <c r="SX8" s="292"/>
      <c r="SY8" s="292"/>
      <c r="SZ8" s="292"/>
      <c r="TA8" s="292"/>
      <c r="TB8" s="292"/>
      <c r="TC8" s="292"/>
      <c r="TD8" s="292"/>
      <c r="TE8" s="292"/>
      <c r="TF8" s="292"/>
      <c r="TG8" s="292"/>
      <c r="TH8" s="292"/>
      <c r="TI8" s="292"/>
      <c r="TJ8" s="292"/>
      <c r="TK8" s="292"/>
      <c r="TL8" s="292"/>
      <c r="TM8" s="292"/>
      <c r="TN8" s="292"/>
      <c r="TO8" s="292"/>
      <c r="TP8" s="292"/>
      <c r="TQ8" s="292"/>
      <c r="TR8" s="292"/>
      <c r="TS8" s="292"/>
      <c r="TT8" s="292"/>
      <c r="TU8" s="292"/>
      <c r="TV8" s="292"/>
      <c r="TW8" s="292"/>
      <c r="TX8" s="292"/>
      <c r="TY8" s="292"/>
      <c r="TZ8" s="292"/>
      <c r="UA8" s="292"/>
      <c r="UB8" s="292"/>
      <c r="UC8" s="292"/>
      <c r="UD8" s="292"/>
      <c r="UE8" s="292"/>
      <c r="UF8" s="292"/>
      <c r="UG8" s="292"/>
      <c r="UH8" s="292"/>
      <c r="UI8" s="292"/>
      <c r="UJ8" s="292"/>
      <c r="UK8" s="292"/>
      <c r="UL8" s="292"/>
      <c r="UM8" s="292"/>
      <c r="UN8" s="292"/>
      <c r="UO8" s="292"/>
      <c r="UP8" s="292"/>
      <c r="UQ8" s="292"/>
      <c r="UR8" s="292"/>
      <c r="US8" s="292"/>
      <c r="UT8" s="292"/>
      <c r="UU8" s="292"/>
      <c r="UV8" s="292"/>
      <c r="UW8" s="292"/>
      <c r="UX8" s="292"/>
      <c r="UY8" s="292"/>
      <c r="UZ8" s="292"/>
      <c r="VA8" s="292"/>
      <c r="VB8" s="292"/>
      <c r="VC8" s="292"/>
      <c r="VD8" s="292"/>
      <c r="VE8" s="292"/>
      <c r="VF8" s="292"/>
      <c r="VG8" s="292"/>
      <c r="VH8" s="292"/>
      <c r="VI8" s="292"/>
      <c r="VJ8" s="292"/>
      <c r="VK8" s="292"/>
      <c r="VL8" s="292"/>
      <c r="VM8" s="292"/>
      <c r="VN8" s="292"/>
      <c r="VO8" s="292"/>
      <c r="VP8" s="292"/>
      <c r="VQ8" s="292"/>
      <c r="VR8" s="292"/>
      <c r="VS8" s="292"/>
      <c r="VT8" s="292"/>
      <c r="VU8" s="292"/>
      <c r="VV8" s="292"/>
      <c r="VW8" s="292"/>
      <c r="VX8" s="292"/>
      <c r="VY8" s="292"/>
      <c r="VZ8" s="292"/>
      <c r="WA8" s="292"/>
      <c r="WB8" s="292"/>
      <c r="WC8" s="292"/>
      <c r="WD8" s="292"/>
      <c r="WE8" s="292"/>
      <c r="WF8" s="292"/>
      <c r="WG8" s="292"/>
      <c r="WH8" s="292"/>
      <c r="WI8" s="292"/>
      <c r="WJ8" s="292"/>
      <c r="WK8" s="292"/>
      <c r="WL8" s="292"/>
      <c r="WM8" s="292"/>
      <c r="WN8" s="292"/>
      <c r="WO8" s="292"/>
      <c r="WP8" s="292"/>
      <c r="WQ8" s="292"/>
      <c r="WR8" s="292"/>
      <c r="WS8" s="292"/>
      <c r="WT8" s="292"/>
      <c r="WU8" s="292"/>
      <c r="WV8" s="292"/>
      <c r="WW8" s="292"/>
      <c r="WX8" s="292"/>
      <c r="WY8" s="292"/>
      <c r="WZ8" s="292"/>
      <c r="XA8" s="292"/>
      <c r="XB8" s="292"/>
      <c r="XC8" s="292"/>
      <c r="XD8" s="292"/>
      <c r="XE8" s="292"/>
      <c r="XF8" s="292"/>
      <c r="XG8" s="292"/>
      <c r="XH8" s="292"/>
      <c r="XI8" s="292"/>
      <c r="XJ8" s="292"/>
      <c r="XK8" s="292"/>
      <c r="XL8" s="292"/>
      <c r="XM8" s="292"/>
      <c r="XN8" s="292"/>
      <c r="XO8" s="292"/>
      <c r="XP8" s="292"/>
      <c r="XQ8" s="292"/>
      <c r="XR8" s="292"/>
      <c r="XS8" s="292"/>
      <c r="XT8" s="292"/>
      <c r="XU8" s="292"/>
      <c r="XV8" s="292"/>
      <c r="XW8" s="292"/>
      <c r="XX8" s="292"/>
      <c r="XY8" s="292"/>
      <c r="XZ8" s="292"/>
      <c r="YA8" s="292"/>
      <c r="YB8" s="292"/>
      <c r="YC8" s="292"/>
      <c r="YD8" s="292"/>
      <c r="YE8" s="292"/>
      <c r="YF8" s="292"/>
      <c r="YG8" s="292"/>
      <c r="YH8" s="292"/>
      <c r="YI8" s="292"/>
      <c r="YJ8" s="292"/>
      <c r="YK8" s="292"/>
      <c r="YL8" s="292"/>
      <c r="YM8" s="292"/>
      <c r="YN8" s="292"/>
      <c r="YO8" s="292"/>
      <c r="YP8" s="292"/>
      <c r="YQ8" s="292"/>
      <c r="YR8" s="292"/>
      <c r="YS8" s="292"/>
      <c r="YT8" s="292"/>
      <c r="YU8" s="292"/>
      <c r="YV8" s="292"/>
      <c r="YW8" s="292"/>
      <c r="YX8" s="292"/>
      <c r="YY8" s="292"/>
      <c r="YZ8" s="292"/>
      <c r="ZA8" s="292"/>
      <c r="ZB8" s="292"/>
      <c r="ZC8" s="292"/>
      <c r="ZD8" s="292"/>
      <c r="ZE8" s="292"/>
      <c r="ZF8" s="292"/>
      <c r="ZG8" s="292"/>
      <c r="ZH8" s="292"/>
      <c r="ZI8" s="292"/>
      <c r="ZJ8" s="292"/>
      <c r="ZK8" s="292"/>
      <c r="ZL8" s="292"/>
      <c r="ZM8" s="292"/>
      <c r="ZN8" s="292"/>
      <c r="ZO8" s="292"/>
      <c r="ZP8" s="292"/>
      <c r="ZQ8" s="292"/>
      <c r="ZR8" s="292"/>
      <c r="ZS8" s="292"/>
      <c r="ZT8" s="292"/>
      <c r="ZU8" s="292"/>
      <c r="ZV8" s="292"/>
      <c r="ZW8" s="292"/>
      <c r="ZX8" s="292"/>
      <c r="ZY8" s="292"/>
      <c r="ZZ8" s="292"/>
      <c r="AAA8" s="292"/>
      <c r="AAB8" s="292"/>
      <c r="AAC8" s="292"/>
      <c r="AAD8" s="292"/>
      <c r="AAE8" s="292"/>
      <c r="AAF8" s="292"/>
      <c r="AAG8" s="292"/>
      <c r="AAH8" s="292"/>
      <c r="AAI8" s="292"/>
      <c r="AAJ8" s="292"/>
      <c r="AAK8" s="292"/>
      <c r="AAL8" s="292"/>
      <c r="AAM8" s="292"/>
      <c r="AAN8" s="292"/>
      <c r="AAO8" s="292"/>
      <c r="AAP8" s="292"/>
      <c r="AAQ8" s="292"/>
      <c r="AAR8" s="292"/>
      <c r="AAS8" s="292"/>
      <c r="AAT8" s="292"/>
      <c r="AAU8" s="292"/>
      <c r="AAV8" s="292"/>
      <c r="AAW8" s="292"/>
      <c r="AAX8" s="292"/>
      <c r="AAY8" s="292"/>
      <c r="AAZ8" s="292"/>
      <c r="ABA8" s="292"/>
      <c r="ABB8" s="292"/>
      <c r="ABC8" s="292"/>
      <c r="ABD8" s="292"/>
      <c r="ABE8" s="292"/>
      <c r="ABF8" s="292"/>
      <c r="ABG8" s="292"/>
      <c r="ABH8" s="292"/>
      <c r="ABI8" s="292"/>
      <c r="ABJ8" s="292"/>
      <c r="ABK8" s="292"/>
      <c r="ABL8" s="292"/>
      <c r="ABM8" s="292"/>
      <c r="ABN8" s="292"/>
      <c r="ABO8" s="292"/>
      <c r="ABP8" s="292"/>
      <c r="ABQ8" s="292"/>
      <c r="ABR8" s="292"/>
      <c r="ABS8" s="292"/>
      <c r="ABT8" s="292"/>
      <c r="ABU8" s="292"/>
      <c r="ABV8" s="292"/>
      <c r="ABW8" s="292"/>
      <c r="ABX8" s="292"/>
      <c r="ABY8" s="292"/>
      <c r="ABZ8" s="292"/>
      <c r="ACA8" s="292"/>
      <c r="ACB8" s="292"/>
      <c r="ACC8" s="292"/>
      <c r="ACD8" s="292"/>
      <c r="ACE8" s="292"/>
      <c r="ACF8" s="292"/>
      <c r="ACG8" s="292"/>
      <c r="ACH8" s="292"/>
      <c r="ACI8" s="292"/>
      <c r="ACJ8" s="292"/>
      <c r="ACK8" s="292"/>
      <c r="ACL8" s="292"/>
      <c r="ACM8" s="292"/>
      <c r="ACN8" s="292"/>
      <c r="ACO8" s="292"/>
      <c r="ACP8" s="292"/>
      <c r="ACQ8" s="292"/>
      <c r="ACR8" s="292"/>
      <c r="ACS8" s="292"/>
      <c r="ACT8" s="292"/>
      <c r="ACU8" s="292"/>
      <c r="ACV8" s="292"/>
      <c r="ACW8" s="292"/>
      <c r="ACX8" s="292"/>
      <c r="ACY8" s="292"/>
      <c r="ACZ8" s="292"/>
      <c r="ADA8" s="292"/>
      <c r="ADB8" s="292"/>
      <c r="ADC8" s="292"/>
      <c r="ADD8" s="292"/>
      <c r="ADE8" s="292"/>
      <c r="ADF8" s="292"/>
      <c r="ADG8" s="292"/>
      <c r="ADH8" s="292"/>
      <c r="ADI8" s="292"/>
      <c r="ADJ8" s="292"/>
      <c r="ADK8" s="292"/>
      <c r="ADL8" s="292"/>
      <c r="ADM8" s="292"/>
      <c r="ADN8" s="292"/>
      <c r="ADO8" s="292"/>
      <c r="ADP8" s="292"/>
      <c r="ADQ8" s="292"/>
      <c r="ADR8" s="292"/>
      <c r="ADS8" s="292"/>
      <c r="ADT8" s="292"/>
      <c r="ADU8" s="292"/>
      <c r="ADV8" s="292"/>
      <c r="ADW8" s="292"/>
      <c r="ADX8" s="292"/>
      <c r="ADY8" s="292"/>
      <c r="ADZ8" s="292"/>
      <c r="AEA8" s="292"/>
      <c r="AEB8" s="292"/>
      <c r="AEC8" s="292"/>
      <c r="AED8" s="292"/>
      <c r="AEE8" s="292"/>
      <c r="AEF8" s="292"/>
      <c r="AEG8" s="292"/>
      <c r="AEH8" s="292"/>
      <c r="AEI8" s="292"/>
      <c r="AEJ8" s="292"/>
      <c r="AEK8" s="292"/>
      <c r="AEL8" s="292"/>
      <c r="AEM8" s="292"/>
      <c r="AEN8" s="292"/>
      <c r="AEO8" s="292"/>
      <c r="AEP8" s="292"/>
      <c r="AEQ8" s="292"/>
      <c r="AER8" s="292"/>
      <c r="AES8" s="292"/>
      <c r="AET8" s="292"/>
      <c r="AEU8" s="292"/>
      <c r="AEV8" s="292"/>
      <c r="AEW8" s="292"/>
      <c r="AEX8" s="292"/>
      <c r="AEY8" s="292"/>
      <c r="AEZ8" s="292"/>
      <c r="AFA8" s="292"/>
      <c r="AFB8" s="292"/>
      <c r="AFC8" s="292"/>
      <c r="AFD8" s="292"/>
      <c r="AFE8" s="292"/>
      <c r="AFF8" s="292"/>
      <c r="AFG8" s="292"/>
      <c r="AFH8" s="292"/>
      <c r="AFI8" s="292"/>
      <c r="AFJ8" s="292"/>
      <c r="AFK8" s="292"/>
      <c r="AFL8" s="292"/>
      <c r="AFM8" s="292"/>
      <c r="AFN8" s="292"/>
      <c r="AFO8" s="292"/>
      <c r="AFP8" s="292"/>
      <c r="AFQ8" s="292"/>
      <c r="AFR8" s="292"/>
      <c r="AFS8" s="292"/>
      <c r="AFT8" s="292"/>
      <c r="AFU8" s="292"/>
      <c r="AFV8" s="292"/>
      <c r="AFW8" s="292"/>
      <c r="AFX8" s="292"/>
      <c r="AFY8" s="292"/>
      <c r="AFZ8" s="292"/>
      <c r="AGA8" s="292"/>
      <c r="AGB8" s="292"/>
      <c r="AGC8" s="292"/>
      <c r="AGD8" s="292"/>
      <c r="AGE8" s="292"/>
      <c r="AGF8" s="292"/>
      <c r="AGG8" s="292"/>
      <c r="AGH8" s="292"/>
      <c r="AGI8" s="292"/>
      <c r="AGJ8" s="292"/>
      <c r="AGK8" s="292"/>
      <c r="AGL8" s="292"/>
      <c r="AGM8" s="292"/>
      <c r="AGN8" s="292"/>
      <c r="AGO8" s="292"/>
      <c r="AGP8" s="292"/>
      <c r="AGQ8" s="292"/>
      <c r="AGR8" s="292"/>
      <c r="AGS8" s="292"/>
      <c r="AGT8" s="292"/>
      <c r="AGU8" s="292"/>
      <c r="AGV8" s="292"/>
      <c r="AGW8" s="292"/>
      <c r="AGX8" s="292"/>
      <c r="AGY8" s="292"/>
      <c r="AGZ8" s="292"/>
      <c r="AHA8" s="292"/>
      <c r="AHB8" s="292"/>
      <c r="AHC8" s="292"/>
      <c r="AHD8" s="292"/>
      <c r="AHE8" s="292"/>
      <c r="AHF8" s="292"/>
      <c r="AHG8" s="292"/>
      <c r="AHH8" s="292"/>
      <c r="AHI8" s="292"/>
      <c r="AHJ8" s="292"/>
      <c r="AHK8" s="292"/>
      <c r="AHL8" s="292"/>
      <c r="AHM8" s="292"/>
      <c r="AHN8" s="292"/>
      <c r="AHO8" s="292"/>
      <c r="AHP8" s="292"/>
      <c r="AHQ8" s="292"/>
      <c r="AHR8" s="292"/>
      <c r="AHS8" s="292"/>
      <c r="AHT8" s="292"/>
      <c r="AHU8" s="292"/>
      <c r="AHV8" s="292"/>
      <c r="AHW8" s="292"/>
      <c r="AHX8" s="292"/>
      <c r="AHY8" s="292"/>
      <c r="AHZ8" s="292"/>
      <c r="AIA8" s="292"/>
      <c r="AIB8" s="292"/>
      <c r="AIC8" s="292"/>
      <c r="AID8" s="292"/>
      <c r="AIE8" s="292"/>
      <c r="AIF8" s="292"/>
      <c r="AIG8" s="292"/>
      <c r="AIH8" s="292"/>
      <c r="AII8" s="292"/>
      <c r="AIJ8" s="292"/>
      <c r="AIK8" s="292"/>
      <c r="AIL8" s="292"/>
      <c r="AIM8" s="292"/>
      <c r="AIN8" s="292"/>
      <c r="AIO8" s="292"/>
      <c r="AIP8" s="292"/>
      <c r="AIQ8" s="292"/>
      <c r="AIR8" s="292"/>
      <c r="AIS8" s="292"/>
      <c r="AIT8" s="292"/>
      <c r="AIU8" s="292"/>
      <c r="AIV8" s="292"/>
      <c r="AIW8" s="292"/>
      <c r="AIX8" s="292"/>
      <c r="AIY8" s="292"/>
      <c r="AIZ8" s="292"/>
      <c r="AJA8" s="292"/>
      <c r="AJB8" s="292"/>
      <c r="AJC8" s="292"/>
      <c r="AJD8" s="292"/>
      <c r="AJE8" s="292"/>
      <c r="AJF8" s="292"/>
      <c r="AJG8" s="292"/>
      <c r="AJH8" s="292"/>
      <c r="AJI8" s="292"/>
      <c r="AJJ8" s="292"/>
      <c r="AJK8" s="292"/>
      <c r="AJL8" s="292"/>
      <c r="AJM8" s="292"/>
      <c r="AJN8" s="292"/>
      <c r="AJO8" s="292"/>
      <c r="AJP8" s="292"/>
      <c r="AJQ8" s="292"/>
      <c r="AJR8" s="292"/>
      <c r="AJS8" s="292"/>
      <c r="AJT8" s="292"/>
      <c r="AJU8" s="292"/>
      <c r="AJV8" s="292"/>
      <c r="AJW8" s="292"/>
      <c r="AJX8" s="292"/>
      <c r="AJY8" s="292"/>
      <c r="AJZ8" s="292"/>
      <c r="AKA8" s="292"/>
      <c r="AKB8" s="292"/>
      <c r="AKC8" s="292"/>
      <c r="AKD8" s="292"/>
      <c r="AKE8" s="292"/>
      <c r="AKF8" s="292"/>
      <c r="AKG8" s="292"/>
      <c r="AKH8" s="292"/>
      <c r="AKI8" s="292"/>
      <c r="AKJ8" s="292"/>
      <c r="AKK8" s="292"/>
      <c r="AKL8" s="292"/>
      <c r="AKM8" s="292"/>
      <c r="AKN8" s="292"/>
      <c r="AKO8" s="292"/>
      <c r="AKP8" s="564"/>
    </row>
    <row r="9" spans="1:978" s="205" customFormat="1" ht="217.5" customHeight="1" x14ac:dyDescent="0.25">
      <c r="A9" s="871"/>
      <c r="B9" s="871"/>
      <c r="C9" s="871"/>
      <c r="D9" s="871"/>
      <c r="E9" s="871"/>
      <c r="F9" s="871"/>
      <c r="G9" s="873"/>
      <c r="H9" s="871"/>
      <c r="I9" s="871"/>
      <c r="J9" s="871"/>
      <c r="K9" s="871"/>
      <c r="L9" s="869"/>
      <c r="M9" s="869"/>
      <c r="N9" s="869"/>
      <c r="O9" s="869"/>
      <c r="P9" s="867"/>
      <c r="Q9" s="201" t="s">
        <v>559</v>
      </c>
      <c r="R9" s="201" t="s">
        <v>560</v>
      </c>
      <c r="S9" s="201" t="s">
        <v>56</v>
      </c>
      <c r="T9" s="201"/>
      <c r="U9" s="530">
        <v>2510</v>
      </c>
      <c r="V9" s="868"/>
      <c r="W9" s="868"/>
      <c r="X9" s="869"/>
      <c r="Y9" s="870"/>
      <c r="Z9" s="857"/>
      <c r="AA9" s="854"/>
      <c r="AB9" s="859"/>
      <c r="AC9" s="201">
        <v>49</v>
      </c>
      <c r="AD9" s="201">
        <v>2510</v>
      </c>
      <c r="AE9" s="308">
        <f t="shared" si="0"/>
        <v>1.9521912350597609E-2</v>
      </c>
      <c r="AF9" s="201" t="s">
        <v>561</v>
      </c>
      <c r="AG9" s="862"/>
      <c r="AH9" s="859"/>
      <c r="AI9" s="865"/>
      <c r="AJ9" s="859"/>
      <c r="AK9" s="202">
        <f>AC9+377</f>
        <v>426</v>
      </c>
      <c r="AL9" s="202">
        <v>2510</v>
      </c>
      <c r="AM9" s="214">
        <f t="shared" si="1"/>
        <v>0.1697211155378486</v>
      </c>
      <c r="AN9" s="215" t="s">
        <v>562</v>
      </c>
      <c r="AO9" s="852"/>
      <c r="AP9" s="853"/>
      <c r="AQ9" s="854"/>
      <c r="AR9" s="857"/>
      <c r="AS9" s="202">
        <v>813</v>
      </c>
      <c r="AT9" s="202">
        <v>2510</v>
      </c>
      <c r="AU9" s="214">
        <f t="shared" si="2"/>
        <v>0.32390438247011955</v>
      </c>
      <c r="AV9" s="206" t="s">
        <v>563</v>
      </c>
      <c r="AW9" s="852"/>
      <c r="AX9" s="853"/>
      <c r="AY9" s="854"/>
      <c r="AZ9" s="857"/>
      <c r="BA9" s="202">
        <v>1169</v>
      </c>
      <c r="BB9" s="202">
        <v>2510</v>
      </c>
      <c r="BC9" s="214">
        <f t="shared" si="3"/>
        <v>0.4657370517928287</v>
      </c>
      <c r="BD9" s="206" t="s">
        <v>1000</v>
      </c>
      <c r="BE9" s="852"/>
      <c r="BF9" s="853"/>
      <c r="BG9" s="854"/>
      <c r="BH9" s="857"/>
      <c r="BI9" s="202">
        <v>1532</v>
      </c>
      <c r="BJ9" s="202">
        <v>2510</v>
      </c>
      <c r="BK9" s="214">
        <f t="shared" si="4"/>
        <v>0.61035856573705183</v>
      </c>
      <c r="BL9" s="206" t="s">
        <v>1001</v>
      </c>
      <c r="BM9" s="852"/>
      <c r="BN9" s="853"/>
      <c r="BO9" s="854"/>
      <c r="BP9" s="853"/>
      <c r="BQ9" s="202">
        <v>1877</v>
      </c>
      <c r="BR9" s="202">
        <v>2510</v>
      </c>
      <c r="BS9" s="214">
        <f>BQ9/BR9</f>
        <v>0.74780876494023907</v>
      </c>
      <c r="BT9" s="215" t="s">
        <v>1002</v>
      </c>
      <c r="BU9" s="292"/>
      <c r="BV9" s="292"/>
      <c r="BW9" s="292"/>
      <c r="BX9" s="292"/>
      <c r="BY9" s="292"/>
      <c r="BZ9" s="292"/>
      <c r="CA9" s="292"/>
      <c r="CB9" s="292"/>
      <c r="CC9" s="292"/>
      <c r="CD9" s="292"/>
      <c r="CE9" s="292"/>
      <c r="CF9" s="292"/>
      <c r="CG9" s="292"/>
      <c r="CH9" s="292"/>
      <c r="CI9" s="292"/>
      <c r="CJ9" s="292"/>
      <c r="CK9" s="292"/>
      <c r="CL9" s="292"/>
      <c r="CM9" s="292"/>
      <c r="CN9" s="292"/>
      <c r="CO9" s="292"/>
      <c r="CP9" s="292"/>
      <c r="CQ9" s="292"/>
      <c r="CR9" s="292"/>
      <c r="CS9" s="292"/>
      <c r="CT9" s="292"/>
      <c r="CU9" s="292"/>
      <c r="CV9" s="292"/>
      <c r="CW9" s="292"/>
      <c r="CX9" s="292"/>
      <c r="CY9" s="292"/>
      <c r="CZ9" s="292"/>
      <c r="DA9" s="292"/>
      <c r="DB9" s="292"/>
      <c r="DC9" s="292"/>
      <c r="DD9" s="292"/>
      <c r="DE9" s="292"/>
      <c r="DF9" s="292"/>
      <c r="DG9" s="292"/>
      <c r="DH9" s="292"/>
      <c r="DI9" s="292"/>
      <c r="DJ9" s="292"/>
      <c r="DK9" s="292"/>
      <c r="DL9" s="292"/>
      <c r="DM9" s="292"/>
      <c r="DN9" s="292"/>
      <c r="DO9" s="292"/>
      <c r="DP9" s="292"/>
      <c r="DQ9" s="292"/>
      <c r="DR9" s="292"/>
      <c r="DS9" s="292"/>
      <c r="DT9" s="292"/>
      <c r="DU9" s="292"/>
      <c r="DV9" s="292"/>
      <c r="DW9" s="292"/>
      <c r="DX9" s="292"/>
      <c r="DY9" s="292"/>
      <c r="DZ9" s="292"/>
      <c r="EA9" s="292"/>
      <c r="EB9" s="292"/>
      <c r="EC9" s="292"/>
      <c r="ED9" s="292"/>
      <c r="EE9" s="292"/>
      <c r="EF9" s="292"/>
      <c r="EG9" s="292"/>
      <c r="EH9" s="292"/>
      <c r="EI9" s="292"/>
      <c r="EJ9" s="292"/>
      <c r="EK9" s="292"/>
      <c r="EL9" s="292"/>
      <c r="EM9" s="292"/>
      <c r="EN9" s="292"/>
      <c r="EO9" s="292"/>
      <c r="EP9" s="292"/>
      <c r="EQ9" s="292"/>
      <c r="ER9" s="292"/>
      <c r="ES9" s="292"/>
      <c r="ET9" s="292"/>
      <c r="EU9" s="292"/>
      <c r="EV9" s="292"/>
      <c r="EW9" s="292"/>
      <c r="EX9" s="292"/>
      <c r="EY9" s="292"/>
      <c r="EZ9" s="292"/>
      <c r="FA9" s="292"/>
      <c r="FB9" s="292"/>
      <c r="FC9" s="292"/>
      <c r="FD9" s="292"/>
      <c r="FE9" s="292"/>
      <c r="FF9" s="292"/>
      <c r="FG9" s="292"/>
      <c r="FH9" s="292"/>
      <c r="FI9" s="292"/>
      <c r="FJ9" s="292"/>
      <c r="FK9" s="292"/>
      <c r="FL9" s="292"/>
      <c r="FM9" s="292"/>
      <c r="FN9" s="292"/>
      <c r="FO9" s="292"/>
      <c r="FP9" s="292"/>
      <c r="FQ9" s="292"/>
      <c r="FR9" s="292"/>
      <c r="FS9" s="292"/>
      <c r="FT9" s="292"/>
      <c r="FU9" s="292"/>
      <c r="FV9" s="292"/>
      <c r="FW9" s="292"/>
      <c r="FX9" s="292"/>
      <c r="FY9" s="292"/>
      <c r="FZ9" s="292"/>
      <c r="GA9" s="292"/>
      <c r="GB9" s="292"/>
      <c r="GC9" s="292"/>
      <c r="GD9" s="292"/>
      <c r="GE9" s="292"/>
      <c r="GF9" s="292"/>
      <c r="GG9" s="292"/>
      <c r="GH9" s="292"/>
      <c r="GI9" s="292"/>
      <c r="GJ9" s="292"/>
      <c r="GK9" s="292"/>
      <c r="GL9" s="292"/>
      <c r="GM9" s="292"/>
      <c r="GN9" s="292"/>
      <c r="GO9" s="292"/>
      <c r="GP9" s="292"/>
      <c r="GQ9" s="292"/>
      <c r="GR9" s="292"/>
      <c r="GS9" s="292"/>
      <c r="GT9" s="292"/>
      <c r="GU9" s="292"/>
      <c r="GV9" s="292"/>
      <c r="GW9" s="292"/>
      <c r="GX9" s="292"/>
      <c r="GY9" s="292"/>
      <c r="GZ9" s="292"/>
      <c r="HA9" s="292"/>
      <c r="HB9" s="292"/>
      <c r="HC9" s="292"/>
      <c r="HD9" s="292"/>
      <c r="HE9" s="292"/>
      <c r="HF9" s="292"/>
      <c r="HG9" s="292"/>
      <c r="HH9" s="292"/>
      <c r="HI9" s="292"/>
      <c r="HJ9" s="292"/>
      <c r="HK9" s="292"/>
      <c r="HL9" s="292"/>
      <c r="HM9" s="292"/>
      <c r="HN9" s="292"/>
      <c r="HO9" s="292"/>
      <c r="HP9" s="292"/>
      <c r="HQ9" s="292"/>
      <c r="HR9" s="292"/>
      <c r="HS9" s="292"/>
      <c r="HT9" s="292"/>
      <c r="HU9" s="292"/>
      <c r="HV9" s="292"/>
      <c r="HW9" s="292"/>
      <c r="HX9" s="292"/>
      <c r="HY9" s="292"/>
      <c r="HZ9" s="292"/>
      <c r="IA9" s="292"/>
      <c r="IB9" s="292"/>
      <c r="IC9" s="292"/>
      <c r="ID9" s="292"/>
      <c r="IE9" s="292"/>
      <c r="IF9" s="292"/>
      <c r="IG9" s="292"/>
      <c r="IH9" s="292"/>
      <c r="II9" s="292"/>
      <c r="IJ9" s="292"/>
      <c r="IK9" s="292"/>
      <c r="IL9" s="292"/>
      <c r="IM9" s="292"/>
      <c r="IN9" s="292"/>
      <c r="IO9" s="292"/>
      <c r="IP9" s="292"/>
      <c r="IQ9" s="292"/>
      <c r="IR9" s="292"/>
      <c r="IS9" s="292"/>
      <c r="IT9" s="292"/>
      <c r="IU9" s="292"/>
      <c r="IV9" s="292"/>
      <c r="IW9" s="292"/>
      <c r="IX9" s="292"/>
      <c r="IY9" s="292"/>
      <c r="IZ9" s="292"/>
      <c r="JA9" s="292"/>
      <c r="JB9" s="292"/>
      <c r="JC9" s="292"/>
      <c r="JD9" s="292"/>
      <c r="JE9" s="292"/>
      <c r="JF9" s="292"/>
      <c r="JG9" s="292"/>
      <c r="JH9" s="292"/>
      <c r="JI9" s="292"/>
      <c r="JJ9" s="292"/>
      <c r="JK9" s="292"/>
      <c r="JL9" s="292"/>
      <c r="JM9" s="292"/>
      <c r="JN9" s="292"/>
      <c r="JO9" s="292"/>
      <c r="JP9" s="292"/>
      <c r="JQ9" s="292"/>
      <c r="JR9" s="292"/>
      <c r="JS9" s="292"/>
      <c r="JT9" s="292"/>
      <c r="JU9" s="292"/>
      <c r="JV9" s="292"/>
      <c r="JW9" s="292"/>
      <c r="JX9" s="292"/>
      <c r="JY9" s="292"/>
      <c r="JZ9" s="292"/>
      <c r="KA9" s="292"/>
      <c r="KB9" s="292"/>
      <c r="KC9" s="292"/>
      <c r="KD9" s="292"/>
      <c r="KE9" s="292"/>
      <c r="KF9" s="292"/>
      <c r="KG9" s="292"/>
      <c r="KH9" s="292"/>
      <c r="KI9" s="292"/>
      <c r="KJ9" s="292"/>
      <c r="KK9" s="292"/>
      <c r="KL9" s="292"/>
      <c r="KM9" s="292"/>
      <c r="KN9" s="292"/>
      <c r="KO9" s="292"/>
      <c r="KP9" s="292"/>
      <c r="KQ9" s="292"/>
      <c r="KR9" s="292"/>
      <c r="KS9" s="292"/>
      <c r="KT9" s="292"/>
      <c r="KU9" s="292"/>
      <c r="KV9" s="292"/>
      <c r="KW9" s="292"/>
      <c r="KX9" s="292"/>
      <c r="KY9" s="292"/>
      <c r="KZ9" s="292"/>
      <c r="LA9" s="292"/>
      <c r="LB9" s="292"/>
      <c r="LC9" s="292"/>
      <c r="LD9" s="292"/>
      <c r="LE9" s="292"/>
      <c r="LF9" s="292"/>
      <c r="LG9" s="292"/>
      <c r="LH9" s="292"/>
      <c r="LI9" s="292"/>
      <c r="LJ9" s="292"/>
      <c r="LK9" s="292"/>
      <c r="LL9" s="292"/>
      <c r="LM9" s="292"/>
      <c r="LN9" s="292"/>
      <c r="LO9" s="292"/>
      <c r="LP9" s="292"/>
      <c r="LQ9" s="292"/>
      <c r="LR9" s="292"/>
      <c r="LS9" s="292"/>
      <c r="LT9" s="292"/>
      <c r="LU9" s="292"/>
      <c r="LV9" s="292"/>
      <c r="LW9" s="292"/>
      <c r="LX9" s="292"/>
      <c r="LY9" s="292"/>
      <c r="LZ9" s="292"/>
      <c r="MA9" s="292"/>
      <c r="MB9" s="292"/>
      <c r="MC9" s="292"/>
      <c r="MD9" s="292"/>
      <c r="ME9" s="292"/>
      <c r="MF9" s="292"/>
      <c r="MG9" s="292"/>
      <c r="MH9" s="292"/>
      <c r="MI9" s="292"/>
      <c r="MJ9" s="292"/>
      <c r="MK9" s="292"/>
      <c r="ML9" s="292"/>
      <c r="MM9" s="292"/>
      <c r="MN9" s="292"/>
      <c r="MO9" s="292"/>
      <c r="MP9" s="292"/>
      <c r="MQ9" s="292"/>
      <c r="MR9" s="292"/>
      <c r="MS9" s="292"/>
      <c r="MT9" s="292"/>
      <c r="MU9" s="292"/>
      <c r="MV9" s="292"/>
      <c r="MW9" s="292"/>
      <c r="MX9" s="292"/>
      <c r="MY9" s="292"/>
      <c r="MZ9" s="292"/>
      <c r="NA9" s="292"/>
      <c r="NB9" s="292"/>
      <c r="NC9" s="292"/>
      <c r="ND9" s="292"/>
      <c r="NE9" s="292"/>
      <c r="NF9" s="292"/>
      <c r="NG9" s="292"/>
      <c r="NH9" s="292"/>
      <c r="NI9" s="292"/>
      <c r="NJ9" s="292"/>
      <c r="NK9" s="292"/>
      <c r="NL9" s="292"/>
      <c r="NM9" s="292"/>
      <c r="NN9" s="292"/>
      <c r="NO9" s="292"/>
      <c r="NP9" s="292"/>
      <c r="NQ9" s="292"/>
      <c r="NR9" s="292"/>
      <c r="NS9" s="292"/>
      <c r="NT9" s="292"/>
      <c r="NU9" s="292"/>
      <c r="NV9" s="292"/>
      <c r="NW9" s="292"/>
      <c r="NX9" s="292"/>
      <c r="NY9" s="292"/>
      <c r="NZ9" s="292"/>
      <c r="OA9" s="292"/>
      <c r="OB9" s="292"/>
      <c r="OC9" s="292"/>
      <c r="OD9" s="292"/>
      <c r="OE9" s="292"/>
      <c r="OF9" s="292"/>
      <c r="OG9" s="292"/>
      <c r="OH9" s="292"/>
      <c r="OI9" s="292"/>
      <c r="OJ9" s="292"/>
      <c r="OK9" s="292"/>
      <c r="OL9" s="292"/>
      <c r="OM9" s="292"/>
      <c r="ON9" s="292"/>
      <c r="OO9" s="292"/>
      <c r="OP9" s="292"/>
      <c r="OQ9" s="292"/>
      <c r="OR9" s="292"/>
      <c r="OS9" s="292"/>
      <c r="OT9" s="292"/>
      <c r="OU9" s="292"/>
      <c r="OV9" s="292"/>
      <c r="OW9" s="292"/>
      <c r="OX9" s="292"/>
      <c r="OY9" s="292"/>
      <c r="OZ9" s="292"/>
      <c r="PA9" s="292"/>
      <c r="PB9" s="292"/>
      <c r="PC9" s="292"/>
      <c r="PD9" s="292"/>
      <c r="PE9" s="292"/>
      <c r="PF9" s="292"/>
      <c r="PG9" s="292"/>
      <c r="PH9" s="292"/>
      <c r="PI9" s="292"/>
      <c r="PJ9" s="292"/>
      <c r="PK9" s="292"/>
      <c r="PL9" s="292"/>
      <c r="PM9" s="292"/>
      <c r="PN9" s="292"/>
      <c r="PO9" s="292"/>
      <c r="PP9" s="292"/>
      <c r="PQ9" s="292"/>
      <c r="PR9" s="292"/>
      <c r="PS9" s="292"/>
      <c r="PT9" s="292"/>
      <c r="PU9" s="292"/>
      <c r="PV9" s="292"/>
      <c r="PW9" s="292"/>
      <c r="PX9" s="292"/>
      <c r="PY9" s="292"/>
      <c r="PZ9" s="292"/>
      <c r="QA9" s="292"/>
      <c r="QB9" s="292"/>
      <c r="QC9" s="292"/>
      <c r="QD9" s="292"/>
      <c r="QE9" s="292"/>
      <c r="QF9" s="292"/>
      <c r="QG9" s="292"/>
      <c r="QH9" s="292"/>
      <c r="QI9" s="292"/>
      <c r="QJ9" s="292"/>
      <c r="QK9" s="292"/>
      <c r="QL9" s="292"/>
      <c r="QM9" s="292"/>
      <c r="QN9" s="292"/>
      <c r="QO9" s="292"/>
      <c r="QP9" s="292"/>
      <c r="QQ9" s="292"/>
      <c r="QR9" s="292"/>
      <c r="QS9" s="292"/>
      <c r="QT9" s="292"/>
      <c r="QU9" s="292"/>
      <c r="QV9" s="292"/>
      <c r="QW9" s="292"/>
      <c r="QX9" s="292"/>
      <c r="QY9" s="292"/>
      <c r="QZ9" s="292"/>
      <c r="RA9" s="292"/>
      <c r="RB9" s="292"/>
      <c r="RC9" s="292"/>
      <c r="RD9" s="292"/>
      <c r="RE9" s="292"/>
      <c r="RF9" s="292"/>
      <c r="RG9" s="292"/>
      <c r="RH9" s="292"/>
      <c r="RI9" s="292"/>
      <c r="RJ9" s="292"/>
      <c r="RK9" s="292"/>
      <c r="RL9" s="292"/>
      <c r="RM9" s="292"/>
      <c r="RN9" s="292"/>
      <c r="RO9" s="292"/>
      <c r="RP9" s="292"/>
      <c r="RQ9" s="292"/>
      <c r="RR9" s="292"/>
      <c r="RS9" s="292"/>
      <c r="RT9" s="292"/>
      <c r="RU9" s="292"/>
      <c r="RV9" s="292"/>
      <c r="RW9" s="292"/>
      <c r="RX9" s="292"/>
      <c r="RY9" s="292"/>
      <c r="RZ9" s="292"/>
      <c r="SA9" s="292"/>
      <c r="SB9" s="292"/>
      <c r="SC9" s="292"/>
      <c r="SD9" s="292"/>
      <c r="SE9" s="292"/>
      <c r="SF9" s="292"/>
      <c r="SG9" s="292"/>
      <c r="SH9" s="292"/>
      <c r="SI9" s="292"/>
      <c r="SJ9" s="292"/>
      <c r="SK9" s="292"/>
      <c r="SL9" s="292"/>
      <c r="SM9" s="292"/>
      <c r="SN9" s="292"/>
      <c r="SO9" s="292"/>
      <c r="SP9" s="292"/>
      <c r="SQ9" s="292"/>
      <c r="SR9" s="292"/>
      <c r="SS9" s="292"/>
      <c r="ST9" s="292"/>
      <c r="SU9" s="292"/>
      <c r="SV9" s="292"/>
      <c r="SW9" s="292"/>
      <c r="SX9" s="292"/>
      <c r="SY9" s="292"/>
      <c r="SZ9" s="292"/>
      <c r="TA9" s="292"/>
      <c r="TB9" s="292"/>
      <c r="TC9" s="292"/>
      <c r="TD9" s="292"/>
      <c r="TE9" s="292"/>
      <c r="TF9" s="292"/>
      <c r="TG9" s="292"/>
      <c r="TH9" s="292"/>
      <c r="TI9" s="292"/>
      <c r="TJ9" s="292"/>
      <c r="TK9" s="292"/>
      <c r="TL9" s="292"/>
      <c r="TM9" s="292"/>
      <c r="TN9" s="292"/>
      <c r="TO9" s="292"/>
      <c r="TP9" s="292"/>
      <c r="TQ9" s="292"/>
      <c r="TR9" s="292"/>
      <c r="TS9" s="292"/>
      <c r="TT9" s="292"/>
      <c r="TU9" s="292"/>
      <c r="TV9" s="292"/>
      <c r="TW9" s="292"/>
      <c r="TX9" s="292"/>
      <c r="TY9" s="292"/>
      <c r="TZ9" s="292"/>
      <c r="UA9" s="292"/>
      <c r="UB9" s="292"/>
      <c r="UC9" s="292"/>
      <c r="UD9" s="292"/>
      <c r="UE9" s="292"/>
      <c r="UF9" s="292"/>
      <c r="UG9" s="292"/>
      <c r="UH9" s="292"/>
      <c r="UI9" s="292"/>
      <c r="UJ9" s="292"/>
      <c r="UK9" s="292"/>
      <c r="UL9" s="292"/>
      <c r="UM9" s="292"/>
      <c r="UN9" s="292"/>
      <c r="UO9" s="292"/>
      <c r="UP9" s="292"/>
      <c r="UQ9" s="292"/>
      <c r="UR9" s="292"/>
      <c r="US9" s="292"/>
      <c r="UT9" s="292"/>
      <c r="UU9" s="292"/>
      <c r="UV9" s="292"/>
      <c r="UW9" s="292"/>
      <c r="UX9" s="292"/>
      <c r="UY9" s="292"/>
      <c r="UZ9" s="292"/>
      <c r="VA9" s="292"/>
      <c r="VB9" s="292"/>
      <c r="VC9" s="292"/>
      <c r="VD9" s="292"/>
      <c r="VE9" s="292"/>
      <c r="VF9" s="292"/>
      <c r="VG9" s="292"/>
      <c r="VH9" s="292"/>
      <c r="VI9" s="292"/>
      <c r="VJ9" s="292"/>
      <c r="VK9" s="292"/>
      <c r="VL9" s="292"/>
      <c r="VM9" s="292"/>
      <c r="VN9" s="292"/>
      <c r="VO9" s="292"/>
      <c r="VP9" s="292"/>
      <c r="VQ9" s="292"/>
      <c r="VR9" s="292"/>
      <c r="VS9" s="292"/>
      <c r="VT9" s="292"/>
      <c r="VU9" s="292"/>
      <c r="VV9" s="292"/>
      <c r="VW9" s="292"/>
      <c r="VX9" s="292"/>
      <c r="VY9" s="292"/>
      <c r="VZ9" s="292"/>
      <c r="WA9" s="292"/>
      <c r="WB9" s="292"/>
      <c r="WC9" s="292"/>
      <c r="WD9" s="292"/>
      <c r="WE9" s="292"/>
      <c r="WF9" s="292"/>
      <c r="WG9" s="292"/>
      <c r="WH9" s="292"/>
      <c r="WI9" s="292"/>
      <c r="WJ9" s="292"/>
      <c r="WK9" s="292"/>
      <c r="WL9" s="292"/>
      <c r="WM9" s="292"/>
      <c r="WN9" s="292"/>
      <c r="WO9" s="292"/>
      <c r="WP9" s="292"/>
      <c r="WQ9" s="292"/>
      <c r="WR9" s="292"/>
      <c r="WS9" s="292"/>
      <c r="WT9" s="292"/>
      <c r="WU9" s="292"/>
      <c r="WV9" s="292"/>
      <c r="WW9" s="292"/>
      <c r="WX9" s="292"/>
      <c r="WY9" s="292"/>
      <c r="WZ9" s="292"/>
      <c r="XA9" s="292"/>
      <c r="XB9" s="292"/>
      <c r="XC9" s="292"/>
      <c r="XD9" s="292"/>
      <c r="XE9" s="292"/>
      <c r="XF9" s="292"/>
      <c r="XG9" s="292"/>
      <c r="XH9" s="292"/>
      <c r="XI9" s="292"/>
      <c r="XJ9" s="292"/>
      <c r="XK9" s="292"/>
      <c r="XL9" s="292"/>
      <c r="XM9" s="292"/>
      <c r="XN9" s="292"/>
      <c r="XO9" s="292"/>
      <c r="XP9" s="292"/>
      <c r="XQ9" s="292"/>
      <c r="XR9" s="292"/>
      <c r="XS9" s="292"/>
      <c r="XT9" s="292"/>
      <c r="XU9" s="292"/>
      <c r="XV9" s="292"/>
      <c r="XW9" s="292"/>
      <c r="XX9" s="292"/>
      <c r="XY9" s="292"/>
      <c r="XZ9" s="292"/>
      <c r="YA9" s="292"/>
      <c r="YB9" s="292"/>
      <c r="YC9" s="292"/>
      <c r="YD9" s="292"/>
      <c r="YE9" s="292"/>
      <c r="YF9" s="292"/>
      <c r="YG9" s="292"/>
      <c r="YH9" s="292"/>
      <c r="YI9" s="292"/>
      <c r="YJ9" s="292"/>
      <c r="YK9" s="292"/>
      <c r="YL9" s="292"/>
      <c r="YM9" s="292"/>
      <c r="YN9" s="292"/>
      <c r="YO9" s="292"/>
      <c r="YP9" s="292"/>
      <c r="YQ9" s="292"/>
      <c r="YR9" s="292"/>
      <c r="YS9" s="292"/>
      <c r="YT9" s="292"/>
      <c r="YU9" s="292"/>
      <c r="YV9" s="292"/>
      <c r="YW9" s="292"/>
      <c r="YX9" s="292"/>
      <c r="YY9" s="292"/>
      <c r="YZ9" s="292"/>
      <c r="ZA9" s="292"/>
      <c r="ZB9" s="292"/>
      <c r="ZC9" s="292"/>
      <c r="ZD9" s="292"/>
      <c r="ZE9" s="292"/>
      <c r="ZF9" s="292"/>
      <c r="ZG9" s="292"/>
      <c r="ZH9" s="292"/>
      <c r="ZI9" s="292"/>
      <c r="ZJ9" s="292"/>
      <c r="ZK9" s="292"/>
      <c r="ZL9" s="292"/>
      <c r="ZM9" s="292"/>
      <c r="ZN9" s="292"/>
      <c r="ZO9" s="292"/>
      <c r="ZP9" s="292"/>
      <c r="ZQ9" s="292"/>
      <c r="ZR9" s="292"/>
      <c r="ZS9" s="292"/>
      <c r="ZT9" s="292"/>
      <c r="ZU9" s="292"/>
      <c r="ZV9" s="292"/>
      <c r="ZW9" s="292"/>
      <c r="ZX9" s="292"/>
      <c r="ZY9" s="292"/>
      <c r="ZZ9" s="292"/>
      <c r="AAA9" s="292"/>
      <c r="AAB9" s="292"/>
      <c r="AAC9" s="292"/>
      <c r="AAD9" s="292"/>
      <c r="AAE9" s="292"/>
      <c r="AAF9" s="292"/>
      <c r="AAG9" s="292"/>
      <c r="AAH9" s="292"/>
      <c r="AAI9" s="292"/>
      <c r="AAJ9" s="292"/>
      <c r="AAK9" s="292"/>
      <c r="AAL9" s="292"/>
      <c r="AAM9" s="292"/>
      <c r="AAN9" s="292"/>
      <c r="AAO9" s="292"/>
      <c r="AAP9" s="292"/>
      <c r="AAQ9" s="292"/>
      <c r="AAR9" s="292"/>
      <c r="AAS9" s="292"/>
      <c r="AAT9" s="292"/>
      <c r="AAU9" s="292"/>
      <c r="AAV9" s="292"/>
      <c r="AAW9" s="292"/>
      <c r="AAX9" s="292"/>
      <c r="AAY9" s="292"/>
      <c r="AAZ9" s="292"/>
      <c r="ABA9" s="292"/>
      <c r="ABB9" s="292"/>
      <c r="ABC9" s="292"/>
      <c r="ABD9" s="292"/>
      <c r="ABE9" s="292"/>
      <c r="ABF9" s="292"/>
      <c r="ABG9" s="292"/>
      <c r="ABH9" s="292"/>
      <c r="ABI9" s="292"/>
      <c r="ABJ9" s="292"/>
      <c r="ABK9" s="292"/>
      <c r="ABL9" s="292"/>
      <c r="ABM9" s="292"/>
      <c r="ABN9" s="292"/>
      <c r="ABO9" s="292"/>
      <c r="ABP9" s="292"/>
      <c r="ABQ9" s="292"/>
      <c r="ABR9" s="292"/>
      <c r="ABS9" s="292"/>
      <c r="ABT9" s="292"/>
      <c r="ABU9" s="292"/>
      <c r="ABV9" s="292"/>
      <c r="ABW9" s="292"/>
      <c r="ABX9" s="292"/>
      <c r="ABY9" s="292"/>
      <c r="ABZ9" s="292"/>
      <c r="ACA9" s="292"/>
      <c r="ACB9" s="292"/>
      <c r="ACC9" s="292"/>
      <c r="ACD9" s="292"/>
      <c r="ACE9" s="292"/>
      <c r="ACF9" s="292"/>
      <c r="ACG9" s="292"/>
      <c r="ACH9" s="292"/>
      <c r="ACI9" s="292"/>
      <c r="ACJ9" s="292"/>
      <c r="ACK9" s="292"/>
      <c r="ACL9" s="292"/>
      <c r="ACM9" s="292"/>
      <c r="ACN9" s="292"/>
      <c r="ACO9" s="292"/>
      <c r="ACP9" s="292"/>
      <c r="ACQ9" s="292"/>
      <c r="ACR9" s="292"/>
      <c r="ACS9" s="292"/>
      <c r="ACT9" s="292"/>
      <c r="ACU9" s="292"/>
      <c r="ACV9" s="292"/>
      <c r="ACW9" s="292"/>
      <c r="ACX9" s="292"/>
      <c r="ACY9" s="292"/>
      <c r="ACZ9" s="292"/>
      <c r="ADA9" s="292"/>
      <c r="ADB9" s="292"/>
      <c r="ADC9" s="292"/>
      <c r="ADD9" s="292"/>
      <c r="ADE9" s="292"/>
      <c r="ADF9" s="292"/>
      <c r="ADG9" s="292"/>
      <c r="ADH9" s="292"/>
      <c r="ADI9" s="292"/>
      <c r="ADJ9" s="292"/>
      <c r="ADK9" s="292"/>
      <c r="ADL9" s="292"/>
      <c r="ADM9" s="292"/>
      <c r="ADN9" s="292"/>
      <c r="ADO9" s="292"/>
      <c r="ADP9" s="292"/>
      <c r="ADQ9" s="292"/>
      <c r="ADR9" s="292"/>
      <c r="ADS9" s="292"/>
      <c r="ADT9" s="292"/>
      <c r="ADU9" s="292"/>
      <c r="ADV9" s="292"/>
      <c r="ADW9" s="292"/>
      <c r="ADX9" s="292"/>
      <c r="ADY9" s="292"/>
      <c r="ADZ9" s="292"/>
      <c r="AEA9" s="292"/>
      <c r="AEB9" s="292"/>
      <c r="AEC9" s="292"/>
      <c r="AED9" s="292"/>
      <c r="AEE9" s="292"/>
      <c r="AEF9" s="292"/>
      <c r="AEG9" s="292"/>
      <c r="AEH9" s="292"/>
      <c r="AEI9" s="292"/>
      <c r="AEJ9" s="292"/>
      <c r="AEK9" s="292"/>
      <c r="AEL9" s="292"/>
      <c r="AEM9" s="292"/>
      <c r="AEN9" s="292"/>
      <c r="AEO9" s="292"/>
      <c r="AEP9" s="292"/>
      <c r="AEQ9" s="292"/>
      <c r="AER9" s="292"/>
      <c r="AES9" s="292"/>
      <c r="AET9" s="292"/>
      <c r="AEU9" s="292"/>
      <c r="AEV9" s="292"/>
      <c r="AEW9" s="292"/>
      <c r="AEX9" s="292"/>
      <c r="AEY9" s="292"/>
      <c r="AEZ9" s="292"/>
      <c r="AFA9" s="292"/>
      <c r="AFB9" s="292"/>
      <c r="AFC9" s="292"/>
      <c r="AFD9" s="292"/>
      <c r="AFE9" s="292"/>
      <c r="AFF9" s="292"/>
      <c r="AFG9" s="292"/>
      <c r="AFH9" s="292"/>
      <c r="AFI9" s="292"/>
      <c r="AFJ9" s="292"/>
      <c r="AFK9" s="292"/>
      <c r="AFL9" s="292"/>
      <c r="AFM9" s="292"/>
      <c r="AFN9" s="292"/>
      <c r="AFO9" s="292"/>
      <c r="AFP9" s="292"/>
      <c r="AFQ9" s="292"/>
      <c r="AFR9" s="292"/>
      <c r="AFS9" s="292"/>
      <c r="AFT9" s="292"/>
      <c r="AFU9" s="292"/>
      <c r="AFV9" s="292"/>
      <c r="AFW9" s="292"/>
      <c r="AFX9" s="292"/>
      <c r="AFY9" s="292"/>
      <c r="AFZ9" s="292"/>
      <c r="AGA9" s="292"/>
      <c r="AGB9" s="292"/>
      <c r="AGC9" s="292"/>
      <c r="AGD9" s="292"/>
      <c r="AGE9" s="292"/>
      <c r="AGF9" s="292"/>
      <c r="AGG9" s="292"/>
      <c r="AGH9" s="292"/>
      <c r="AGI9" s="292"/>
      <c r="AGJ9" s="292"/>
      <c r="AGK9" s="292"/>
      <c r="AGL9" s="292"/>
      <c r="AGM9" s="292"/>
      <c r="AGN9" s="292"/>
      <c r="AGO9" s="292"/>
      <c r="AGP9" s="292"/>
      <c r="AGQ9" s="292"/>
      <c r="AGR9" s="292"/>
      <c r="AGS9" s="292"/>
      <c r="AGT9" s="292"/>
      <c r="AGU9" s="292"/>
      <c r="AGV9" s="292"/>
      <c r="AGW9" s="292"/>
      <c r="AGX9" s="292"/>
      <c r="AGY9" s="292"/>
      <c r="AGZ9" s="292"/>
      <c r="AHA9" s="292"/>
      <c r="AHB9" s="292"/>
      <c r="AHC9" s="292"/>
      <c r="AHD9" s="292"/>
      <c r="AHE9" s="292"/>
      <c r="AHF9" s="292"/>
      <c r="AHG9" s="292"/>
      <c r="AHH9" s="292"/>
      <c r="AHI9" s="292"/>
      <c r="AHJ9" s="292"/>
      <c r="AHK9" s="292"/>
      <c r="AHL9" s="292"/>
      <c r="AHM9" s="292"/>
      <c r="AHN9" s="292"/>
      <c r="AHO9" s="292"/>
      <c r="AHP9" s="292"/>
      <c r="AHQ9" s="292"/>
      <c r="AHR9" s="292"/>
      <c r="AHS9" s="292"/>
      <c r="AHT9" s="292"/>
      <c r="AHU9" s="292"/>
      <c r="AHV9" s="292"/>
      <c r="AHW9" s="292"/>
      <c r="AHX9" s="292"/>
      <c r="AHY9" s="292"/>
      <c r="AHZ9" s="292"/>
      <c r="AIA9" s="292"/>
      <c r="AIB9" s="292"/>
      <c r="AIC9" s="292"/>
      <c r="AID9" s="292"/>
      <c r="AIE9" s="292"/>
      <c r="AIF9" s="292"/>
      <c r="AIG9" s="292"/>
      <c r="AIH9" s="292"/>
      <c r="AII9" s="292"/>
      <c r="AIJ9" s="292"/>
      <c r="AIK9" s="292"/>
      <c r="AIL9" s="292"/>
      <c r="AIM9" s="292"/>
      <c r="AIN9" s="292"/>
      <c r="AIO9" s="292"/>
      <c r="AIP9" s="292"/>
      <c r="AIQ9" s="292"/>
      <c r="AIR9" s="292"/>
      <c r="AIS9" s="292"/>
      <c r="AIT9" s="292"/>
      <c r="AIU9" s="292"/>
      <c r="AIV9" s="292"/>
      <c r="AIW9" s="292"/>
      <c r="AIX9" s="292"/>
      <c r="AIY9" s="292"/>
      <c r="AIZ9" s="292"/>
      <c r="AJA9" s="292"/>
      <c r="AJB9" s="292"/>
      <c r="AJC9" s="292"/>
      <c r="AJD9" s="292"/>
      <c r="AJE9" s="292"/>
      <c r="AJF9" s="292"/>
      <c r="AJG9" s="292"/>
      <c r="AJH9" s="292"/>
      <c r="AJI9" s="292"/>
      <c r="AJJ9" s="292"/>
      <c r="AJK9" s="292"/>
      <c r="AJL9" s="292"/>
      <c r="AJM9" s="292"/>
      <c r="AJN9" s="292"/>
      <c r="AJO9" s="292"/>
      <c r="AJP9" s="292"/>
      <c r="AJQ9" s="292"/>
      <c r="AJR9" s="292"/>
      <c r="AJS9" s="292"/>
      <c r="AJT9" s="292"/>
      <c r="AJU9" s="292"/>
      <c r="AJV9" s="292"/>
      <c r="AJW9" s="292"/>
      <c r="AJX9" s="292"/>
      <c r="AJY9" s="292"/>
      <c r="AJZ9" s="292"/>
      <c r="AKA9" s="292"/>
      <c r="AKB9" s="292"/>
      <c r="AKC9" s="292"/>
      <c r="AKD9" s="292"/>
      <c r="AKE9" s="292"/>
      <c r="AKF9" s="292"/>
      <c r="AKG9" s="292"/>
      <c r="AKH9" s="292"/>
      <c r="AKI9" s="292"/>
      <c r="AKJ9" s="292"/>
      <c r="AKK9" s="292"/>
      <c r="AKL9" s="292"/>
      <c r="AKM9" s="292"/>
      <c r="AKN9" s="292"/>
      <c r="AKO9" s="292"/>
      <c r="AKP9" s="564"/>
    </row>
    <row r="10" spans="1:978" s="205" customFormat="1" ht="189.75" customHeight="1" x14ac:dyDescent="0.25">
      <c r="A10" s="871"/>
      <c r="B10" s="871"/>
      <c r="C10" s="871"/>
      <c r="D10" s="871"/>
      <c r="E10" s="871"/>
      <c r="F10" s="871"/>
      <c r="G10" s="873"/>
      <c r="H10" s="871"/>
      <c r="I10" s="871"/>
      <c r="J10" s="871"/>
      <c r="K10" s="871"/>
      <c r="L10" s="869"/>
      <c r="M10" s="869"/>
      <c r="N10" s="869"/>
      <c r="O10" s="529"/>
      <c r="P10" s="867"/>
      <c r="Q10" s="206" t="s">
        <v>564</v>
      </c>
      <c r="R10" s="206" t="s">
        <v>565</v>
      </c>
      <c r="S10" s="206" t="s">
        <v>56</v>
      </c>
      <c r="T10" s="206"/>
      <c r="U10" s="216">
        <v>1</v>
      </c>
      <c r="V10" s="868"/>
      <c r="W10" s="868"/>
      <c r="X10" s="869"/>
      <c r="Y10" s="870"/>
      <c r="Z10" s="857"/>
      <c r="AA10" s="854"/>
      <c r="AB10" s="860"/>
      <c r="AC10" s="211">
        <v>0</v>
      </c>
      <c r="AD10" s="211">
        <v>1</v>
      </c>
      <c r="AE10" s="309">
        <f t="shared" si="0"/>
        <v>0</v>
      </c>
      <c r="AF10" s="211" t="s">
        <v>566</v>
      </c>
      <c r="AG10" s="863"/>
      <c r="AH10" s="860"/>
      <c r="AI10" s="866"/>
      <c r="AJ10" s="860"/>
      <c r="AK10" s="211">
        <v>0</v>
      </c>
      <c r="AL10" s="211">
        <v>1</v>
      </c>
      <c r="AM10" s="217">
        <v>0.1</v>
      </c>
      <c r="AN10" s="218" t="s">
        <v>567</v>
      </c>
      <c r="AO10" s="852"/>
      <c r="AP10" s="853"/>
      <c r="AQ10" s="854"/>
      <c r="AR10" s="857"/>
      <c r="AS10" s="211">
        <v>0</v>
      </c>
      <c r="AT10" s="211">
        <v>1</v>
      </c>
      <c r="AU10" s="217">
        <v>0.1</v>
      </c>
      <c r="AV10" s="211" t="s">
        <v>568</v>
      </c>
      <c r="AW10" s="852"/>
      <c r="AX10" s="853"/>
      <c r="AY10" s="854"/>
      <c r="AZ10" s="857"/>
      <c r="BA10" s="211">
        <v>0</v>
      </c>
      <c r="BB10" s="211">
        <v>1</v>
      </c>
      <c r="BC10" s="217">
        <v>0.1</v>
      </c>
      <c r="BD10" s="211" t="s">
        <v>1003</v>
      </c>
      <c r="BE10" s="852"/>
      <c r="BF10" s="853"/>
      <c r="BG10" s="854"/>
      <c r="BH10" s="857"/>
      <c r="BI10" s="211">
        <v>0</v>
      </c>
      <c r="BJ10" s="211">
        <v>1</v>
      </c>
      <c r="BK10" s="217">
        <v>0.2</v>
      </c>
      <c r="BL10" s="211" t="s">
        <v>1004</v>
      </c>
      <c r="BM10" s="852"/>
      <c r="BN10" s="853"/>
      <c r="BO10" s="854"/>
      <c r="BP10" s="853"/>
      <c r="BQ10" s="211">
        <v>0</v>
      </c>
      <c r="BR10" s="211">
        <v>1</v>
      </c>
      <c r="BS10" s="217">
        <v>0.3</v>
      </c>
      <c r="BT10" s="218" t="s">
        <v>1005</v>
      </c>
      <c r="BU10" s="292"/>
      <c r="BV10" s="292"/>
      <c r="BW10" s="292"/>
      <c r="BX10" s="292"/>
      <c r="BY10" s="292"/>
      <c r="BZ10" s="292"/>
      <c r="CA10" s="292"/>
      <c r="CB10" s="292"/>
      <c r="CC10" s="292"/>
      <c r="CD10" s="292"/>
      <c r="CE10" s="292"/>
      <c r="CF10" s="292"/>
      <c r="CG10" s="292"/>
      <c r="CH10" s="292"/>
      <c r="CI10" s="292"/>
      <c r="CJ10" s="292"/>
      <c r="CK10" s="292"/>
      <c r="CL10" s="292"/>
      <c r="CM10" s="292"/>
      <c r="CN10" s="292"/>
      <c r="CO10" s="292"/>
      <c r="CP10" s="292"/>
      <c r="CQ10" s="292"/>
      <c r="CR10" s="292"/>
      <c r="CS10" s="292"/>
      <c r="CT10" s="292"/>
      <c r="CU10" s="292"/>
      <c r="CV10" s="292"/>
      <c r="CW10" s="292"/>
      <c r="CX10" s="292"/>
      <c r="CY10" s="292"/>
      <c r="CZ10" s="292"/>
      <c r="DA10" s="292"/>
      <c r="DB10" s="292"/>
      <c r="DC10" s="292"/>
      <c r="DD10" s="292"/>
      <c r="DE10" s="292"/>
      <c r="DF10" s="292"/>
      <c r="DG10" s="292"/>
      <c r="DH10" s="292"/>
      <c r="DI10" s="292"/>
      <c r="DJ10" s="292"/>
      <c r="DK10" s="292"/>
      <c r="DL10" s="292"/>
      <c r="DM10" s="292"/>
      <c r="DN10" s="292"/>
      <c r="DO10" s="292"/>
      <c r="DP10" s="292"/>
      <c r="DQ10" s="292"/>
      <c r="DR10" s="292"/>
      <c r="DS10" s="292"/>
      <c r="DT10" s="292"/>
      <c r="DU10" s="292"/>
      <c r="DV10" s="292"/>
      <c r="DW10" s="292"/>
      <c r="DX10" s="292"/>
      <c r="DY10" s="292"/>
      <c r="DZ10" s="292"/>
      <c r="EA10" s="292"/>
      <c r="EB10" s="292"/>
      <c r="EC10" s="292"/>
      <c r="ED10" s="292"/>
      <c r="EE10" s="292"/>
      <c r="EF10" s="292"/>
      <c r="EG10" s="292"/>
      <c r="EH10" s="292"/>
      <c r="EI10" s="292"/>
      <c r="EJ10" s="292"/>
      <c r="EK10" s="292"/>
      <c r="EL10" s="292"/>
      <c r="EM10" s="292"/>
      <c r="EN10" s="292"/>
      <c r="EO10" s="292"/>
      <c r="EP10" s="292"/>
      <c r="EQ10" s="292"/>
      <c r="ER10" s="292"/>
      <c r="ES10" s="292"/>
      <c r="ET10" s="292"/>
      <c r="EU10" s="292"/>
      <c r="EV10" s="292"/>
      <c r="EW10" s="292"/>
      <c r="EX10" s="292"/>
      <c r="EY10" s="292"/>
      <c r="EZ10" s="292"/>
      <c r="FA10" s="292"/>
      <c r="FB10" s="292"/>
      <c r="FC10" s="292"/>
      <c r="FD10" s="292"/>
      <c r="FE10" s="292"/>
      <c r="FF10" s="292"/>
      <c r="FG10" s="292"/>
      <c r="FH10" s="292"/>
      <c r="FI10" s="292"/>
      <c r="FJ10" s="292"/>
      <c r="FK10" s="292"/>
      <c r="FL10" s="292"/>
      <c r="FM10" s="292"/>
      <c r="FN10" s="292"/>
      <c r="FO10" s="292"/>
      <c r="FP10" s="292"/>
      <c r="FQ10" s="292"/>
      <c r="FR10" s="292"/>
      <c r="FS10" s="292"/>
      <c r="FT10" s="292"/>
      <c r="FU10" s="292"/>
      <c r="FV10" s="292"/>
      <c r="FW10" s="292"/>
      <c r="FX10" s="292"/>
      <c r="FY10" s="292"/>
      <c r="FZ10" s="292"/>
      <c r="GA10" s="292"/>
      <c r="GB10" s="292"/>
      <c r="GC10" s="292"/>
      <c r="GD10" s="292"/>
      <c r="GE10" s="292"/>
      <c r="GF10" s="292"/>
      <c r="GG10" s="292"/>
      <c r="GH10" s="292"/>
      <c r="GI10" s="292"/>
      <c r="GJ10" s="292"/>
      <c r="GK10" s="292"/>
      <c r="GL10" s="292"/>
      <c r="GM10" s="292"/>
      <c r="GN10" s="292"/>
      <c r="GO10" s="292"/>
      <c r="GP10" s="292"/>
      <c r="GQ10" s="292"/>
      <c r="GR10" s="292"/>
      <c r="GS10" s="292"/>
      <c r="GT10" s="292"/>
      <c r="GU10" s="292"/>
      <c r="GV10" s="292"/>
      <c r="GW10" s="292"/>
      <c r="GX10" s="292"/>
      <c r="GY10" s="292"/>
      <c r="GZ10" s="292"/>
      <c r="HA10" s="292"/>
      <c r="HB10" s="292"/>
      <c r="HC10" s="292"/>
      <c r="HD10" s="292"/>
      <c r="HE10" s="292"/>
      <c r="HF10" s="292"/>
      <c r="HG10" s="292"/>
      <c r="HH10" s="292"/>
      <c r="HI10" s="292"/>
      <c r="HJ10" s="292"/>
      <c r="HK10" s="292"/>
      <c r="HL10" s="292"/>
      <c r="HM10" s="292"/>
      <c r="HN10" s="292"/>
      <c r="HO10" s="292"/>
      <c r="HP10" s="292"/>
      <c r="HQ10" s="292"/>
      <c r="HR10" s="292"/>
      <c r="HS10" s="292"/>
      <c r="HT10" s="292"/>
      <c r="HU10" s="292"/>
      <c r="HV10" s="292"/>
      <c r="HW10" s="292"/>
      <c r="HX10" s="292"/>
      <c r="HY10" s="292"/>
      <c r="HZ10" s="292"/>
      <c r="IA10" s="292"/>
      <c r="IB10" s="292"/>
      <c r="IC10" s="292"/>
      <c r="ID10" s="292"/>
      <c r="IE10" s="292"/>
      <c r="IF10" s="292"/>
      <c r="IG10" s="292"/>
      <c r="IH10" s="292"/>
      <c r="II10" s="292"/>
      <c r="IJ10" s="292"/>
      <c r="IK10" s="292"/>
      <c r="IL10" s="292"/>
      <c r="IM10" s="292"/>
      <c r="IN10" s="292"/>
      <c r="IO10" s="292"/>
      <c r="IP10" s="292"/>
      <c r="IQ10" s="292"/>
      <c r="IR10" s="292"/>
      <c r="IS10" s="292"/>
      <c r="IT10" s="292"/>
      <c r="IU10" s="292"/>
      <c r="IV10" s="292"/>
      <c r="IW10" s="292"/>
      <c r="IX10" s="292"/>
      <c r="IY10" s="292"/>
      <c r="IZ10" s="292"/>
      <c r="JA10" s="292"/>
      <c r="JB10" s="292"/>
      <c r="JC10" s="292"/>
      <c r="JD10" s="292"/>
      <c r="JE10" s="292"/>
      <c r="JF10" s="292"/>
      <c r="JG10" s="292"/>
      <c r="JH10" s="292"/>
      <c r="JI10" s="292"/>
      <c r="JJ10" s="292"/>
      <c r="JK10" s="292"/>
      <c r="JL10" s="292"/>
      <c r="JM10" s="292"/>
      <c r="JN10" s="292"/>
      <c r="JO10" s="292"/>
      <c r="JP10" s="292"/>
      <c r="JQ10" s="292"/>
      <c r="JR10" s="292"/>
      <c r="JS10" s="292"/>
      <c r="JT10" s="292"/>
      <c r="JU10" s="292"/>
      <c r="JV10" s="292"/>
      <c r="JW10" s="292"/>
      <c r="JX10" s="292"/>
      <c r="JY10" s="292"/>
      <c r="JZ10" s="292"/>
      <c r="KA10" s="292"/>
      <c r="KB10" s="292"/>
      <c r="KC10" s="292"/>
      <c r="KD10" s="292"/>
      <c r="KE10" s="292"/>
      <c r="KF10" s="292"/>
      <c r="KG10" s="292"/>
      <c r="KH10" s="292"/>
      <c r="KI10" s="292"/>
      <c r="KJ10" s="292"/>
      <c r="KK10" s="292"/>
      <c r="KL10" s="292"/>
      <c r="KM10" s="292"/>
      <c r="KN10" s="292"/>
      <c r="KO10" s="292"/>
      <c r="KP10" s="292"/>
      <c r="KQ10" s="292"/>
      <c r="KR10" s="292"/>
      <c r="KS10" s="292"/>
      <c r="KT10" s="292"/>
      <c r="KU10" s="292"/>
      <c r="KV10" s="292"/>
      <c r="KW10" s="292"/>
      <c r="KX10" s="292"/>
      <c r="KY10" s="292"/>
      <c r="KZ10" s="292"/>
      <c r="LA10" s="292"/>
      <c r="LB10" s="292"/>
      <c r="LC10" s="292"/>
      <c r="LD10" s="292"/>
      <c r="LE10" s="292"/>
      <c r="LF10" s="292"/>
      <c r="LG10" s="292"/>
      <c r="LH10" s="292"/>
      <c r="LI10" s="292"/>
      <c r="LJ10" s="292"/>
      <c r="LK10" s="292"/>
      <c r="LL10" s="292"/>
      <c r="LM10" s="292"/>
      <c r="LN10" s="292"/>
      <c r="LO10" s="292"/>
      <c r="LP10" s="292"/>
      <c r="LQ10" s="292"/>
      <c r="LR10" s="292"/>
      <c r="LS10" s="292"/>
      <c r="LT10" s="292"/>
      <c r="LU10" s="292"/>
      <c r="LV10" s="292"/>
      <c r="LW10" s="292"/>
      <c r="LX10" s="292"/>
      <c r="LY10" s="292"/>
      <c r="LZ10" s="292"/>
      <c r="MA10" s="292"/>
      <c r="MB10" s="292"/>
      <c r="MC10" s="292"/>
      <c r="MD10" s="292"/>
      <c r="ME10" s="292"/>
      <c r="MF10" s="292"/>
      <c r="MG10" s="292"/>
      <c r="MH10" s="292"/>
      <c r="MI10" s="292"/>
      <c r="MJ10" s="292"/>
      <c r="MK10" s="292"/>
      <c r="ML10" s="292"/>
      <c r="MM10" s="292"/>
      <c r="MN10" s="292"/>
      <c r="MO10" s="292"/>
      <c r="MP10" s="292"/>
      <c r="MQ10" s="292"/>
      <c r="MR10" s="292"/>
      <c r="MS10" s="292"/>
      <c r="MT10" s="292"/>
      <c r="MU10" s="292"/>
      <c r="MV10" s="292"/>
      <c r="MW10" s="292"/>
      <c r="MX10" s="292"/>
      <c r="MY10" s="292"/>
      <c r="MZ10" s="292"/>
      <c r="NA10" s="292"/>
      <c r="NB10" s="292"/>
      <c r="NC10" s="292"/>
      <c r="ND10" s="292"/>
      <c r="NE10" s="292"/>
      <c r="NF10" s="292"/>
      <c r="NG10" s="292"/>
      <c r="NH10" s="292"/>
      <c r="NI10" s="292"/>
      <c r="NJ10" s="292"/>
      <c r="NK10" s="292"/>
      <c r="NL10" s="292"/>
      <c r="NM10" s="292"/>
      <c r="NN10" s="292"/>
      <c r="NO10" s="292"/>
      <c r="NP10" s="292"/>
      <c r="NQ10" s="292"/>
      <c r="NR10" s="292"/>
      <c r="NS10" s="292"/>
      <c r="NT10" s="292"/>
      <c r="NU10" s="292"/>
      <c r="NV10" s="292"/>
      <c r="NW10" s="292"/>
      <c r="NX10" s="292"/>
      <c r="NY10" s="292"/>
      <c r="NZ10" s="292"/>
      <c r="OA10" s="292"/>
      <c r="OB10" s="292"/>
      <c r="OC10" s="292"/>
      <c r="OD10" s="292"/>
      <c r="OE10" s="292"/>
      <c r="OF10" s="292"/>
      <c r="OG10" s="292"/>
      <c r="OH10" s="292"/>
      <c r="OI10" s="292"/>
      <c r="OJ10" s="292"/>
      <c r="OK10" s="292"/>
      <c r="OL10" s="292"/>
      <c r="OM10" s="292"/>
      <c r="ON10" s="292"/>
      <c r="OO10" s="292"/>
      <c r="OP10" s="292"/>
      <c r="OQ10" s="292"/>
      <c r="OR10" s="292"/>
      <c r="OS10" s="292"/>
      <c r="OT10" s="292"/>
      <c r="OU10" s="292"/>
      <c r="OV10" s="292"/>
      <c r="OW10" s="292"/>
      <c r="OX10" s="292"/>
      <c r="OY10" s="292"/>
      <c r="OZ10" s="292"/>
      <c r="PA10" s="292"/>
      <c r="PB10" s="292"/>
      <c r="PC10" s="292"/>
      <c r="PD10" s="292"/>
      <c r="PE10" s="292"/>
      <c r="PF10" s="292"/>
      <c r="PG10" s="292"/>
      <c r="PH10" s="292"/>
      <c r="PI10" s="292"/>
      <c r="PJ10" s="292"/>
      <c r="PK10" s="292"/>
      <c r="PL10" s="292"/>
      <c r="PM10" s="292"/>
      <c r="PN10" s="292"/>
      <c r="PO10" s="292"/>
      <c r="PP10" s="292"/>
      <c r="PQ10" s="292"/>
      <c r="PR10" s="292"/>
      <c r="PS10" s="292"/>
      <c r="PT10" s="292"/>
      <c r="PU10" s="292"/>
      <c r="PV10" s="292"/>
      <c r="PW10" s="292"/>
      <c r="PX10" s="292"/>
      <c r="PY10" s="292"/>
      <c r="PZ10" s="292"/>
      <c r="QA10" s="292"/>
      <c r="QB10" s="292"/>
      <c r="QC10" s="292"/>
      <c r="QD10" s="292"/>
      <c r="QE10" s="292"/>
      <c r="QF10" s="292"/>
      <c r="QG10" s="292"/>
      <c r="QH10" s="292"/>
      <c r="QI10" s="292"/>
      <c r="QJ10" s="292"/>
      <c r="QK10" s="292"/>
      <c r="QL10" s="292"/>
      <c r="QM10" s="292"/>
      <c r="QN10" s="292"/>
      <c r="QO10" s="292"/>
      <c r="QP10" s="292"/>
      <c r="QQ10" s="292"/>
      <c r="QR10" s="292"/>
      <c r="QS10" s="292"/>
      <c r="QT10" s="292"/>
      <c r="QU10" s="292"/>
      <c r="QV10" s="292"/>
      <c r="QW10" s="292"/>
      <c r="QX10" s="292"/>
      <c r="QY10" s="292"/>
      <c r="QZ10" s="292"/>
      <c r="RA10" s="292"/>
      <c r="RB10" s="292"/>
      <c r="RC10" s="292"/>
      <c r="RD10" s="292"/>
      <c r="RE10" s="292"/>
      <c r="RF10" s="292"/>
      <c r="RG10" s="292"/>
      <c r="RH10" s="292"/>
      <c r="RI10" s="292"/>
      <c r="RJ10" s="292"/>
      <c r="RK10" s="292"/>
      <c r="RL10" s="292"/>
      <c r="RM10" s="292"/>
      <c r="RN10" s="292"/>
      <c r="RO10" s="292"/>
      <c r="RP10" s="292"/>
      <c r="RQ10" s="292"/>
      <c r="RR10" s="292"/>
      <c r="RS10" s="292"/>
      <c r="RT10" s="292"/>
      <c r="RU10" s="292"/>
      <c r="RV10" s="292"/>
      <c r="RW10" s="292"/>
      <c r="RX10" s="292"/>
      <c r="RY10" s="292"/>
      <c r="RZ10" s="292"/>
      <c r="SA10" s="292"/>
      <c r="SB10" s="292"/>
      <c r="SC10" s="292"/>
      <c r="SD10" s="292"/>
      <c r="SE10" s="292"/>
      <c r="SF10" s="292"/>
      <c r="SG10" s="292"/>
      <c r="SH10" s="292"/>
      <c r="SI10" s="292"/>
      <c r="SJ10" s="292"/>
      <c r="SK10" s="292"/>
      <c r="SL10" s="292"/>
      <c r="SM10" s="292"/>
      <c r="SN10" s="292"/>
      <c r="SO10" s="292"/>
      <c r="SP10" s="292"/>
      <c r="SQ10" s="292"/>
      <c r="SR10" s="292"/>
      <c r="SS10" s="292"/>
      <c r="ST10" s="292"/>
      <c r="SU10" s="292"/>
      <c r="SV10" s="292"/>
      <c r="SW10" s="292"/>
      <c r="SX10" s="292"/>
      <c r="SY10" s="292"/>
      <c r="SZ10" s="292"/>
      <c r="TA10" s="292"/>
      <c r="TB10" s="292"/>
      <c r="TC10" s="292"/>
      <c r="TD10" s="292"/>
      <c r="TE10" s="292"/>
      <c r="TF10" s="292"/>
      <c r="TG10" s="292"/>
      <c r="TH10" s="292"/>
      <c r="TI10" s="292"/>
      <c r="TJ10" s="292"/>
      <c r="TK10" s="292"/>
      <c r="TL10" s="292"/>
      <c r="TM10" s="292"/>
      <c r="TN10" s="292"/>
      <c r="TO10" s="292"/>
      <c r="TP10" s="292"/>
      <c r="TQ10" s="292"/>
      <c r="TR10" s="292"/>
      <c r="TS10" s="292"/>
      <c r="TT10" s="292"/>
      <c r="TU10" s="292"/>
      <c r="TV10" s="292"/>
      <c r="TW10" s="292"/>
      <c r="TX10" s="292"/>
      <c r="TY10" s="292"/>
      <c r="TZ10" s="292"/>
      <c r="UA10" s="292"/>
      <c r="UB10" s="292"/>
      <c r="UC10" s="292"/>
      <c r="UD10" s="292"/>
      <c r="UE10" s="292"/>
      <c r="UF10" s="292"/>
      <c r="UG10" s="292"/>
      <c r="UH10" s="292"/>
      <c r="UI10" s="292"/>
      <c r="UJ10" s="292"/>
      <c r="UK10" s="292"/>
      <c r="UL10" s="292"/>
      <c r="UM10" s="292"/>
      <c r="UN10" s="292"/>
      <c r="UO10" s="292"/>
      <c r="UP10" s="292"/>
      <c r="UQ10" s="292"/>
      <c r="UR10" s="292"/>
      <c r="US10" s="292"/>
      <c r="UT10" s="292"/>
      <c r="UU10" s="292"/>
      <c r="UV10" s="292"/>
      <c r="UW10" s="292"/>
      <c r="UX10" s="292"/>
      <c r="UY10" s="292"/>
      <c r="UZ10" s="292"/>
      <c r="VA10" s="292"/>
      <c r="VB10" s="292"/>
      <c r="VC10" s="292"/>
      <c r="VD10" s="292"/>
      <c r="VE10" s="292"/>
      <c r="VF10" s="292"/>
      <c r="VG10" s="292"/>
      <c r="VH10" s="292"/>
      <c r="VI10" s="292"/>
      <c r="VJ10" s="292"/>
      <c r="VK10" s="292"/>
      <c r="VL10" s="292"/>
      <c r="VM10" s="292"/>
      <c r="VN10" s="292"/>
      <c r="VO10" s="292"/>
      <c r="VP10" s="292"/>
      <c r="VQ10" s="292"/>
      <c r="VR10" s="292"/>
      <c r="VS10" s="292"/>
      <c r="VT10" s="292"/>
      <c r="VU10" s="292"/>
      <c r="VV10" s="292"/>
      <c r="VW10" s="292"/>
      <c r="VX10" s="292"/>
      <c r="VY10" s="292"/>
      <c r="VZ10" s="292"/>
      <c r="WA10" s="292"/>
      <c r="WB10" s="292"/>
      <c r="WC10" s="292"/>
      <c r="WD10" s="292"/>
      <c r="WE10" s="292"/>
      <c r="WF10" s="292"/>
      <c r="WG10" s="292"/>
      <c r="WH10" s="292"/>
      <c r="WI10" s="292"/>
      <c r="WJ10" s="292"/>
      <c r="WK10" s="292"/>
      <c r="WL10" s="292"/>
      <c r="WM10" s="292"/>
      <c r="WN10" s="292"/>
      <c r="WO10" s="292"/>
      <c r="WP10" s="292"/>
      <c r="WQ10" s="292"/>
      <c r="WR10" s="292"/>
      <c r="WS10" s="292"/>
      <c r="WT10" s="292"/>
      <c r="WU10" s="292"/>
      <c r="WV10" s="292"/>
      <c r="WW10" s="292"/>
      <c r="WX10" s="292"/>
      <c r="WY10" s="292"/>
      <c r="WZ10" s="292"/>
      <c r="XA10" s="292"/>
      <c r="XB10" s="292"/>
      <c r="XC10" s="292"/>
      <c r="XD10" s="292"/>
      <c r="XE10" s="292"/>
      <c r="XF10" s="292"/>
      <c r="XG10" s="292"/>
      <c r="XH10" s="292"/>
      <c r="XI10" s="292"/>
      <c r="XJ10" s="292"/>
      <c r="XK10" s="292"/>
      <c r="XL10" s="292"/>
      <c r="XM10" s="292"/>
      <c r="XN10" s="292"/>
      <c r="XO10" s="292"/>
      <c r="XP10" s="292"/>
      <c r="XQ10" s="292"/>
      <c r="XR10" s="292"/>
      <c r="XS10" s="292"/>
      <c r="XT10" s="292"/>
      <c r="XU10" s="292"/>
      <c r="XV10" s="292"/>
      <c r="XW10" s="292"/>
      <c r="XX10" s="292"/>
      <c r="XY10" s="292"/>
      <c r="XZ10" s="292"/>
      <c r="YA10" s="292"/>
      <c r="YB10" s="292"/>
      <c r="YC10" s="292"/>
      <c r="YD10" s="292"/>
      <c r="YE10" s="292"/>
      <c r="YF10" s="292"/>
      <c r="YG10" s="292"/>
      <c r="YH10" s="292"/>
      <c r="YI10" s="292"/>
      <c r="YJ10" s="292"/>
      <c r="YK10" s="292"/>
      <c r="YL10" s="292"/>
      <c r="YM10" s="292"/>
      <c r="YN10" s="292"/>
      <c r="YO10" s="292"/>
      <c r="YP10" s="292"/>
      <c r="YQ10" s="292"/>
      <c r="YR10" s="292"/>
      <c r="YS10" s="292"/>
      <c r="YT10" s="292"/>
      <c r="YU10" s="292"/>
      <c r="YV10" s="292"/>
      <c r="YW10" s="292"/>
      <c r="YX10" s="292"/>
      <c r="YY10" s="292"/>
      <c r="YZ10" s="292"/>
      <c r="ZA10" s="292"/>
      <c r="ZB10" s="292"/>
      <c r="ZC10" s="292"/>
      <c r="ZD10" s="292"/>
      <c r="ZE10" s="292"/>
      <c r="ZF10" s="292"/>
      <c r="ZG10" s="292"/>
      <c r="ZH10" s="292"/>
      <c r="ZI10" s="292"/>
      <c r="ZJ10" s="292"/>
      <c r="ZK10" s="292"/>
      <c r="ZL10" s="292"/>
      <c r="ZM10" s="292"/>
      <c r="ZN10" s="292"/>
      <c r="ZO10" s="292"/>
      <c r="ZP10" s="292"/>
      <c r="ZQ10" s="292"/>
      <c r="ZR10" s="292"/>
      <c r="ZS10" s="292"/>
      <c r="ZT10" s="292"/>
      <c r="ZU10" s="292"/>
      <c r="ZV10" s="292"/>
      <c r="ZW10" s="292"/>
      <c r="ZX10" s="292"/>
      <c r="ZY10" s="292"/>
      <c r="ZZ10" s="292"/>
      <c r="AAA10" s="292"/>
      <c r="AAB10" s="292"/>
      <c r="AAC10" s="292"/>
      <c r="AAD10" s="292"/>
      <c r="AAE10" s="292"/>
      <c r="AAF10" s="292"/>
      <c r="AAG10" s="292"/>
      <c r="AAH10" s="292"/>
      <c r="AAI10" s="292"/>
      <c r="AAJ10" s="292"/>
      <c r="AAK10" s="292"/>
      <c r="AAL10" s="292"/>
      <c r="AAM10" s="292"/>
      <c r="AAN10" s="292"/>
      <c r="AAO10" s="292"/>
      <c r="AAP10" s="292"/>
      <c r="AAQ10" s="292"/>
      <c r="AAR10" s="292"/>
      <c r="AAS10" s="292"/>
      <c r="AAT10" s="292"/>
      <c r="AAU10" s="292"/>
      <c r="AAV10" s="292"/>
      <c r="AAW10" s="292"/>
      <c r="AAX10" s="292"/>
      <c r="AAY10" s="292"/>
      <c r="AAZ10" s="292"/>
      <c r="ABA10" s="292"/>
      <c r="ABB10" s="292"/>
      <c r="ABC10" s="292"/>
      <c r="ABD10" s="292"/>
      <c r="ABE10" s="292"/>
      <c r="ABF10" s="292"/>
      <c r="ABG10" s="292"/>
      <c r="ABH10" s="292"/>
      <c r="ABI10" s="292"/>
      <c r="ABJ10" s="292"/>
      <c r="ABK10" s="292"/>
      <c r="ABL10" s="292"/>
      <c r="ABM10" s="292"/>
      <c r="ABN10" s="292"/>
      <c r="ABO10" s="292"/>
      <c r="ABP10" s="292"/>
      <c r="ABQ10" s="292"/>
      <c r="ABR10" s="292"/>
      <c r="ABS10" s="292"/>
      <c r="ABT10" s="292"/>
      <c r="ABU10" s="292"/>
      <c r="ABV10" s="292"/>
      <c r="ABW10" s="292"/>
      <c r="ABX10" s="292"/>
      <c r="ABY10" s="292"/>
      <c r="ABZ10" s="292"/>
      <c r="ACA10" s="292"/>
      <c r="ACB10" s="292"/>
      <c r="ACC10" s="292"/>
      <c r="ACD10" s="292"/>
      <c r="ACE10" s="292"/>
      <c r="ACF10" s="292"/>
      <c r="ACG10" s="292"/>
      <c r="ACH10" s="292"/>
      <c r="ACI10" s="292"/>
      <c r="ACJ10" s="292"/>
      <c r="ACK10" s="292"/>
      <c r="ACL10" s="292"/>
      <c r="ACM10" s="292"/>
      <c r="ACN10" s="292"/>
      <c r="ACO10" s="292"/>
      <c r="ACP10" s="292"/>
      <c r="ACQ10" s="292"/>
      <c r="ACR10" s="292"/>
      <c r="ACS10" s="292"/>
      <c r="ACT10" s="292"/>
      <c r="ACU10" s="292"/>
      <c r="ACV10" s="292"/>
      <c r="ACW10" s="292"/>
      <c r="ACX10" s="292"/>
      <c r="ACY10" s="292"/>
      <c r="ACZ10" s="292"/>
      <c r="ADA10" s="292"/>
      <c r="ADB10" s="292"/>
      <c r="ADC10" s="292"/>
      <c r="ADD10" s="292"/>
      <c r="ADE10" s="292"/>
      <c r="ADF10" s="292"/>
      <c r="ADG10" s="292"/>
      <c r="ADH10" s="292"/>
      <c r="ADI10" s="292"/>
      <c r="ADJ10" s="292"/>
      <c r="ADK10" s="292"/>
      <c r="ADL10" s="292"/>
      <c r="ADM10" s="292"/>
      <c r="ADN10" s="292"/>
      <c r="ADO10" s="292"/>
      <c r="ADP10" s="292"/>
      <c r="ADQ10" s="292"/>
      <c r="ADR10" s="292"/>
      <c r="ADS10" s="292"/>
      <c r="ADT10" s="292"/>
      <c r="ADU10" s="292"/>
      <c r="ADV10" s="292"/>
      <c r="ADW10" s="292"/>
      <c r="ADX10" s="292"/>
      <c r="ADY10" s="292"/>
      <c r="ADZ10" s="292"/>
      <c r="AEA10" s="292"/>
      <c r="AEB10" s="292"/>
      <c r="AEC10" s="292"/>
      <c r="AED10" s="292"/>
      <c r="AEE10" s="292"/>
      <c r="AEF10" s="292"/>
      <c r="AEG10" s="292"/>
      <c r="AEH10" s="292"/>
      <c r="AEI10" s="292"/>
      <c r="AEJ10" s="292"/>
      <c r="AEK10" s="292"/>
      <c r="AEL10" s="292"/>
      <c r="AEM10" s="292"/>
      <c r="AEN10" s="292"/>
      <c r="AEO10" s="292"/>
      <c r="AEP10" s="292"/>
      <c r="AEQ10" s="292"/>
      <c r="AER10" s="292"/>
      <c r="AES10" s="292"/>
      <c r="AET10" s="292"/>
      <c r="AEU10" s="292"/>
      <c r="AEV10" s="292"/>
      <c r="AEW10" s="292"/>
      <c r="AEX10" s="292"/>
      <c r="AEY10" s="292"/>
      <c r="AEZ10" s="292"/>
      <c r="AFA10" s="292"/>
      <c r="AFB10" s="292"/>
      <c r="AFC10" s="292"/>
      <c r="AFD10" s="292"/>
      <c r="AFE10" s="292"/>
      <c r="AFF10" s="292"/>
      <c r="AFG10" s="292"/>
      <c r="AFH10" s="292"/>
      <c r="AFI10" s="292"/>
      <c r="AFJ10" s="292"/>
      <c r="AFK10" s="292"/>
      <c r="AFL10" s="292"/>
      <c r="AFM10" s="292"/>
      <c r="AFN10" s="292"/>
      <c r="AFO10" s="292"/>
      <c r="AFP10" s="292"/>
      <c r="AFQ10" s="292"/>
      <c r="AFR10" s="292"/>
      <c r="AFS10" s="292"/>
      <c r="AFT10" s="292"/>
      <c r="AFU10" s="292"/>
      <c r="AFV10" s="292"/>
      <c r="AFW10" s="292"/>
      <c r="AFX10" s="292"/>
      <c r="AFY10" s="292"/>
      <c r="AFZ10" s="292"/>
      <c r="AGA10" s="292"/>
      <c r="AGB10" s="292"/>
      <c r="AGC10" s="292"/>
      <c r="AGD10" s="292"/>
      <c r="AGE10" s="292"/>
      <c r="AGF10" s="292"/>
      <c r="AGG10" s="292"/>
      <c r="AGH10" s="292"/>
      <c r="AGI10" s="292"/>
      <c r="AGJ10" s="292"/>
      <c r="AGK10" s="292"/>
      <c r="AGL10" s="292"/>
      <c r="AGM10" s="292"/>
      <c r="AGN10" s="292"/>
      <c r="AGO10" s="292"/>
      <c r="AGP10" s="292"/>
      <c r="AGQ10" s="292"/>
      <c r="AGR10" s="292"/>
      <c r="AGS10" s="292"/>
      <c r="AGT10" s="292"/>
      <c r="AGU10" s="292"/>
      <c r="AGV10" s="292"/>
      <c r="AGW10" s="292"/>
      <c r="AGX10" s="292"/>
      <c r="AGY10" s="292"/>
      <c r="AGZ10" s="292"/>
      <c r="AHA10" s="292"/>
      <c r="AHB10" s="292"/>
      <c r="AHC10" s="292"/>
      <c r="AHD10" s="292"/>
      <c r="AHE10" s="292"/>
      <c r="AHF10" s="292"/>
      <c r="AHG10" s="292"/>
      <c r="AHH10" s="292"/>
      <c r="AHI10" s="292"/>
      <c r="AHJ10" s="292"/>
      <c r="AHK10" s="292"/>
      <c r="AHL10" s="292"/>
      <c r="AHM10" s="292"/>
      <c r="AHN10" s="292"/>
      <c r="AHO10" s="292"/>
      <c r="AHP10" s="292"/>
      <c r="AHQ10" s="292"/>
      <c r="AHR10" s="292"/>
      <c r="AHS10" s="292"/>
      <c r="AHT10" s="292"/>
      <c r="AHU10" s="292"/>
      <c r="AHV10" s="292"/>
      <c r="AHW10" s="292"/>
      <c r="AHX10" s="292"/>
      <c r="AHY10" s="292"/>
      <c r="AHZ10" s="292"/>
      <c r="AIA10" s="292"/>
      <c r="AIB10" s="292"/>
      <c r="AIC10" s="292"/>
      <c r="AID10" s="292"/>
      <c r="AIE10" s="292"/>
      <c r="AIF10" s="292"/>
      <c r="AIG10" s="292"/>
      <c r="AIH10" s="292"/>
      <c r="AII10" s="292"/>
      <c r="AIJ10" s="292"/>
      <c r="AIK10" s="292"/>
      <c r="AIL10" s="292"/>
      <c r="AIM10" s="292"/>
      <c r="AIN10" s="292"/>
      <c r="AIO10" s="292"/>
      <c r="AIP10" s="292"/>
      <c r="AIQ10" s="292"/>
      <c r="AIR10" s="292"/>
      <c r="AIS10" s="292"/>
      <c r="AIT10" s="292"/>
      <c r="AIU10" s="292"/>
      <c r="AIV10" s="292"/>
      <c r="AIW10" s="292"/>
      <c r="AIX10" s="292"/>
      <c r="AIY10" s="292"/>
      <c r="AIZ10" s="292"/>
      <c r="AJA10" s="292"/>
      <c r="AJB10" s="292"/>
      <c r="AJC10" s="292"/>
      <c r="AJD10" s="292"/>
      <c r="AJE10" s="292"/>
      <c r="AJF10" s="292"/>
      <c r="AJG10" s="292"/>
      <c r="AJH10" s="292"/>
      <c r="AJI10" s="292"/>
      <c r="AJJ10" s="292"/>
      <c r="AJK10" s="292"/>
      <c r="AJL10" s="292"/>
      <c r="AJM10" s="292"/>
      <c r="AJN10" s="292"/>
      <c r="AJO10" s="292"/>
      <c r="AJP10" s="292"/>
      <c r="AJQ10" s="292"/>
      <c r="AJR10" s="292"/>
      <c r="AJS10" s="292"/>
      <c r="AJT10" s="292"/>
      <c r="AJU10" s="292"/>
      <c r="AJV10" s="292"/>
      <c r="AJW10" s="292"/>
      <c r="AJX10" s="292"/>
      <c r="AJY10" s="292"/>
      <c r="AJZ10" s="292"/>
      <c r="AKA10" s="292"/>
      <c r="AKB10" s="292"/>
      <c r="AKC10" s="292"/>
      <c r="AKD10" s="292"/>
      <c r="AKE10" s="292"/>
      <c r="AKF10" s="292"/>
      <c r="AKG10" s="292"/>
      <c r="AKH10" s="292"/>
      <c r="AKI10" s="292"/>
      <c r="AKJ10" s="292"/>
      <c r="AKK10" s="292"/>
      <c r="AKL10" s="292"/>
      <c r="AKM10" s="292"/>
      <c r="AKN10" s="292"/>
      <c r="AKO10" s="292"/>
      <c r="AKP10" s="564"/>
    </row>
    <row r="11" spans="1:978" s="205" customFormat="1" ht="201.75" customHeight="1" x14ac:dyDescent="0.25">
      <c r="A11" s="871"/>
      <c r="B11" s="871"/>
      <c r="C11" s="871"/>
      <c r="D11" s="871"/>
      <c r="E11" s="871"/>
      <c r="F11" s="871"/>
      <c r="G11" s="873"/>
      <c r="H11" s="871"/>
      <c r="I11" s="871"/>
      <c r="J11" s="871"/>
      <c r="K11" s="871"/>
      <c r="L11" s="206" t="s">
        <v>569</v>
      </c>
      <c r="M11" s="206" t="s">
        <v>570</v>
      </c>
      <c r="N11" s="206" t="s">
        <v>74</v>
      </c>
      <c r="O11" s="206"/>
      <c r="P11" s="219">
        <v>55</v>
      </c>
      <c r="Q11" s="201" t="s">
        <v>571</v>
      </c>
      <c r="R11" s="201" t="s">
        <v>572</v>
      </c>
      <c r="S11" s="201" t="s">
        <v>56</v>
      </c>
      <c r="T11" s="201"/>
      <c r="U11" s="530">
        <v>400</v>
      </c>
      <c r="V11" s="220">
        <v>185740681</v>
      </c>
      <c r="W11" s="868"/>
      <c r="X11" s="869"/>
      <c r="Y11" s="221">
        <v>0.495</v>
      </c>
      <c r="Z11" s="221">
        <v>0.55000000000000004</v>
      </c>
      <c r="AA11" s="217">
        <f>Y11/Z11</f>
        <v>0.89999999999999991</v>
      </c>
      <c r="AB11" s="222" t="s">
        <v>573</v>
      </c>
      <c r="AC11" s="201">
        <v>16</v>
      </c>
      <c r="AD11" s="202">
        <v>400</v>
      </c>
      <c r="AE11" s="223">
        <f t="shared" si="0"/>
        <v>0.04</v>
      </c>
      <c r="AF11" s="224" t="s">
        <v>574</v>
      </c>
      <c r="AG11" s="217">
        <f>61%</f>
        <v>0.61</v>
      </c>
      <c r="AH11" s="217">
        <v>0.55000000000000004</v>
      </c>
      <c r="AI11" s="217">
        <f>AG11/AH11</f>
        <v>1.1090909090909089</v>
      </c>
      <c r="AJ11" s="222" t="s">
        <v>575</v>
      </c>
      <c r="AK11" s="202">
        <f>AC11+66</f>
        <v>82</v>
      </c>
      <c r="AL11" s="202">
        <v>400</v>
      </c>
      <c r="AM11" s="223">
        <f t="shared" si="1"/>
        <v>0.20499999999999999</v>
      </c>
      <c r="AN11" s="225" t="s">
        <v>575</v>
      </c>
      <c r="AO11" s="217">
        <v>0.71</v>
      </c>
      <c r="AP11" s="217">
        <v>0.55000000000000004</v>
      </c>
      <c r="AQ11" s="217">
        <f>AO11/AP11</f>
        <v>1.2909090909090908</v>
      </c>
      <c r="AR11" s="201" t="s">
        <v>576</v>
      </c>
      <c r="AS11" s="202">
        <v>110</v>
      </c>
      <c r="AT11" s="202">
        <v>400</v>
      </c>
      <c r="AU11" s="226">
        <f t="shared" si="2"/>
        <v>0.27500000000000002</v>
      </c>
      <c r="AV11" s="222" t="s">
        <v>577</v>
      </c>
      <c r="AW11" s="217">
        <v>0.62</v>
      </c>
      <c r="AX11" s="217">
        <v>0.55000000000000004</v>
      </c>
      <c r="AY11" s="217">
        <f>AW11/AX11</f>
        <v>1.1272727272727272</v>
      </c>
      <c r="AZ11" s="201" t="s">
        <v>1006</v>
      </c>
      <c r="BA11" s="202">
        <v>157</v>
      </c>
      <c r="BB11" s="202">
        <v>400</v>
      </c>
      <c r="BC11" s="424">
        <f t="shared" ref="BC11:BC12" si="6">BA11/BB11</f>
        <v>0.39250000000000002</v>
      </c>
      <c r="BD11" s="201" t="s">
        <v>1006</v>
      </c>
      <c r="BE11" s="217">
        <v>0.41</v>
      </c>
      <c r="BF11" s="217">
        <v>0.55000000000000004</v>
      </c>
      <c r="BG11" s="217">
        <f>BE11/BF11</f>
        <v>0.74545454545454537</v>
      </c>
      <c r="BH11" s="202" t="s">
        <v>1007</v>
      </c>
      <c r="BI11" s="202">
        <v>201</v>
      </c>
      <c r="BJ11" s="202">
        <v>400</v>
      </c>
      <c r="BK11" s="424">
        <f>BI11/BJ11</f>
        <v>0.50249999999999995</v>
      </c>
      <c r="BL11" s="202" t="s">
        <v>1008</v>
      </c>
      <c r="BM11" s="217">
        <v>0.63</v>
      </c>
      <c r="BN11" s="217">
        <v>0.55000000000000004</v>
      </c>
      <c r="BO11" s="217">
        <f>BM11/BN11</f>
        <v>1.1454545454545453</v>
      </c>
      <c r="BP11" s="202" t="s">
        <v>1009</v>
      </c>
      <c r="BQ11" s="202">
        <v>241</v>
      </c>
      <c r="BR11" s="202">
        <v>400</v>
      </c>
      <c r="BS11" s="424">
        <f>BQ11/BR11</f>
        <v>0.60250000000000004</v>
      </c>
      <c r="BT11" s="204" t="s">
        <v>1009</v>
      </c>
      <c r="BU11" s="292"/>
      <c r="BV11" s="292"/>
      <c r="BW11" s="292"/>
      <c r="BX11" s="292"/>
      <c r="BY11" s="292"/>
      <c r="BZ11" s="292"/>
      <c r="CA11" s="292"/>
      <c r="CB11" s="292"/>
      <c r="CC11" s="292"/>
      <c r="CD11" s="292"/>
      <c r="CE11" s="292"/>
      <c r="CF11" s="292"/>
      <c r="CG11" s="292"/>
      <c r="CH11" s="292"/>
      <c r="CI11" s="292"/>
      <c r="CJ11" s="292"/>
      <c r="CK11" s="292"/>
      <c r="CL11" s="292"/>
      <c r="CM11" s="292"/>
      <c r="CN11" s="292"/>
      <c r="CO11" s="292"/>
      <c r="CP11" s="292"/>
      <c r="CQ11" s="292"/>
      <c r="CR11" s="292"/>
      <c r="CS11" s="292"/>
      <c r="CT11" s="292"/>
      <c r="CU11" s="292"/>
      <c r="CV11" s="292"/>
      <c r="CW11" s="292"/>
      <c r="CX11" s="292"/>
      <c r="CY11" s="292"/>
      <c r="CZ11" s="292"/>
      <c r="DA11" s="292"/>
      <c r="DB11" s="292"/>
      <c r="DC11" s="292"/>
      <c r="DD11" s="292"/>
      <c r="DE11" s="292"/>
      <c r="DF11" s="292"/>
      <c r="DG11" s="292"/>
      <c r="DH11" s="292"/>
      <c r="DI11" s="292"/>
      <c r="DJ11" s="292"/>
      <c r="DK11" s="292"/>
      <c r="DL11" s="292"/>
      <c r="DM11" s="292"/>
      <c r="DN11" s="292"/>
      <c r="DO11" s="292"/>
      <c r="DP11" s="292"/>
      <c r="DQ11" s="292"/>
      <c r="DR11" s="292"/>
      <c r="DS11" s="292"/>
      <c r="DT11" s="292"/>
      <c r="DU11" s="292"/>
      <c r="DV11" s="292"/>
      <c r="DW11" s="292"/>
      <c r="DX11" s="292"/>
      <c r="DY11" s="292"/>
      <c r="DZ11" s="292"/>
      <c r="EA11" s="292"/>
      <c r="EB11" s="292"/>
      <c r="EC11" s="292"/>
      <c r="ED11" s="292"/>
      <c r="EE11" s="292"/>
      <c r="EF11" s="292"/>
      <c r="EG11" s="292"/>
      <c r="EH11" s="292"/>
      <c r="EI11" s="292"/>
      <c r="EJ11" s="292"/>
      <c r="EK11" s="292"/>
      <c r="EL11" s="292"/>
      <c r="EM11" s="292"/>
      <c r="EN11" s="292"/>
      <c r="EO11" s="292"/>
      <c r="EP11" s="292"/>
      <c r="EQ11" s="292"/>
      <c r="ER11" s="292"/>
      <c r="ES11" s="292"/>
      <c r="ET11" s="292"/>
      <c r="EU11" s="292"/>
      <c r="EV11" s="292"/>
      <c r="EW11" s="292"/>
      <c r="EX11" s="292"/>
      <c r="EY11" s="292"/>
      <c r="EZ11" s="292"/>
      <c r="FA11" s="292"/>
      <c r="FB11" s="292"/>
      <c r="FC11" s="292"/>
      <c r="FD11" s="292"/>
      <c r="FE11" s="292"/>
      <c r="FF11" s="292"/>
      <c r="FG11" s="292"/>
      <c r="FH11" s="292"/>
      <c r="FI11" s="292"/>
      <c r="FJ11" s="292"/>
      <c r="FK11" s="292"/>
      <c r="FL11" s="292"/>
      <c r="FM11" s="292"/>
      <c r="FN11" s="292"/>
      <c r="FO11" s="292"/>
      <c r="FP11" s="292"/>
      <c r="FQ11" s="292"/>
      <c r="FR11" s="292"/>
      <c r="FS11" s="292"/>
      <c r="FT11" s="292"/>
      <c r="FU11" s="292"/>
      <c r="FV11" s="292"/>
      <c r="FW11" s="292"/>
      <c r="FX11" s="292"/>
      <c r="FY11" s="292"/>
      <c r="FZ11" s="292"/>
      <c r="GA11" s="292"/>
      <c r="GB11" s="292"/>
      <c r="GC11" s="292"/>
      <c r="GD11" s="292"/>
      <c r="GE11" s="292"/>
      <c r="GF11" s="292"/>
      <c r="GG11" s="292"/>
      <c r="GH11" s="292"/>
      <c r="GI11" s="292"/>
      <c r="GJ11" s="292"/>
      <c r="GK11" s="292"/>
      <c r="GL11" s="292"/>
      <c r="GM11" s="292"/>
      <c r="GN11" s="292"/>
      <c r="GO11" s="292"/>
      <c r="GP11" s="292"/>
      <c r="GQ11" s="292"/>
      <c r="GR11" s="292"/>
      <c r="GS11" s="292"/>
      <c r="GT11" s="292"/>
      <c r="GU11" s="292"/>
      <c r="GV11" s="292"/>
      <c r="GW11" s="292"/>
      <c r="GX11" s="292"/>
      <c r="GY11" s="292"/>
      <c r="GZ11" s="292"/>
      <c r="HA11" s="292"/>
      <c r="HB11" s="292"/>
      <c r="HC11" s="292"/>
      <c r="HD11" s="292"/>
      <c r="HE11" s="292"/>
      <c r="HF11" s="292"/>
      <c r="HG11" s="292"/>
      <c r="HH11" s="292"/>
      <c r="HI11" s="292"/>
      <c r="HJ11" s="292"/>
      <c r="HK11" s="292"/>
      <c r="HL11" s="292"/>
      <c r="HM11" s="292"/>
      <c r="HN11" s="292"/>
      <c r="HO11" s="292"/>
      <c r="HP11" s="292"/>
      <c r="HQ11" s="292"/>
      <c r="HR11" s="292"/>
      <c r="HS11" s="292"/>
      <c r="HT11" s="292"/>
      <c r="HU11" s="292"/>
      <c r="HV11" s="292"/>
      <c r="HW11" s="292"/>
      <c r="HX11" s="292"/>
      <c r="HY11" s="292"/>
      <c r="HZ11" s="292"/>
      <c r="IA11" s="292"/>
      <c r="IB11" s="292"/>
      <c r="IC11" s="292"/>
      <c r="ID11" s="292"/>
      <c r="IE11" s="292"/>
      <c r="IF11" s="292"/>
      <c r="IG11" s="292"/>
      <c r="IH11" s="292"/>
      <c r="II11" s="292"/>
      <c r="IJ11" s="292"/>
      <c r="IK11" s="292"/>
      <c r="IL11" s="292"/>
      <c r="IM11" s="292"/>
      <c r="IN11" s="292"/>
      <c r="IO11" s="292"/>
      <c r="IP11" s="292"/>
      <c r="IQ11" s="292"/>
      <c r="IR11" s="292"/>
      <c r="IS11" s="292"/>
      <c r="IT11" s="292"/>
      <c r="IU11" s="292"/>
      <c r="IV11" s="292"/>
      <c r="IW11" s="292"/>
      <c r="IX11" s="292"/>
      <c r="IY11" s="292"/>
      <c r="IZ11" s="292"/>
      <c r="JA11" s="292"/>
      <c r="JB11" s="292"/>
      <c r="JC11" s="292"/>
      <c r="JD11" s="292"/>
      <c r="JE11" s="292"/>
      <c r="JF11" s="292"/>
      <c r="JG11" s="292"/>
      <c r="JH11" s="292"/>
      <c r="JI11" s="292"/>
      <c r="JJ11" s="292"/>
      <c r="JK11" s="292"/>
      <c r="JL11" s="292"/>
      <c r="JM11" s="292"/>
      <c r="JN11" s="292"/>
      <c r="JO11" s="292"/>
      <c r="JP11" s="292"/>
      <c r="JQ11" s="292"/>
      <c r="JR11" s="292"/>
      <c r="JS11" s="292"/>
      <c r="JT11" s="292"/>
      <c r="JU11" s="292"/>
      <c r="JV11" s="292"/>
      <c r="JW11" s="292"/>
      <c r="JX11" s="292"/>
      <c r="JY11" s="292"/>
      <c r="JZ11" s="292"/>
      <c r="KA11" s="292"/>
      <c r="KB11" s="292"/>
      <c r="KC11" s="292"/>
      <c r="KD11" s="292"/>
      <c r="KE11" s="292"/>
      <c r="KF11" s="292"/>
      <c r="KG11" s="292"/>
      <c r="KH11" s="292"/>
      <c r="KI11" s="292"/>
      <c r="KJ11" s="292"/>
      <c r="KK11" s="292"/>
      <c r="KL11" s="292"/>
      <c r="KM11" s="292"/>
      <c r="KN11" s="292"/>
      <c r="KO11" s="292"/>
      <c r="KP11" s="292"/>
      <c r="KQ11" s="292"/>
      <c r="KR11" s="292"/>
      <c r="KS11" s="292"/>
      <c r="KT11" s="292"/>
      <c r="KU11" s="292"/>
      <c r="KV11" s="292"/>
      <c r="KW11" s="292"/>
      <c r="KX11" s="292"/>
      <c r="KY11" s="292"/>
      <c r="KZ11" s="292"/>
      <c r="LA11" s="292"/>
      <c r="LB11" s="292"/>
      <c r="LC11" s="292"/>
      <c r="LD11" s="292"/>
      <c r="LE11" s="292"/>
      <c r="LF11" s="292"/>
      <c r="LG11" s="292"/>
      <c r="LH11" s="292"/>
      <c r="LI11" s="292"/>
      <c r="LJ11" s="292"/>
      <c r="LK11" s="292"/>
      <c r="LL11" s="292"/>
      <c r="LM11" s="292"/>
      <c r="LN11" s="292"/>
      <c r="LO11" s="292"/>
      <c r="LP11" s="292"/>
      <c r="LQ11" s="292"/>
      <c r="LR11" s="292"/>
      <c r="LS11" s="292"/>
      <c r="LT11" s="292"/>
      <c r="LU11" s="292"/>
      <c r="LV11" s="292"/>
      <c r="LW11" s="292"/>
      <c r="LX11" s="292"/>
      <c r="LY11" s="292"/>
      <c r="LZ11" s="292"/>
      <c r="MA11" s="292"/>
      <c r="MB11" s="292"/>
      <c r="MC11" s="292"/>
      <c r="MD11" s="292"/>
      <c r="ME11" s="292"/>
      <c r="MF11" s="292"/>
      <c r="MG11" s="292"/>
      <c r="MH11" s="292"/>
      <c r="MI11" s="292"/>
      <c r="MJ11" s="292"/>
      <c r="MK11" s="292"/>
      <c r="ML11" s="292"/>
      <c r="MM11" s="292"/>
      <c r="MN11" s="292"/>
      <c r="MO11" s="292"/>
      <c r="MP11" s="292"/>
      <c r="MQ11" s="292"/>
      <c r="MR11" s="292"/>
      <c r="MS11" s="292"/>
      <c r="MT11" s="292"/>
      <c r="MU11" s="292"/>
      <c r="MV11" s="292"/>
      <c r="MW11" s="292"/>
      <c r="MX11" s="292"/>
      <c r="MY11" s="292"/>
      <c r="MZ11" s="292"/>
      <c r="NA11" s="292"/>
      <c r="NB11" s="292"/>
      <c r="NC11" s="292"/>
      <c r="ND11" s="292"/>
      <c r="NE11" s="292"/>
      <c r="NF11" s="292"/>
      <c r="NG11" s="292"/>
      <c r="NH11" s="292"/>
      <c r="NI11" s="292"/>
      <c r="NJ11" s="292"/>
      <c r="NK11" s="292"/>
      <c r="NL11" s="292"/>
      <c r="NM11" s="292"/>
      <c r="NN11" s="292"/>
      <c r="NO11" s="292"/>
      <c r="NP11" s="292"/>
      <c r="NQ11" s="292"/>
      <c r="NR11" s="292"/>
      <c r="NS11" s="292"/>
      <c r="NT11" s="292"/>
      <c r="NU11" s="292"/>
      <c r="NV11" s="292"/>
      <c r="NW11" s="292"/>
      <c r="NX11" s="292"/>
      <c r="NY11" s="292"/>
      <c r="NZ11" s="292"/>
      <c r="OA11" s="292"/>
      <c r="OB11" s="292"/>
      <c r="OC11" s="292"/>
      <c r="OD11" s="292"/>
      <c r="OE11" s="292"/>
      <c r="OF11" s="292"/>
      <c r="OG11" s="292"/>
      <c r="OH11" s="292"/>
      <c r="OI11" s="292"/>
      <c r="OJ11" s="292"/>
      <c r="OK11" s="292"/>
      <c r="OL11" s="292"/>
      <c r="OM11" s="292"/>
      <c r="ON11" s="292"/>
      <c r="OO11" s="292"/>
      <c r="OP11" s="292"/>
      <c r="OQ11" s="292"/>
      <c r="OR11" s="292"/>
      <c r="OS11" s="292"/>
      <c r="OT11" s="292"/>
      <c r="OU11" s="292"/>
      <c r="OV11" s="292"/>
      <c r="OW11" s="292"/>
      <c r="OX11" s="292"/>
      <c r="OY11" s="292"/>
      <c r="OZ11" s="292"/>
      <c r="PA11" s="292"/>
      <c r="PB11" s="292"/>
      <c r="PC11" s="292"/>
      <c r="PD11" s="292"/>
      <c r="PE11" s="292"/>
      <c r="PF11" s="292"/>
      <c r="PG11" s="292"/>
      <c r="PH11" s="292"/>
      <c r="PI11" s="292"/>
      <c r="PJ11" s="292"/>
      <c r="PK11" s="292"/>
      <c r="PL11" s="292"/>
      <c r="PM11" s="292"/>
      <c r="PN11" s="292"/>
      <c r="PO11" s="292"/>
      <c r="PP11" s="292"/>
      <c r="PQ11" s="292"/>
      <c r="PR11" s="292"/>
      <c r="PS11" s="292"/>
      <c r="PT11" s="292"/>
      <c r="PU11" s="292"/>
      <c r="PV11" s="292"/>
      <c r="PW11" s="292"/>
      <c r="PX11" s="292"/>
      <c r="PY11" s="292"/>
      <c r="PZ11" s="292"/>
      <c r="QA11" s="292"/>
      <c r="QB11" s="292"/>
      <c r="QC11" s="292"/>
      <c r="QD11" s="292"/>
      <c r="QE11" s="292"/>
      <c r="QF11" s="292"/>
      <c r="QG11" s="292"/>
      <c r="QH11" s="292"/>
      <c r="QI11" s="292"/>
      <c r="QJ11" s="292"/>
      <c r="QK11" s="292"/>
      <c r="QL11" s="292"/>
      <c r="QM11" s="292"/>
      <c r="QN11" s="292"/>
      <c r="QO11" s="292"/>
      <c r="QP11" s="292"/>
      <c r="QQ11" s="292"/>
      <c r="QR11" s="292"/>
      <c r="QS11" s="292"/>
      <c r="QT11" s="292"/>
      <c r="QU11" s="292"/>
      <c r="QV11" s="292"/>
      <c r="QW11" s="292"/>
      <c r="QX11" s="292"/>
      <c r="QY11" s="292"/>
      <c r="QZ11" s="292"/>
      <c r="RA11" s="292"/>
      <c r="RB11" s="292"/>
      <c r="RC11" s="292"/>
      <c r="RD11" s="292"/>
      <c r="RE11" s="292"/>
      <c r="RF11" s="292"/>
      <c r="RG11" s="292"/>
      <c r="RH11" s="292"/>
      <c r="RI11" s="292"/>
      <c r="RJ11" s="292"/>
      <c r="RK11" s="292"/>
      <c r="RL11" s="292"/>
      <c r="RM11" s="292"/>
      <c r="RN11" s="292"/>
      <c r="RO11" s="292"/>
      <c r="RP11" s="292"/>
      <c r="RQ11" s="292"/>
      <c r="RR11" s="292"/>
      <c r="RS11" s="292"/>
      <c r="RT11" s="292"/>
      <c r="RU11" s="292"/>
      <c r="RV11" s="292"/>
      <c r="RW11" s="292"/>
      <c r="RX11" s="292"/>
      <c r="RY11" s="292"/>
      <c r="RZ11" s="292"/>
      <c r="SA11" s="292"/>
      <c r="SB11" s="292"/>
      <c r="SC11" s="292"/>
      <c r="SD11" s="292"/>
      <c r="SE11" s="292"/>
      <c r="SF11" s="292"/>
      <c r="SG11" s="292"/>
      <c r="SH11" s="292"/>
      <c r="SI11" s="292"/>
      <c r="SJ11" s="292"/>
      <c r="SK11" s="292"/>
      <c r="SL11" s="292"/>
      <c r="SM11" s="292"/>
      <c r="SN11" s="292"/>
      <c r="SO11" s="292"/>
      <c r="SP11" s="292"/>
      <c r="SQ11" s="292"/>
      <c r="SR11" s="292"/>
      <c r="SS11" s="292"/>
      <c r="ST11" s="292"/>
      <c r="SU11" s="292"/>
      <c r="SV11" s="292"/>
      <c r="SW11" s="292"/>
      <c r="SX11" s="292"/>
      <c r="SY11" s="292"/>
      <c r="SZ11" s="292"/>
      <c r="TA11" s="292"/>
      <c r="TB11" s="292"/>
      <c r="TC11" s="292"/>
      <c r="TD11" s="292"/>
      <c r="TE11" s="292"/>
      <c r="TF11" s="292"/>
      <c r="TG11" s="292"/>
      <c r="TH11" s="292"/>
      <c r="TI11" s="292"/>
      <c r="TJ11" s="292"/>
      <c r="TK11" s="292"/>
      <c r="TL11" s="292"/>
      <c r="TM11" s="292"/>
      <c r="TN11" s="292"/>
      <c r="TO11" s="292"/>
      <c r="TP11" s="292"/>
      <c r="TQ11" s="292"/>
      <c r="TR11" s="292"/>
      <c r="TS11" s="292"/>
      <c r="TT11" s="292"/>
      <c r="TU11" s="292"/>
      <c r="TV11" s="292"/>
      <c r="TW11" s="292"/>
      <c r="TX11" s="292"/>
      <c r="TY11" s="292"/>
      <c r="TZ11" s="292"/>
      <c r="UA11" s="292"/>
      <c r="UB11" s="292"/>
      <c r="UC11" s="292"/>
      <c r="UD11" s="292"/>
      <c r="UE11" s="292"/>
      <c r="UF11" s="292"/>
      <c r="UG11" s="292"/>
      <c r="UH11" s="292"/>
      <c r="UI11" s="292"/>
      <c r="UJ11" s="292"/>
      <c r="UK11" s="292"/>
      <c r="UL11" s="292"/>
      <c r="UM11" s="292"/>
      <c r="UN11" s="292"/>
      <c r="UO11" s="292"/>
      <c r="UP11" s="292"/>
      <c r="UQ11" s="292"/>
      <c r="UR11" s="292"/>
      <c r="US11" s="292"/>
      <c r="UT11" s="292"/>
      <c r="UU11" s="292"/>
      <c r="UV11" s="292"/>
      <c r="UW11" s="292"/>
      <c r="UX11" s="292"/>
      <c r="UY11" s="292"/>
      <c r="UZ11" s="292"/>
      <c r="VA11" s="292"/>
      <c r="VB11" s="292"/>
      <c r="VC11" s="292"/>
      <c r="VD11" s="292"/>
      <c r="VE11" s="292"/>
      <c r="VF11" s="292"/>
      <c r="VG11" s="292"/>
      <c r="VH11" s="292"/>
      <c r="VI11" s="292"/>
      <c r="VJ11" s="292"/>
      <c r="VK11" s="292"/>
      <c r="VL11" s="292"/>
      <c r="VM11" s="292"/>
      <c r="VN11" s="292"/>
      <c r="VO11" s="292"/>
      <c r="VP11" s="292"/>
      <c r="VQ11" s="292"/>
      <c r="VR11" s="292"/>
      <c r="VS11" s="292"/>
      <c r="VT11" s="292"/>
      <c r="VU11" s="292"/>
      <c r="VV11" s="292"/>
      <c r="VW11" s="292"/>
      <c r="VX11" s="292"/>
      <c r="VY11" s="292"/>
      <c r="VZ11" s="292"/>
      <c r="WA11" s="292"/>
      <c r="WB11" s="292"/>
      <c r="WC11" s="292"/>
      <c r="WD11" s="292"/>
      <c r="WE11" s="292"/>
      <c r="WF11" s="292"/>
      <c r="WG11" s="292"/>
      <c r="WH11" s="292"/>
      <c r="WI11" s="292"/>
      <c r="WJ11" s="292"/>
      <c r="WK11" s="292"/>
      <c r="WL11" s="292"/>
      <c r="WM11" s="292"/>
      <c r="WN11" s="292"/>
      <c r="WO11" s="292"/>
      <c r="WP11" s="292"/>
      <c r="WQ11" s="292"/>
      <c r="WR11" s="292"/>
      <c r="WS11" s="292"/>
      <c r="WT11" s="292"/>
      <c r="WU11" s="292"/>
      <c r="WV11" s="292"/>
      <c r="WW11" s="292"/>
      <c r="WX11" s="292"/>
      <c r="WY11" s="292"/>
      <c r="WZ11" s="292"/>
      <c r="XA11" s="292"/>
      <c r="XB11" s="292"/>
      <c r="XC11" s="292"/>
      <c r="XD11" s="292"/>
      <c r="XE11" s="292"/>
      <c r="XF11" s="292"/>
      <c r="XG11" s="292"/>
      <c r="XH11" s="292"/>
      <c r="XI11" s="292"/>
      <c r="XJ11" s="292"/>
      <c r="XK11" s="292"/>
      <c r="XL11" s="292"/>
      <c r="XM11" s="292"/>
      <c r="XN11" s="292"/>
      <c r="XO11" s="292"/>
      <c r="XP11" s="292"/>
      <c r="XQ11" s="292"/>
      <c r="XR11" s="292"/>
      <c r="XS11" s="292"/>
      <c r="XT11" s="292"/>
      <c r="XU11" s="292"/>
      <c r="XV11" s="292"/>
      <c r="XW11" s="292"/>
      <c r="XX11" s="292"/>
      <c r="XY11" s="292"/>
      <c r="XZ11" s="292"/>
      <c r="YA11" s="292"/>
      <c r="YB11" s="292"/>
      <c r="YC11" s="292"/>
      <c r="YD11" s="292"/>
      <c r="YE11" s="292"/>
      <c r="YF11" s="292"/>
      <c r="YG11" s="292"/>
      <c r="YH11" s="292"/>
      <c r="YI11" s="292"/>
      <c r="YJ11" s="292"/>
      <c r="YK11" s="292"/>
      <c r="YL11" s="292"/>
      <c r="YM11" s="292"/>
      <c r="YN11" s="292"/>
      <c r="YO11" s="292"/>
      <c r="YP11" s="292"/>
      <c r="YQ11" s="292"/>
      <c r="YR11" s="292"/>
      <c r="YS11" s="292"/>
      <c r="YT11" s="292"/>
      <c r="YU11" s="292"/>
      <c r="YV11" s="292"/>
      <c r="YW11" s="292"/>
      <c r="YX11" s="292"/>
      <c r="YY11" s="292"/>
      <c r="YZ11" s="292"/>
      <c r="ZA11" s="292"/>
      <c r="ZB11" s="292"/>
      <c r="ZC11" s="292"/>
      <c r="ZD11" s="292"/>
      <c r="ZE11" s="292"/>
      <c r="ZF11" s="292"/>
      <c r="ZG11" s="292"/>
      <c r="ZH11" s="292"/>
      <c r="ZI11" s="292"/>
      <c r="ZJ11" s="292"/>
      <c r="ZK11" s="292"/>
      <c r="ZL11" s="292"/>
      <c r="ZM11" s="292"/>
      <c r="ZN11" s="292"/>
      <c r="ZO11" s="292"/>
      <c r="ZP11" s="292"/>
      <c r="ZQ11" s="292"/>
      <c r="ZR11" s="292"/>
      <c r="ZS11" s="292"/>
      <c r="ZT11" s="292"/>
      <c r="ZU11" s="292"/>
      <c r="ZV11" s="292"/>
      <c r="ZW11" s="292"/>
      <c r="ZX11" s="292"/>
      <c r="ZY11" s="292"/>
      <c r="ZZ11" s="292"/>
      <c r="AAA11" s="292"/>
      <c r="AAB11" s="292"/>
      <c r="AAC11" s="292"/>
      <c r="AAD11" s="292"/>
      <c r="AAE11" s="292"/>
      <c r="AAF11" s="292"/>
      <c r="AAG11" s="292"/>
      <c r="AAH11" s="292"/>
      <c r="AAI11" s="292"/>
      <c r="AAJ11" s="292"/>
      <c r="AAK11" s="292"/>
      <c r="AAL11" s="292"/>
      <c r="AAM11" s="292"/>
      <c r="AAN11" s="292"/>
      <c r="AAO11" s="292"/>
      <c r="AAP11" s="292"/>
      <c r="AAQ11" s="292"/>
      <c r="AAR11" s="292"/>
      <c r="AAS11" s="292"/>
      <c r="AAT11" s="292"/>
      <c r="AAU11" s="292"/>
      <c r="AAV11" s="292"/>
      <c r="AAW11" s="292"/>
      <c r="AAX11" s="292"/>
      <c r="AAY11" s="292"/>
      <c r="AAZ11" s="292"/>
      <c r="ABA11" s="292"/>
      <c r="ABB11" s="292"/>
      <c r="ABC11" s="292"/>
      <c r="ABD11" s="292"/>
      <c r="ABE11" s="292"/>
      <c r="ABF11" s="292"/>
      <c r="ABG11" s="292"/>
      <c r="ABH11" s="292"/>
      <c r="ABI11" s="292"/>
      <c r="ABJ11" s="292"/>
      <c r="ABK11" s="292"/>
      <c r="ABL11" s="292"/>
      <c r="ABM11" s="292"/>
      <c r="ABN11" s="292"/>
      <c r="ABO11" s="292"/>
      <c r="ABP11" s="292"/>
      <c r="ABQ11" s="292"/>
      <c r="ABR11" s="292"/>
      <c r="ABS11" s="292"/>
      <c r="ABT11" s="292"/>
      <c r="ABU11" s="292"/>
      <c r="ABV11" s="292"/>
      <c r="ABW11" s="292"/>
      <c r="ABX11" s="292"/>
      <c r="ABY11" s="292"/>
      <c r="ABZ11" s="292"/>
      <c r="ACA11" s="292"/>
      <c r="ACB11" s="292"/>
      <c r="ACC11" s="292"/>
      <c r="ACD11" s="292"/>
      <c r="ACE11" s="292"/>
      <c r="ACF11" s="292"/>
      <c r="ACG11" s="292"/>
      <c r="ACH11" s="292"/>
      <c r="ACI11" s="292"/>
      <c r="ACJ11" s="292"/>
      <c r="ACK11" s="292"/>
      <c r="ACL11" s="292"/>
      <c r="ACM11" s="292"/>
      <c r="ACN11" s="292"/>
      <c r="ACO11" s="292"/>
      <c r="ACP11" s="292"/>
      <c r="ACQ11" s="292"/>
      <c r="ACR11" s="292"/>
      <c r="ACS11" s="292"/>
      <c r="ACT11" s="292"/>
      <c r="ACU11" s="292"/>
      <c r="ACV11" s="292"/>
      <c r="ACW11" s="292"/>
      <c r="ACX11" s="292"/>
      <c r="ACY11" s="292"/>
      <c r="ACZ11" s="292"/>
      <c r="ADA11" s="292"/>
      <c r="ADB11" s="292"/>
      <c r="ADC11" s="292"/>
      <c r="ADD11" s="292"/>
      <c r="ADE11" s="292"/>
      <c r="ADF11" s="292"/>
      <c r="ADG11" s="292"/>
      <c r="ADH11" s="292"/>
      <c r="ADI11" s="292"/>
      <c r="ADJ11" s="292"/>
      <c r="ADK11" s="292"/>
      <c r="ADL11" s="292"/>
      <c r="ADM11" s="292"/>
      <c r="ADN11" s="292"/>
      <c r="ADO11" s="292"/>
      <c r="ADP11" s="292"/>
      <c r="ADQ11" s="292"/>
      <c r="ADR11" s="292"/>
      <c r="ADS11" s="292"/>
      <c r="ADT11" s="292"/>
      <c r="ADU11" s="292"/>
      <c r="ADV11" s="292"/>
      <c r="ADW11" s="292"/>
      <c r="ADX11" s="292"/>
      <c r="ADY11" s="292"/>
      <c r="ADZ11" s="292"/>
      <c r="AEA11" s="292"/>
      <c r="AEB11" s="292"/>
      <c r="AEC11" s="292"/>
      <c r="AED11" s="292"/>
      <c r="AEE11" s="292"/>
      <c r="AEF11" s="292"/>
      <c r="AEG11" s="292"/>
      <c r="AEH11" s="292"/>
      <c r="AEI11" s="292"/>
      <c r="AEJ11" s="292"/>
      <c r="AEK11" s="292"/>
      <c r="AEL11" s="292"/>
      <c r="AEM11" s="292"/>
      <c r="AEN11" s="292"/>
      <c r="AEO11" s="292"/>
      <c r="AEP11" s="292"/>
      <c r="AEQ11" s="292"/>
      <c r="AER11" s="292"/>
      <c r="AES11" s="292"/>
      <c r="AET11" s="292"/>
      <c r="AEU11" s="292"/>
      <c r="AEV11" s="292"/>
      <c r="AEW11" s="292"/>
      <c r="AEX11" s="292"/>
      <c r="AEY11" s="292"/>
      <c r="AEZ11" s="292"/>
      <c r="AFA11" s="292"/>
      <c r="AFB11" s="292"/>
      <c r="AFC11" s="292"/>
      <c r="AFD11" s="292"/>
      <c r="AFE11" s="292"/>
      <c r="AFF11" s="292"/>
      <c r="AFG11" s="292"/>
      <c r="AFH11" s="292"/>
      <c r="AFI11" s="292"/>
      <c r="AFJ11" s="292"/>
      <c r="AFK11" s="292"/>
      <c r="AFL11" s="292"/>
      <c r="AFM11" s="292"/>
      <c r="AFN11" s="292"/>
      <c r="AFO11" s="292"/>
      <c r="AFP11" s="292"/>
      <c r="AFQ11" s="292"/>
      <c r="AFR11" s="292"/>
      <c r="AFS11" s="292"/>
      <c r="AFT11" s="292"/>
      <c r="AFU11" s="292"/>
      <c r="AFV11" s="292"/>
      <c r="AFW11" s="292"/>
      <c r="AFX11" s="292"/>
      <c r="AFY11" s="292"/>
      <c r="AFZ11" s="292"/>
      <c r="AGA11" s="292"/>
      <c r="AGB11" s="292"/>
      <c r="AGC11" s="292"/>
      <c r="AGD11" s="292"/>
      <c r="AGE11" s="292"/>
      <c r="AGF11" s="292"/>
      <c r="AGG11" s="292"/>
      <c r="AGH11" s="292"/>
      <c r="AGI11" s="292"/>
      <c r="AGJ11" s="292"/>
      <c r="AGK11" s="292"/>
      <c r="AGL11" s="292"/>
      <c r="AGM11" s="292"/>
      <c r="AGN11" s="292"/>
      <c r="AGO11" s="292"/>
      <c r="AGP11" s="292"/>
      <c r="AGQ11" s="292"/>
      <c r="AGR11" s="292"/>
      <c r="AGS11" s="292"/>
      <c r="AGT11" s="292"/>
      <c r="AGU11" s="292"/>
      <c r="AGV11" s="292"/>
      <c r="AGW11" s="292"/>
      <c r="AGX11" s="292"/>
      <c r="AGY11" s="292"/>
      <c r="AGZ11" s="292"/>
      <c r="AHA11" s="292"/>
      <c r="AHB11" s="292"/>
      <c r="AHC11" s="292"/>
      <c r="AHD11" s="292"/>
      <c r="AHE11" s="292"/>
      <c r="AHF11" s="292"/>
      <c r="AHG11" s="292"/>
      <c r="AHH11" s="292"/>
      <c r="AHI11" s="292"/>
      <c r="AHJ11" s="292"/>
      <c r="AHK11" s="292"/>
      <c r="AHL11" s="292"/>
      <c r="AHM11" s="292"/>
      <c r="AHN11" s="292"/>
      <c r="AHO11" s="292"/>
      <c r="AHP11" s="292"/>
      <c r="AHQ11" s="292"/>
      <c r="AHR11" s="292"/>
      <c r="AHS11" s="292"/>
      <c r="AHT11" s="292"/>
      <c r="AHU11" s="292"/>
      <c r="AHV11" s="292"/>
      <c r="AHW11" s="292"/>
      <c r="AHX11" s="292"/>
      <c r="AHY11" s="292"/>
      <c r="AHZ11" s="292"/>
      <c r="AIA11" s="292"/>
      <c r="AIB11" s="292"/>
      <c r="AIC11" s="292"/>
      <c r="AID11" s="292"/>
      <c r="AIE11" s="292"/>
      <c r="AIF11" s="292"/>
      <c r="AIG11" s="292"/>
      <c r="AIH11" s="292"/>
      <c r="AII11" s="292"/>
      <c r="AIJ11" s="292"/>
      <c r="AIK11" s="292"/>
      <c r="AIL11" s="292"/>
      <c r="AIM11" s="292"/>
      <c r="AIN11" s="292"/>
      <c r="AIO11" s="292"/>
      <c r="AIP11" s="292"/>
      <c r="AIQ11" s="292"/>
      <c r="AIR11" s="292"/>
      <c r="AIS11" s="292"/>
      <c r="AIT11" s="292"/>
      <c r="AIU11" s="292"/>
      <c r="AIV11" s="292"/>
      <c r="AIW11" s="292"/>
      <c r="AIX11" s="292"/>
      <c r="AIY11" s="292"/>
      <c r="AIZ11" s="292"/>
      <c r="AJA11" s="292"/>
      <c r="AJB11" s="292"/>
      <c r="AJC11" s="292"/>
      <c r="AJD11" s="292"/>
      <c r="AJE11" s="292"/>
      <c r="AJF11" s="292"/>
      <c r="AJG11" s="292"/>
      <c r="AJH11" s="292"/>
      <c r="AJI11" s="292"/>
      <c r="AJJ11" s="292"/>
      <c r="AJK11" s="292"/>
      <c r="AJL11" s="292"/>
      <c r="AJM11" s="292"/>
      <c r="AJN11" s="292"/>
      <c r="AJO11" s="292"/>
      <c r="AJP11" s="292"/>
      <c r="AJQ11" s="292"/>
      <c r="AJR11" s="292"/>
      <c r="AJS11" s="292"/>
      <c r="AJT11" s="292"/>
      <c r="AJU11" s="292"/>
      <c r="AJV11" s="292"/>
      <c r="AJW11" s="292"/>
      <c r="AJX11" s="292"/>
      <c r="AJY11" s="292"/>
      <c r="AJZ11" s="292"/>
      <c r="AKA11" s="292"/>
      <c r="AKB11" s="292"/>
      <c r="AKC11" s="292"/>
      <c r="AKD11" s="292"/>
      <c r="AKE11" s="292"/>
      <c r="AKF11" s="292"/>
      <c r="AKG11" s="292"/>
      <c r="AKH11" s="292"/>
      <c r="AKI11" s="292"/>
      <c r="AKJ11" s="292"/>
      <c r="AKK11" s="292"/>
      <c r="AKL11" s="292"/>
      <c r="AKM11" s="292"/>
      <c r="AKN11" s="292"/>
      <c r="AKO11" s="292"/>
      <c r="AKP11" s="564"/>
    </row>
    <row r="12" spans="1:978" s="205" customFormat="1" ht="161.25" customHeight="1" x14ac:dyDescent="0.25">
      <c r="A12" s="871"/>
      <c r="B12" s="871"/>
      <c r="C12" s="871"/>
      <c r="D12" s="871"/>
      <c r="E12" s="871"/>
      <c r="F12" s="871"/>
      <c r="G12" s="873"/>
      <c r="H12" s="871"/>
      <c r="I12" s="871"/>
      <c r="J12" s="871"/>
      <c r="K12" s="871"/>
      <c r="L12" s="201" t="s">
        <v>578</v>
      </c>
      <c r="M12" s="201" t="s">
        <v>579</v>
      </c>
      <c r="N12" s="201" t="s">
        <v>74</v>
      </c>
      <c r="O12" s="201"/>
      <c r="P12" s="227">
        <v>100</v>
      </c>
      <c r="Q12" s="206" t="s">
        <v>580</v>
      </c>
      <c r="R12" s="206" t="s">
        <v>581</v>
      </c>
      <c r="S12" s="206" t="s">
        <v>56</v>
      </c>
      <c r="T12" s="206"/>
      <c r="U12" s="216">
        <v>10</v>
      </c>
      <c r="V12" s="228">
        <v>120124000</v>
      </c>
      <c r="W12" s="868"/>
      <c r="X12" s="869"/>
      <c r="Y12" s="211">
        <v>4</v>
      </c>
      <c r="Z12" s="211">
        <v>10</v>
      </c>
      <c r="AA12" s="217">
        <f>Y12/Z12</f>
        <v>0.4</v>
      </c>
      <c r="AB12" s="211" t="s">
        <v>582</v>
      </c>
      <c r="AC12" s="229">
        <v>1</v>
      </c>
      <c r="AD12" s="211">
        <v>10</v>
      </c>
      <c r="AE12" s="309">
        <f t="shared" si="0"/>
        <v>0.1</v>
      </c>
      <c r="AF12" s="211" t="s">
        <v>583</v>
      </c>
      <c r="AG12" s="211">
        <v>6</v>
      </c>
      <c r="AH12" s="211">
        <v>10</v>
      </c>
      <c r="AI12" s="217">
        <f>AG12/AH12</f>
        <v>0.6</v>
      </c>
      <c r="AJ12" s="211" t="s">
        <v>584</v>
      </c>
      <c r="AK12" s="229">
        <v>4</v>
      </c>
      <c r="AL12" s="211">
        <v>10</v>
      </c>
      <c r="AM12" s="217">
        <f t="shared" si="1"/>
        <v>0.4</v>
      </c>
      <c r="AN12" s="218" t="s">
        <v>585</v>
      </c>
      <c r="AO12" s="211">
        <v>14</v>
      </c>
      <c r="AP12" s="211">
        <v>10</v>
      </c>
      <c r="AQ12" s="230">
        <f>AO12/AP12</f>
        <v>1.4</v>
      </c>
      <c r="AR12" s="211" t="s">
        <v>586</v>
      </c>
      <c r="AS12" s="229">
        <v>6</v>
      </c>
      <c r="AT12" s="211">
        <v>10</v>
      </c>
      <c r="AU12" s="217">
        <f t="shared" si="2"/>
        <v>0.6</v>
      </c>
      <c r="AV12" s="211" t="s">
        <v>587</v>
      </c>
      <c r="AW12" s="211">
        <v>14</v>
      </c>
      <c r="AX12" s="211">
        <v>10</v>
      </c>
      <c r="AY12" s="217">
        <f>AW12/AX12</f>
        <v>1.4</v>
      </c>
      <c r="AZ12" s="211" t="s">
        <v>1010</v>
      </c>
      <c r="BA12" s="229">
        <v>6</v>
      </c>
      <c r="BB12" s="211">
        <v>10</v>
      </c>
      <c r="BC12" s="217">
        <f t="shared" si="6"/>
        <v>0.6</v>
      </c>
      <c r="BD12" s="211" t="s">
        <v>1011</v>
      </c>
      <c r="BE12" s="211">
        <v>14</v>
      </c>
      <c r="BF12" s="211">
        <v>10</v>
      </c>
      <c r="BG12" s="217">
        <f>BE12/BF12</f>
        <v>1.4</v>
      </c>
      <c r="BH12" s="211" t="s">
        <v>1012</v>
      </c>
      <c r="BI12" s="229">
        <v>9</v>
      </c>
      <c r="BJ12" s="211">
        <v>10</v>
      </c>
      <c r="BK12" s="217">
        <f t="shared" ref="BK12" si="7">BI12/BJ12</f>
        <v>0.9</v>
      </c>
      <c r="BL12" s="211" t="s">
        <v>1013</v>
      </c>
      <c r="BM12" s="211">
        <v>14</v>
      </c>
      <c r="BN12" s="211">
        <v>10</v>
      </c>
      <c r="BO12" s="217">
        <f>BM12/BN12</f>
        <v>1.4</v>
      </c>
      <c r="BP12" s="211" t="s">
        <v>1014</v>
      </c>
      <c r="BQ12" s="229">
        <v>10</v>
      </c>
      <c r="BR12" s="211">
        <v>10</v>
      </c>
      <c r="BS12" s="217">
        <f t="shared" ref="BS12" si="8">BQ12/BR12</f>
        <v>1</v>
      </c>
      <c r="BT12" s="218" t="s">
        <v>1015</v>
      </c>
      <c r="BU12" s="292"/>
      <c r="BV12" s="292"/>
      <c r="BW12" s="292"/>
      <c r="BX12" s="292"/>
      <c r="BY12" s="292"/>
      <c r="BZ12" s="292"/>
      <c r="CA12" s="292"/>
      <c r="CB12" s="292"/>
      <c r="CC12" s="292"/>
      <c r="CD12" s="292"/>
      <c r="CE12" s="292"/>
      <c r="CF12" s="292"/>
      <c r="CG12" s="292"/>
      <c r="CH12" s="292"/>
      <c r="CI12" s="292"/>
      <c r="CJ12" s="292"/>
      <c r="CK12" s="292"/>
      <c r="CL12" s="292"/>
      <c r="CM12" s="292"/>
      <c r="CN12" s="292"/>
      <c r="CO12" s="292"/>
      <c r="CP12" s="292"/>
      <c r="CQ12" s="292"/>
      <c r="CR12" s="292"/>
      <c r="CS12" s="292"/>
      <c r="CT12" s="292"/>
      <c r="CU12" s="292"/>
      <c r="CV12" s="292"/>
      <c r="CW12" s="292"/>
      <c r="CX12" s="292"/>
      <c r="CY12" s="292"/>
      <c r="CZ12" s="292"/>
      <c r="DA12" s="292"/>
      <c r="DB12" s="292"/>
      <c r="DC12" s="292"/>
      <c r="DD12" s="292"/>
      <c r="DE12" s="292"/>
      <c r="DF12" s="292"/>
      <c r="DG12" s="292"/>
      <c r="DH12" s="292"/>
      <c r="DI12" s="292"/>
      <c r="DJ12" s="292"/>
      <c r="DK12" s="292"/>
      <c r="DL12" s="292"/>
      <c r="DM12" s="292"/>
      <c r="DN12" s="292"/>
      <c r="DO12" s="292"/>
      <c r="DP12" s="292"/>
      <c r="DQ12" s="292"/>
      <c r="DR12" s="292"/>
      <c r="DS12" s="292"/>
      <c r="DT12" s="292"/>
      <c r="DU12" s="292"/>
      <c r="DV12" s="292"/>
      <c r="DW12" s="292"/>
      <c r="DX12" s="292"/>
      <c r="DY12" s="292"/>
      <c r="DZ12" s="292"/>
      <c r="EA12" s="292"/>
      <c r="EB12" s="292"/>
      <c r="EC12" s="292"/>
      <c r="ED12" s="292"/>
      <c r="EE12" s="292"/>
      <c r="EF12" s="292"/>
      <c r="EG12" s="292"/>
      <c r="EH12" s="292"/>
      <c r="EI12" s="292"/>
      <c r="EJ12" s="292"/>
      <c r="EK12" s="292"/>
      <c r="EL12" s="292"/>
      <c r="EM12" s="292"/>
      <c r="EN12" s="292"/>
      <c r="EO12" s="292"/>
      <c r="EP12" s="292"/>
      <c r="EQ12" s="292"/>
      <c r="ER12" s="292"/>
      <c r="ES12" s="292"/>
      <c r="ET12" s="292"/>
      <c r="EU12" s="292"/>
      <c r="EV12" s="292"/>
      <c r="EW12" s="292"/>
      <c r="EX12" s="292"/>
      <c r="EY12" s="292"/>
      <c r="EZ12" s="292"/>
      <c r="FA12" s="292"/>
      <c r="FB12" s="292"/>
      <c r="FC12" s="292"/>
      <c r="FD12" s="292"/>
      <c r="FE12" s="292"/>
      <c r="FF12" s="292"/>
      <c r="FG12" s="292"/>
      <c r="FH12" s="292"/>
      <c r="FI12" s="292"/>
      <c r="FJ12" s="292"/>
      <c r="FK12" s="292"/>
      <c r="FL12" s="292"/>
      <c r="FM12" s="292"/>
      <c r="FN12" s="292"/>
      <c r="FO12" s="292"/>
      <c r="FP12" s="292"/>
      <c r="FQ12" s="292"/>
      <c r="FR12" s="292"/>
      <c r="FS12" s="292"/>
      <c r="FT12" s="292"/>
      <c r="FU12" s="292"/>
      <c r="FV12" s="292"/>
      <c r="FW12" s="292"/>
      <c r="FX12" s="292"/>
      <c r="FY12" s="292"/>
      <c r="FZ12" s="292"/>
      <c r="GA12" s="292"/>
      <c r="GB12" s="292"/>
      <c r="GC12" s="292"/>
      <c r="GD12" s="292"/>
      <c r="GE12" s="292"/>
      <c r="GF12" s="292"/>
      <c r="GG12" s="292"/>
      <c r="GH12" s="292"/>
      <c r="GI12" s="292"/>
      <c r="GJ12" s="292"/>
      <c r="GK12" s="292"/>
      <c r="GL12" s="292"/>
      <c r="GM12" s="292"/>
      <c r="GN12" s="292"/>
      <c r="GO12" s="292"/>
      <c r="GP12" s="292"/>
      <c r="GQ12" s="292"/>
      <c r="GR12" s="292"/>
      <c r="GS12" s="292"/>
      <c r="GT12" s="292"/>
      <c r="GU12" s="292"/>
      <c r="GV12" s="292"/>
      <c r="GW12" s="292"/>
      <c r="GX12" s="292"/>
      <c r="GY12" s="292"/>
      <c r="GZ12" s="292"/>
      <c r="HA12" s="292"/>
      <c r="HB12" s="292"/>
      <c r="HC12" s="292"/>
      <c r="HD12" s="292"/>
      <c r="HE12" s="292"/>
      <c r="HF12" s="292"/>
      <c r="HG12" s="292"/>
      <c r="HH12" s="292"/>
      <c r="HI12" s="292"/>
      <c r="HJ12" s="292"/>
      <c r="HK12" s="292"/>
      <c r="HL12" s="292"/>
      <c r="HM12" s="292"/>
      <c r="HN12" s="292"/>
      <c r="HO12" s="292"/>
      <c r="HP12" s="292"/>
      <c r="HQ12" s="292"/>
      <c r="HR12" s="292"/>
      <c r="HS12" s="292"/>
      <c r="HT12" s="292"/>
      <c r="HU12" s="292"/>
      <c r="HV12" s="292"/>
      <c r="HW12" s="292"/>
      <c r="HX12" s="292"/>
      <c r="HY12" s="292"/>
      <c r="HZ12" s="292"/>
      <c r="IA12" s="292"/>
      <c r="IB12" s="292"/>
      <c r="IC12" s="292"/>
      <c r="ID12" s="292"/>
      <c r="IE12" s="292"/>
      <c r="IF12" s="292"/>
      <c r="IG12" s="292"/>
      <c r="IH12" s="292"/>
      <c r="II12" s="292"/>
      <c r="IJ12" s="292"/>
      <c r="IK12" s="292"/>
      <c r="IL12" s="292"/>
      <c r="IM12" s="292"/>
      <c r="IN12" s="292"/>
      <c r="IO12" s="292"/>
      <c r="IP12" s="292"/>
      <c r="IQ12" s="292"/>
      <c r="IR12" s="292"/>
      <c r="IS12" s="292"/>
      <c r="IT12" s="292"/>
      <c r="IU12" s="292"/>
      <c r="IV12" s="292"/>
      <c r="IW12" s="292"/>
      <c r="IX12" s="292"/>
      <c r="IY12" s="292"/>
      <c r="IZ12" s="292"/>
      <c r="JA12" s="292"/>
      <c r="JB12" s="292"/>
      <c r="JC12" s="292"/>
      <c r="JD12" s="292"/>
      <c r="JE12" s="292"/>
      <c r="JF12" s="292"/>
      <c r="JG12" s="292"/>
      <c r="JH12" s="292"/>
      <c r="JI12" s="292"/>
      <c r="JJ12" s="292"/>
      <c r="JK12" s="292"/>
      <c r="JL12" s="292"/>
      <c r="JM12" s="292"/>
      <c r="JN12" s="292"/>
      <c r="JO12" s="292"/>
      <c r="JP12" s="292"/>
      <c r="JQ12" s="292"/>
      <c r="JR12" s="292"/>
      <c r="JS12" s="292"/>
      <c r="JT12" s="292"/>
      <c r="JU12" s="292"/>
      <c r="JV12" s="292"/>
      <c r="JW12" s="292"/>
      <c r="JX12" s="292"/>
      <c r="JY12" s="292"/>
      <c r="JZ12" s="292"/>
      <c r="KA12" s="292"/>
      <c r="KB12" s="292"/>
      <c r="KC12" s="292"/>
      <c r="KD12" s="292"/>
      <c r="KE12" s="292"/>
      <c r="KF12" s="292"/>
      <c r="KG12" s="292"/>
      <c r="KH12" s="292"/>
      <c r="KI12" s="292"/>
      <c r="KJ12" s="292"/>
      <c r="KK12" s="292"/>
      <c r="KL12" s="292"/>
      <c r="KM12" s="292"/>
      <c r="KN12" s="292"/>
      <c r="KO12" s="292"/>
      <c r="KP12" s="292"/>
      <c r="KQ12" s="292"/>
      <c r="KR12" s="292"/>
      <c r="KS12" s="292"/>
      <c r="KT12" s="292"/>
      <c r="KU12" s="292"/>
      <c r="KV12" s="292"/>
      <c r="KW12" s="292"/>
      <c r="KX12" s="292"/>
      <c r="KY12" s="292"/>
      <c r="KZ12" s="292"/>
      <c r="LA12" s="292"/>
      <c r="LB12" s="292"/>
      <c r="LC12" s="292"/>
      <c r="LD12" s="292"/>
      <c r="LE12" s="292"/>
      <c r="LF12" s="292"/>
      <c r="LG12" s="292"/>
      <c r="LH12" s="292"/>
      <c r="LI12" s="292"/>
      <c r="LJ12" s="292"/>
      <c r="LK12" s="292"/>
      <c r="LL12" s="292"/>
      <c r="LM12" s="292"/>
      <c r="LN12" s="292"/>
      <c r="LO12" s="292"/>
      <c r="LP12" s="292"/>
      <c r="LQ12" s="292"/>
      <c r="LR12" s="292"/>
      <c r="LS12" s="292"/>
      <c r="LT12" s="292"/>
      <c r="LU12" s="292"/>
      <c r="LV12" s="292"/>
      <c r="LW12" s="292"/>
      <c r="LX12" s="292"/>
      <c r="LY12" s="292"/>
      <c r="LZ12" s="292"/>
      <c r="MA12" s="292"/>
      <c r="MB12" s="292"/>
      <c r="MC12" s="292"/>
      <c r="MD12" s="292"/>
      <c r="ME12" s="292"/>
      <c r="MF12" s="292"/>
      <c r="MG12" s="292"/>
      <c r="MH12" s="292"/>
      <c r="MI12" s="292"/>
      <c r="MJ12" s="292"/>
      <c r="MK12" s="292"/>
      <c r="ML12" s="292"/>
      <c r="MM12" s="292"/>
      <c r="MN12" s="292"/>
      <c r="MO12" s="292"/>
      <c r="MP12" s="292"/>
      <c r="MQ12" s="292"/>
      <c r="MR12" s="292"/>
      <c r="MS12" s="292"/>
      <c r="MT12" s="292"/>
      <c r="MU12" s="292"/>
      <c r="MV12" s="292"/>
      <c r="MW12" s="292"/>
      <c r="MX12" s="292"/>
      <c r="MY12" s="292"/>
      <c r="MZ12" s="292"/>
      <c r="NA12" s="292"/>
      <c r="NB12" s="292"/>
      <c r="NC12" s="292"/>
      <c r="ND12" s="292"/>
      <c r="NE12" s="292"/>
      <c r="NF12" s="292"/>
      <c r="NG12" s="292"/>
      <c r="NH12" s="292"/>
      <c r="NI12" s="292"/>
      <c r="NJ12" s="292"/>
      <c r="NK12" s="292"/>
      <c r="NL12" s="292"/>
      <c r="NM12" s="292"/>
      <c r="NN12" s="292"/>
      <c r="NO12" s="292"/>
      <c r="NP12" s="292"/>
      <c r="NQ12" s="292"/>
      <c r="NR12" s="292"/>
      <c r="NS12" s="292"/>
      <c r="NT12" s="292"/>
      <c r="NU12" s="292"/>
      <c r="NV12" s="292"/>
      <c r="NW12" s="292"/>
      <c r="NX12" s="292"/>
      <c r="NY12" s="292"/>
      <c r="NZ12" s="292"/>
      <c r="OA12" s="292"/>
      <c r="OB12" s="292"/>
      <c r="OC12" s="292"/>
      <c r="OD12" s="292"/>
      <c r="OE12" s="292"/>
      <c r="OF12" s="292"/>
      <c r="OG12" s="292"/>
      <c r="OH12" s="292"/>
      <c r="OI12" s="292"/>
      <c r="OJ12" s="292"/>
      <c r="OK12" s="292"/>
      <c r="OL12" s="292"/>
      <c r="OM12" s="292"/>
      <c r="ON12" s="292"/>
      <c r="OO12" s="292"/>
      <c r="OP12" s="292"/>
      <c r="OQ12" s="292"/>
      <c r="OR12" s="292"/>
      <c r="OS12" s="292"/>
      <c r="OT12" s="292"/>
      <c r="OU12" s="292"/>
      <c r="OV12" s="292"/>
      <c r="OW12" s="292"/>
      <c r="OX12" s="292"/>
      <c r="OY12" s="292"/>
      <c r="OZ12" s="292"/>
      <c r="PA12" s="292"/>
      <c r="PB12" s="292"/>
      <c r="PC12" s="292"/>
      <c r="PD12" s="292"/>
      <c r="PE12" s="292"/>
      <c r="PF12" s="292"/>
      <c r="PG12" s="292"/>
      <c r="PH12" s="292"/>
      <c r="PI12" s="292"/>
      <c r="PJ12" s="292"/>
      <c r="PK12" s="292"/>
      <c r="PL12" s="292"/>
      <c r="PM12" s="292"/>
      <c r="PN12" s="292"/>
      <c r="PO12" s="292"/>
      <c r="PP12" s="292"/>
      <c r="PQ12" s="292"/>
      <c r="PR12" s="292"/>
      <c r="PS12" s="292"/>
      <c r="PT12" s="292"/>
      <c r="PU12" s="292"/>
      <c r="PV12" s="292"/>
      <c r="PW12" s="292"/>
      <c r="PX12" s="292"/>
      <c r="PY12" s="292"/>
      <c r="PZ12" s="292"/>
      <c r="QA12" s="292"/>
      <c r="QB12" s="292"/>
      <c r="QC12" s="292"/>
      <c r="QD12" s="292"/>
      <c r="QE12" s="292"/>
      <c r="QF12" s="292"/>
      <c r="QG12" s="292"/>
      <c r="QH12" s="292"/>
      <c r="QI12" s="292"/>
      <c r="QJ12" s="292"/>
      <c r="QK12" s="292"/>
      <c r="QL12" s="292"/>
      <c r="QM12" s="292"/>
      <c r="QN12" s="292"/>
      <c r="QO12" s="292"/>
      <c r="QP12" s="292"/>
      <c r="QQ12" s="292"/>
      <c r="QR12" s="292"/>
      <c r="QS12" s="292"/>
      <c r="QT12" s="292"/>
      <c r="QU12" s="292"/>
      <c r="QV12" s="292"/>
      <c r="QW12" s="292"/>
      <c r="QX12" s="292"/>
      <c r="QY12" s="292"/>
      <c r="QZ12" s="292"/>
      <c r="RA12" s="292"/>
      <c r="RB12" s="292"/>
      <c r="RC12" s="292"/>
      <c r="RD12" s="292"/>
      <c r="RE12" s="292"/>
      <c r="RF12" s="292"/>
      <c r="RG12" s="292"/>
      <c r="RH12" s="292"/>
      <c r="RI12" s="292"/>
      <c r="RJ12" s="292"/>
      <c r="RK12" s="292"/>
      <c r="RL12" s="292"/>
      <c r="RM12" s="292"/>
      <c r="RN12" s="292"/>
      <c r="RO12" s="292"/>
      <c r="RP12" s="292"/>
      <c r="RQ12" s="292"/>
      <c r="RR12" s="292"/>
      <c r="RS12" s="292"/>
      <c r="RT12" s="292"/>
      <c r="RU12" s="292"/>
      <c r="RV12" s="292"/>
      <c r="RW12" s="292"/>
      <c r="RX12" s="292"/>
      <c r="RY12" s="292"/>
      <c r="RZ12" s="292"/>
      <c r="SA12" s="292"/>
      <c r="SB12" s="292"/>
      <c r="SC12" s="292"/>
      <c r="SD12" s="292"/>
      <c r="SE12" s="292"/>
      <c r="SF12" s="292"/>
      <c r="SG12" s="292"/>
      <c r="SH12" s="292"/>
      <c r="SI12" s="292"/>
      <c r="SJ12" s="292"/>
      <c r="SK12" s="292"/>
      <c r="SL12" s="292"/>
      <c r="SM12" s="292"/>
      <c r="SN12" s="292"/>
      <c r="SO12" s="292"/>
      <c r="SP12" s="292"/>
      <c r="SQ12" s="292"/>
      <c r="SR12" s="292"/>
      <c r="SS12" s="292"/>
      <c r="ST12" s="292"/>
      <c r="SU12" s="292"/>
      <c r="SV12" s="292"/>
      <c r="SW12" s="292"/>
      <c r="SX12" s="292"/>
      <c r="SY12" s="292"/>
      <c r="SZ12" s="292"/>
      <c r="TA12" s="292"/>
      <c r="TB12" s="292"/>
      <c r="TC12" s="292"/>
      <c r="TD12" s="292"/>
      <c r="TE12" s="292"/>
      <c r="TF12" s="292"/>
      <c r="TG12" s="292"/>
      <c r="TH12" s="292"/>
      <c r="TI12" s="292"/>
      <c r="TJ12" s="292"/>
      <c r="TK12" s="292"/>
      <c r="TL12" s="292"/>
      <c r="TM12" s="292"/>
      <c r="TN12" s="292"/>
      <c r="TO12" s="292"/>
      <c r="TP12" s="292"/>
      <c r="TQ12" s="292"/>
      <c r="TR12" s="292"/>
      <c r="TS12" s="292"/>
      <c r="TT12" s="292"/>
      <c r="TU12" s="292"/>
      <c r="TV12" s="292"/>
      <c r="TW12" s="292"/>
      <c r="TX12" s="292"/>
      <c r="TY12" s="292"/>
      <c r="TZ12" s="292"/>
      <c r="UA12" s="292"/>
      <c r="UB12" s="292"/>
      <c r="UC12" s="292"/>
      <c r="UD12" s="292"/>
      <c r="UE12" s="292"/>
      <c r="UF12" s="292"/>
      <c r="UG12" s="292"/>
      <c r="UH12" s="292"/>
      <c r="UI12" s="292"/>
      <c r="UJ12" s="292"/>
      <c r="UK12" s="292"/>
      <c r="UL12" s="292"/>
      <c r="UM12" s="292"/>
      <c r="UN12" s="292"/>
      <c r="UO12" s="292"/>
      <c r="UP12" s="292"/>
      <c r="UQ12" s="292"/>
      <c r="UR12" s="292"/>
      <c r="US12" s="292"/>
      <c r="UT12" s="292"/>
      <c r="UU12" s="292"/>
      <c r="UV12" s="292"/>
      <c r="UW12" s="292"/>
      <c r="UX12" s="292"/>
      <c r="UY12" s="292"/>
      <c r="UZ12" s="292"/>
      <c r="VA12" s="292"/>
      <c r="VB12" s="292"/>
      <c r="VC12" s="292"/>
      <c r="VD12" s="292"/>
      <c r="VE12" s="292"/>
      <c r="VF12" s="292"/>
      <c r="VG12" s="292"/>
      <c r="VH12" s="292"/>
      <c r="VI12" s="292"/>
      <c r="VJ12" s="292"/>
      <c r="VK12" s="292"/>
      <c r="VL12" s="292"/>
      <c r="VM12" s="292"/>
      <c r="VN12" s="292"/>
      <c r="VO12" s="292"/>
      <c r="VP12" s="292"/>
      <c r="VQ12" s="292"/>
      <c r="VR12" s="292"/>
      <c r="VS12" s="292"/>
      <c r="VT12" s="292"/>
      <c r="VU12" s="292"/>
      <c r="VV12" s="292"/>
      <c r="VW12" s="292"/>
      <c r="VX12" s="292"/>
      <c r="VY12" s="292"/>
      <c r="VZ12" s="292"/>
      <c r="WA12" s="292"/>
      <c r="WB12" s="292"/>
      <c r="WC12" s="292"/>
      <c r="WD12" s="292"/>
      <c r="WE12" s="292"/>
      <c r="WF12" s="292"/>
      <c r="WG12" s="292"/>
      <c r="WH12" s="292"/>
      <c r="WI12" s="292"/>
      <c r="WJ12" s="292"/>
      <c r="WK12" s="292"/>
      <c r="WL12" s="292"/>
      <c r="WM12" s="292"/>
      <c r="WN12" s="292"/>
      <c r="WO12" s="292"/>
      <c r="WP12" s="292"/>
      <c r="WQ12" s="292"/>
      <c r="WR12" s="292"/>
      <c r="WS12" s="292"/>
      <c r="WT12" s="292"/>
      <c r="WU12" s="292"/>
      <c r="WV12" s="292"/>
      <c r="WW12" s="292"/>
      <c r="WX12" s="292"/>
      <c r="WY12" s="292"/>
      <c r="WZ12" s="292"/>
      <c r="XA12" s="292"/>
      <c r="XB12" s="292"/>
      <c r="XC12" s="292"/>
      <c r="XD12" s="292"/>
      <c r="XE12" s="292"/>
      <c r="XF12" s="292"/>
      <c r="XG12" s="292"/>
      <c r="XH12" s="292"/>
      <c r="XI12" s="292"/>
      <c r="XJ12" s="292"/>
      <c r="XK12" s="292"/>
      <c r="XL12" s="292"/>
      <c r="XM12" s="292"/>
      <c r="XN12" s="292"/>
      <c r="XO12" s="292"/>
      <c r="XP12" s="292"/>
      <c r="XQ12" s="292"/>
      <c r="XR12" s="292"/>
      <c r="XS12" s="292"/>
      <c r="XT12" s="292"/>
      <c r="XU12" s="292"/>
      <c r="XV12" s="292"/>
      <c r="XW12" s="292"/>
      <c r="XX12" s="292"/>
      <c r="XY12" s="292"/>
      <c r="XZ12" s="292"/>
      <c r="YA12" s="292"/>
      <c r="YB12" s="292"/>
      <c r="YC12" s="292"/>
      <c r="YD12" s="292"/>
      <c r="YE12" s="292"/>
      <c r="YF12" s="292"/>
      <c r="YG12" s="292"/>
      <c r="YH12" s="292"/>
      <c r="YI12" s="292"/>
      <c r="YJ12" s="292"/>
      <c r="YK12" s="292"/>
      <c r="YL12" s="292"/>
      <c r="YM12" s="292"/>
      <c r="YN12" s="292"/>
      <c r="YO12" s="292"/>
      <c r="YP12" s="292"/>
      <c r="YQ12" s="292"/>
      <c r="YR12" s="292"/>
      <c r="YS12" s="292"/>
      <c r="YT12" s="292"/>
      <c r="YU12" s="292"/>
      <c r="YV12" s="292"/>
      <c r="YW12" s="292"/>
      <c r="YX12" s="292"/>
      <c r="YY12" s="292"/>
      <c r="YZ12" s="292"/>
      <c r="ZA12" s="292"/>
      <c r="ZB12" s="292"/>
      <c r="ZC12" s="292"/>
      <c r="ZD12" s="292"/>
      <c r="ZE12" s="292"/>
      <c r="ZF12" s="292"/>
      <c r="ZG12" s="292"/>
      <c r="ZH12" s="292"/>
      <c r="ZI12" s="292"/>
      <c r="ZJ12" s="292"/>
      <c r="ZK12" s="292"/>
      <c r="ZL12" s="292"/>
      <c r="ZM12" s="292"/>
      <c r="ZN12" s="292"/>
      <c r="ZO12" s="292"/>
      <c r="ZP12" s="292"/>
      <c r="ZQ12" s="292"/>
      <c r="ZR12" s="292"/>
      <c r="ZS12" s="292"/>
      <c r="ZT12" s="292"/>
      <c r="ZU12" s="292"/>
      <c r="ZV12" s="292"/>
      <c r="ZW12" s="292"/>
      <c r="ZX12" s="292"/>
      <c r="ZY12" s="292"/>
      <c r="ZZ12" s="292"/>
      <c r="AAA12" s="292"/>
      <c r="AAB12" s="292"/>
      <c r="AAC12" s="292"/>
      <c r="AAD12" s="292"/>
      <c r="AAE12" s="292"/>
      <c r="AAF12" s="292"/>
      <c r="AAG12" s="292"/>
      <c r="AAH12" s="292"/>
      <c r="AAI12" s="292"/>
      <c r="AAJ12" s="292"/>
      <c r="AAK12" s="292"/>
      <c r="AAL12" s="292"/>
      <c r="AAM12" s="292"/>
      <c r="AAN12" s="292"/>
      <c r="AAO12" s="292"/>
      <c r="AAP12" s="292"/>
      <c r="AAQ12" s="292"/>
      <c r="AAR12" s="292"/>
      <c r="AAS12" s="292"/>
      <c r="AAT12" s="292"/>
      <c r="AAU12" s="292"/>
      <c r="AAV12" s="292"/>
      <c r="AAW12" s="292"/>
      <c r="AAX12" s="292"/>
      <c r="AAY12" s="292"/>
      <c r="AAZ12" s="292"/>
      <c r="ABA12" s="292"/>
      <c r="ABB12" s="292"/>
      <c r="ABC12" s="292"/>
      <c r="ABD12" s="292"/>
      <c r="ABE12" s="292"/>
      <c r="ABF12" s="292"/>
      <c r="ABG12" s="292"/>
      <c r="ABH12" s="292"/>
      <c r="ABI12" s="292"/>
      <c r="ABJ12" s="292"/>
      <c r="ABK12" s="292"/>
      <c r="ABL12" s="292"/>
      <c r="ABM12" s="292"/>
      <c r="ABN12" s="292"/>
      <c r="ABO12" s="292"/>
      <c r="ABP12" s="292"/>
      <c r="ABQ12" s="292"/>
      <c r="ABR12" s="292"/>
      <c r="ABS12" s="292"/>
      <c r="ABT12" s="292"/>
      <c r="ABU12" s="292"/>
      <c r="ABV12" s="292"/>
      <c r="ABW12" s="292"/>
      <c r="ABX12" s="292"/>
      <c r="ABY12" s="292"/>
      <c r="ABZ12" s="292"/>
      <c r="ACA12" s="292"/>
      <c r="ACB12" s="292"/>
      <c r="ACC12" s="292"/>
      <c r="ACD12" s="292"/>
      <c r="ACE12" s="292"/>
      <c r="ACF12" s="292"/>
      <c r="ACG12" s="292"/>
      <c r="ACH12" s="292"/>
      <c r="ACI12" s="292"/>
      <c r="ACJ12" s="292"/>
      <c r="ACK12" s="292"/>
      <c r="ACL12" s="292"/>
      <c r="ACM12" s="292"/>
      <c r="ACN12" s="292"/>
      <c r="ACO12" s="292"/>
      <c r="ACP12" s="292"/>
      <c r="ACQ12" s="292"/>
      <c r="ACR12" s="292"/>
      <c r="ACS12" s="292"/>
      <c r="ACT12" s="292"/>
      <c r="ACU12" s="292"/>
      <c r="ACV12" s="292"/>
      <c r="ACW12" s="292"/>
      <c r="ACX12" s="292"/>
      <c r="ACY12" s="292"/>
      <c r="ACZ12" s="292"/>
      <c r="ADA12" s="292"/>
      <c r="ADB12" s="292"/>
      <c r="ADC12" s="292"/>
      <c r="ADD12" s="292"/>
      <c r="ADE12" s="292"/>
      <c r="ADF12" s="292"/>
      <c r="ADG12" s="292"/>
      <c r="ADH12" s="292"/>
      <c r="ADI12" s="292"/>
      <c r="ADJ12" s="292"/>
      <c r="ADK12" s="292"/>
      <c r="ADL12" s="292"/>
      <c r="ADM12" s="292"/>
      <c r="ADN12" s="292"/>
      <c r="ADO12" s="292"/>
      <c r="ADP12" s="292"/>
      <c r="ADQ12" s="292"/>
      <c r="ADR12" s="292"/>
      <c r="ADS12" s="292"/>
      <c r="ADT12" s="292"/>
      <c r="ADU12" s="292"/>
      <c r="ADV12" s="292"/>
      <c r="ADW12" s="292"/>
      <c r="ADX12" s="292"/>
      <c r="ADY12" s="292"/>
      <c r="ADZ12" s="292"/>
      <c r="AEA12" s="292"/>
      <c r="AEB12" s="292"/>
      <c r="AEC12" s="292"/>
      <c r="AED12" s="292"/>
      <c r="AEE12" s="292"/>
      <c r="AEF12" s="292"/>
      <c r="AEG12" s="292"/>
      <c r="AEH12" s="292"/>
      <c r="AEI12" s="292"/>
      <c r="AEJ12" s="292"/>
      <c r="AEK12" s="292"/>
      <c r="AEL12" s="292"/>
      <c r="AEM12" s="292"/>
      <c r="AEN12" s="292"/>
      <c r="AEO12" s="292"/>
      <c r="AEP12" s="292"/>
      <c r="AEQ12" s="292"/>
      <c r="AER12" s="292"/>
      <c r="AES12" s="292"/>
      <c r="AET12" s="292"/>
      <c r="AEU12" s="292"/>
      <c r="AEV12" s="292"/>
      <c r="AEW12" s="292"/>
      <c r="AEX12" s="292"/>
      <c r="AEY12" s="292"/>
      <c r="AEZ12" s="292"/>
      <c r="AFA12" s="292"/>
      <c r="AFB12" s="292"/>
      <c r="AFC12" s="292"/>
      <c r="AFD12" s="292"/>
      <c r="AFE12" s="292"/>
      <c r="AFF12" s="292"/>
      <c r="AFG12" s="292"/>
      <c r="AFH12" s="292"/>
      <c r="AFI12" s="292"/>
      <c r="AFJ12" s="292"/>
      <c r="AFK12" s="292"/>
      <c r="AFL12" s="292"/>
      <c r="AFM12" s="292"/>
      <c r="AFN12" s="292"/>
      <c r="AFO12" s="292"/>
      <c r="AFP12" s="292"/>
      <c r="AFQ12" s="292"/>
      <c r="AFR12" s="292"/>
      <c r="AFS12" s="292"/>
      <c r="AFT12" s="292"/>
      <c r="AFU12" s="292"/>
      <c r="AFV12" s="292"/>
      <c r="AFW12" s="292"/>
      <c r="AFX12" s="292"/>
      <c r="AFY12" s="292"/>
      <c r="AFZ12" s="292"/>
      <c r="AGA12" s="292"/>
      <c r="AGB12" s="292"/>
      <c r="AGC12" s="292"/>
      <c r="AGD12" s="292"/>
      <c r="AGE12" s="292"/>
      <c r="AGF12" s="292"/>
      <c r="AGG12" s="292"/>
      <c r="AGH12" s="292"/>
      <c r="AGI12" s="292"/>
      <c r="AGJ12" s="292"/>
      <c r="AGK12" s="292"/>
      <c r="AGL12" s="292"/>
      <c r="AGM12" s="292"/>
      <c r="AGN12" s="292"/>
      <c r="AGO12" s="292"/>
      <c r="AGP12" s="292"/>
      <c r="AGQ12" s="292"/>
      <c r="AGR12" s="292"/>
      <c r="AGS12" s="292"/>
      <c r="AGT12" s="292"/>
      <c r="AGU12" s="292"/>
      <c r="AGV12" s="292"/>
      <c r="AGW12" s="292"/>
      <c r="AGX12" s="292"/>
      <c r="AGY12" s="292"/>
      <c r="AGZ12" s="292"/>
      <c r="AHA12" s="292"/>
      <c r="AHB12" s="292"/>
      <c r="AHC12" s="292"/>
      <c r="AHD12" s="292"/>
      <c r="AHE12" s="292"/>
      <c r="AHF12" s="292"/>
      <c r="AHG12" s="292"/>
      <c r="AHH12" s="292"/>
      <c r="AHI12" s="292"/>
      <c r="AHJ12" s="292"/>
      <c r="AHK12" s="292"/>
      <c r="AHL12" s="292"/>
      <c r="AHM12" s="292"/>
      <c r="AHN12" s="292"/>
      <c r="AHO12" s="292"/>
      <c r="AHP12" s="292"/>
      <c r="AHQ12" s="292"/>
      <c r="AHR12" s="292"/>
      <c r="AHS12" s="292"/>
      <c r="AHT12" s="292"/>
      <c r="AHU12" s="292"/>
      <c r="AHV12" s="292"/>
      <c r="AHW12" s="292"/>
      <c r="AHX12" s="292"/>
      <c r="AHY12" s="292"/>
      <c r="AHZ12" s="292"/>
      <c r="AIA12" s="292"/>
      <c r="AIB12" s="292"/>
      <c r="AIC12" s="292"/>
      <c r="AID12" s="292"/>
      <c r="AIE12" s="292"/>
      <c r="AIF12" s="292"/>
      <c r="AIG12" s="292"/>
      <c r="AIH12" s="292"/>
      <c r="AII12" s="292"/>
      <c r="AIJ12" s="292"/>
      <c r="AIK12" s="292"/>
      <c r="AIL12" s="292"/>
      <c r="AIM12" s="292"/>
      <c r="AIN12" s="292"/>
      <c r="AIO12" s="292"/>
      <c r="AIP12" s="292"/>
      <c r="AIQ12" s="292"/>
      <c r="AIR12" s="292"/>
      <c r="AIS12" s="292"/>
      <c r="AIT12" s="292"/>
      <c r="AIU12" s="292"/>
      <c r="AIV12" s="292"/>
      <c r="AIW12" s="292"/>
      <c r="AIX12" s="292"/>
      <c r="AIY12" s="292"/>
      <c r="AIZ12" s="292"/>
      <c r="AJA12" s="292"/>
      <c r="AJB12" s="292"/>
      <c r="AJC12" s="292"/>
      <c r="AJD12" s="292"/>
      <c r="AJE12" s="292"/>
      <c r="AJF12" s="292"/>
      <c r="AJG12" s="292"/>
      <c r="AJH12" s="292"/>
      <c r="AJI12" s="292"/>
      <c r="AJJ12" s="292"/>
      <c r="AJK12" s="292"/>
      <c r="AJL12" s="292"/>
      <c r="AJM12" s="292"/>
      <c r="AJN12" s="292"/>
      <c r="AJO12" s="292"/>
      <c r="AJP12" s="292"/>
      <c r="AJQ12" s="292"/>
      <c r="AJR12" s="292"/>
      <c r="AJS12" s="292"/>
      <c r="AJT12" s="292"/>
      <c r="AJU12" s="292"/>
      <c r="AJV12" s="292"/>
      <c r="AJW12" s="292"/>
      <c r="AJX12" s="292"/>
      <c r="AJY12" s="292"/>
      <c r="AJZ12" s="292"/>
      <c r="AKA12" s="292"/>
      <c r="AKB12" s="292"/>
      <c r="AKC12" s="292"/>
      <c r="AKD12" s="292"/>
      <c r="AKE12" s="292"/>
      <c r="AKF12" s="292"/>
      <c r="AKG12" s="292"/>
      <c r="AKH12" s="292"/>
      <c r="AKI12" s="292"/>
      <c r="AKJ12" s="292"/>
      <c r="AKK12" s="292"/>
      <c r="AKL12" s="292"/>
      <c r="AKM12" s="292"/>
      <c r="AKN12" s="292"/>
      <c r="AKO12" s="292"/>
      <c r="AKP12" s="564"/>
    </row>
    <row r="13" spans="1:978" x14ac:dyDescent="0.25">
      <c r="AW13" s="855" t="s">
        <v>1016</v>
      </c>
      <c r="AX13" s="856"/>
      <c r="AY13" s="425" t="s">
        <v>1017</v>
      </c>
      <c r="BA13" s="855" t="s">
        <v>1018</v>
      </c>
      <c r="BB13" s="856"/>
      <c r="BC13" s="426" t="s">
        <v>1019</v>
      </c>
      <c r="BE13" s="855" t="s">
        <v>1016</v>
      </c>
      <c r="BF13" s="856"/>
      <c r="BG13" s="425"/>
      <c r="BI13" s="855" t="s">
        <v>1018</v>
      </c>
      <c r="BJ13" s="856"/>
      <c r="BK13" s="426"/>
    </row>
    <row r="14" spans="1:978" x14ac:dyDescent="0.25">
      <c r="V14" s="231"/>
      <c r="AE14" s="213"/>
    </row>
    <row r="15" spans="1:978" ht="48.75" customHeight="1" x14ac:dyDescent="0.25">
      <c r="Y15" s="657" t="s">
        <v>99</v>
      </c>
      <c r="Z15" s="657"/>
      <c r="AA15" s="55">
        <f>AVERAGE(AA7:AA12)</f>
        <v>0.44312096029547554</v>
      </c>
      <c r="AB15" s="56"/>
      <c r="AC15" s="657" t="s">
        <v>100</v>
      </c>
      <c r="AD15" s="657"/>
      <c r="AE15" s="55">
        <f>AVERAGE(AE7:AE12)</f>
        <v>0.16855668236146326</v>
      </c>
      <c r="AG15" s="657" t="s">
        <v>99</v>
      </c>
      <c r="AH15" s="657"/>
      <c r="AI15" s="55">
        <f>AVERAGE(AI7:AI12)</f>
        <v>0.63534793922605548</v>
      </c>
      <c r="AJ15" s="56"/>
      <c r="AK15" s="657" t="s">
        <v>100</v>
      </c>
      <c r="AL15" s="657"/>
      <c r="AM15" s="55">
        <f>AVERAGE(AM7:AM12)</f>
        <v>0.35563533743812631</v>
      </c>
      <c r="AO15" s="657" t="s">
        <v>99</v>
      </c>
      <c r="AP15" s="657"/>
      <c r="AQ15" s="55">
        <f>AVERAGE(AQ7:AQ12)</f>
        <v>1.0052799462771762</v>
      </c>
      <c r="AR15" s="56"/>
      <c r="AS15" s="657" t="s">
        <v>100</v>
      </c>
      <c r="AT15" s="657"/>
      <c r="AU15" s="55">
        <f>AVERAGE(AU7:AU12)</f>
        <v>0.43769618495714119</v>
      </c>
    </row>
    <row r="18" spans="28:28" x14ac:dyDescent="0.25">
      <c r="AB18" s="232"/>
    </row>
    <row r="19" spans="28:28" x14ac:dyDescent="0.25">
      <c r="AB19" s="233"/>
    </row>
  </sheetData>
  <sheetProtection algorithmName="SHA-512" hashValue="S5OZlEfnv1k3URypGgqu42VshYaCClliqUjw4FkwxMfZDqXbOhBWN5BHYOYjoE53uPGlN13CmsoKk98KlvSODA==" saltValue="DNnOC1N5Vqi39p8Vt5MKQQ==" spinCount="100000" sheet="1" objects="1" scenarios="1" selectLockedCells="1" selectUnlockedCells="1"/>
  <mergeCells count="82">
    <mergeCell ref="BM4:BT4"/>
    <mergeCell ref="C1:X3"/>
    <mergeCell ref="A4:K4"/>
    <mergeCell ref="L4:P5"/>
    <mergeCell ref="Q4:U5"/>
    <mergeCell ref="V4:W5"/>
    <mergeCell ref="X4:X5"/>
    <mergeCell ref="A5:C5"/>
    <mergeCell ref="E5:F5"/>
    <mergeCell ref="G5:I5"/>
    <mergeCell ref="J5:J6"/>
    <mergeCell ref="Y4:AF4"/>
    <mergeCell ref="AG4:AN4"/>
    <mergeCell ref="AO4:AV4"/>
    <mergeCell ref="AW4:BD4"/>
    <mergeCell ref="BE4:BL4"/>
    <mergeCell ref="BM5:BP5"/>
    <mergeCell ref="K5:K6"/>
    <mergeCell ref="Y5:AB5"/>
    <mergeCell ref="AC5:AF5"/>
    <mergeCell ref="AG5:AJ5"/>
    <mergeCell ref="AK5:AN5"/>
    <mergeCell ref="AO5:AR5"/>
    <mergeCell ref="O7:O9"/>
    <mergeCell ref="BQ5:BT5"/>
    <mergeCell ref="A7:A12"/>
    <mergeCell ref="B7:B12"/>
    <mergeCell ref="C7:C12"/>
    <mergeCell ref="D7:D12"/>
    <mergeCell ref="E7:E12"/>
    <mergeCell ref="F7:F12"/>
    <mergeCell ref="G7:G12"/>
    <mergeCell ref="H7:H12"/>
    <mergeCell ref="I7:I12"/>
    <mergeCell ref="AS5:AV5"/>
    <mergeCell ref="AW5:AZ5"/>
    <mergeCell ref="BA5:BD5"/>
    <mergeCell ref="BE5:BH5"/>
    <mergeCell ref="BI5:BL5"/>
    <mergeCell ref="J7:J12"/>
    <mergeCell ref="K7:K12"/>
    <mergeCell ref="L7:L10"/>
    <mergeCell ref="M7:M10"/>
    <mergeCell ref="N7:N10"/>
    <mergeCell ref="AJ7:AJ10"/>
    <mergeCell ref="P7:P10"/>
    <mergeCell ref="V7:V10"/>
    <mergeCell ref="W7:W12"/>
    <mergeCell ref="X7:X12"/>
    <mergeCell ref="Y7:Y10"/>
    <mergeCell ref="Z7:Z10"/>
    <mergeCell ref="AA7:AA10"/>
    <mergeCell ref="AB7:AB10"/>
    <mergeCell ref="AG7:AG10"/>
    <mergeCell ref="AH7:AH10"/>
    <mergeCell ref="AI7:AI10"/>
    <mergeCell ref="AO7:AO10"/>
    <mergeCell ref="AP7:AP10"/>
    <mergeCell ref="AQ7:AQ10"/>
    <mergeCell ref="AR7:AR10"/>
    <mergeCell ref="AW7:AW10"/>
    <mergeCell ref="AS15:AT15"/>
    <mergeCell ref="BM7:BM10"/>
    <mergeCell ref="BN7:BN10"/>
    <mergeCell ref="BO7:BO10"/>
    <mergeCell ref="BP7:BP10"/>
    <mergeCell ref="AW13:AX13"/>
    <mergeCell ref="BA13:BB13"/>
    <mergeCell ref="BE13:BF13"/>
    <mergeCell ref="BI13:BJ13"/>
    <mergeCell ref="AY7:AY10"/>
    <mergeCell ref="AZ7:AZ10"/>
    <mergeCell ref="BE7:BE10"/>
    <mergeCell ref="BF7:BF10"/>
    <mergeCell ref="BG7:BG10"/>
    <mergeCell ref="BH7:BH10"/>
    <mergeCell ref="AX7:AX10"/>
    <mergeCell ref="Y15:Z15"/>
    <mergeCell ref="AC15:AD15"/>
    <mergeCell ref="AG15:AH15"/>
    <mergeCell ref="AK15:AL15"/>
    <mergeCell ref="AO15:AP15"/>
  </mergeCells>
  <pageMargins left="0.7" right="0.7" top="0.75" bottom="0.75"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AAG21"/>
  <sheetViews>
    <sheetView topLeftCell="M1" workbookViewId="0">
      <selection activeCell="U11" sqref="U11"/>
    </sheetView>
  </sheetViews>
  <sheetFormatPr baseColWidth="10" defaultRowHeight="15" x14ac:dyDescent="0.25"/>
  <cols>
    <col min="1" max="1" width="21.140625" style="247" customWidth="1"/>
    <col min="2" max="2" width="17.85546875" style="247" customWidth="1"/>
    <col min="3" max="3" width="24.140625" style="247" customWidth="1"/>
    <col min="4" max="4" width="26.42578125" style="247" customWidth="1"/>
    <col min="5" max="5" width="18.140625" style="247" customWidth="1"/>
    <col min="6" max="6" width="20.5703125" style="247" customWidth="1"/>
    <col min="7" max="7" width="14" style="247" customWidth="1"/>
    <col min="8" max="8" width="16.5703125" style="247" customWidth="1"/>
    <col min="9" max="9" width="15.140625" style="247" customWidth="1"/>
    <col min="10" max="10" width="15.85546875" style="247" customWidth="1"/>
    <col min="11" max="11" width="16.42578125" style="247" customWidth="1"/>
    <col min="12" max="12" width="21.85546875" style="247" customWidth="1"/>
    <col min="13" max="13" width="23" style="247" customWidth="1"/>
    <col min="14" max="14" width="11.42578125" style="247"/>
    <col min="15" max="15" width="13.5703125" style="247" customWidth="1"/>
    <col min="16" max="16" width="11.42578125" style="247"/>
    <col min="17" max="17" width="20.28515625" style="247" customWidth="1"/>
    <col min="18" max="18" width="20.140625" style="247" customWidth="1"/>
    <col min="19" max="19" width="12.28515625" style="247" customWidth="1"/>
    <col min="20" max="20" width="11.42578125" style="247"/>
    <col min="21" max="21" width="11.5703125" style="247" customWidth="1"/>
    <col min="22" max="22" width="14.5703125" style="248" bestFit="1" customWidth="1"/>
    <col min="23" max="23" width="16.7109375" style="248" customWidth="1"/>
    <col min="24" max="24" width="16.7109375" style="247" customWidth="1"/>
    <col min="25" max="25" width="16.28515625" style="247" customWidth="1"/>
    <col min="26" max="26" width="11.42578125" style="247"/>
    <col min="27" max="27" width="16" style="247" customWidth="1"/>
    <col min="28" max="28" width="40.5703125" style="247" customWidth="1"/>
    <col min="29" max="29" width="14.5703125" style="247" customWidth="1"/>
    <col min="30" max="30" width="11.42578125" style="247"/>
    <col min="31" max="31" width="13" style="247" customWidth="1"/>
    <col min="32" max="32" width="32.85546875" style="247" customWidth="1"/>
    <col min="33" max="33" width="18.140625" style="247" bestFit="1" customWidth="1"/>
    <col min="34" max="34" width="11.42578125" style="247"/>
    <col min="35" max="35" width="16" style="247" customWidth="1"/>
    <col min="36" max="36" width="40.5703125" style="247" customWidth="1"/>
    <col min="37" max="37" width="17.140625" style="247" bestFit="1" customWidth="1"/>
    <col min="38" max="38" width="11.42578125" style="247"/>
    <col min="39" max="39" width="13" style="247" customWidth="1"/>
    <col min="40" max="40" width="32.85546875" style="247" customWidth="1"/>
    <col min="41" max="41" width="18.140625" style="247" bestFit="1" customWidth="1"/>
    <col min="42" max="42" width="11.42578125" style="247"/>
    <col min="43" max="43" width="16" style="247" customWidth="1"/>
    <col min="44" max="44" width="40.5703125" style="247" customWidth="1"/>
    <col min="45" max="45" width="17.140625" style="247" bestFit="1" customWidth="1"/>
    <col min="46" max="46" width="11.42578125" style="247"/>
    <col min="47" max="47" width="13" style="247" customWidth="1"/>
    <col min="48" max="48" width="32.85546875" style="247" customWidth="1"/>
    <col min="49" max="49" width="16.42578125" style="247" hidden="1" customWidth="1"/>
    <col min="50" max="50" width="16.42578125" style="519" hidden="1" customWidth="1"/>
    <col min="51" max="51" width="20.140625" style="247" hidden="1" customWidth="1"/>
    <col min="52" max="52" width="16.140625" style="247" hidden="1" customWidth="1"/>
    <col min="53" max="53" width="18.28515625" style="247" hidden="1" customWidth="1"/>
    <col min="54" max="54" width="20.42578125" style="247" hidden="1" customWidth="1"/>
    <col min="55" max="55" width="20.140625" style="247" hidden="1" customWidth="1"/>
    <col min="56" max="56" width="16.140625" style="247" hidden="1" customWidth="1"/>
    <col min="57" max="57" width="18.28515625" style="247" hidden="1" customWidth="1"/>
    <col min="58" max="58" width="20.42578125" style="247" hidden="1" customWidth="1"/>
    <col min="59" max="59" width="20.140625" style="247" hidden="1" customWidth="1"/>
    <col min="60" max="60" width="16.140625" style="247" hidden="1" customWidth="1"/>
    <col min="61" max="61" width="18.28515625" style="247" hidden="1" customWidth="1"/>
    <col min="62" max="62" width="20.42578125" style="247" hidden="1" customWidth="1"/>
    <col min="63" max="63" width="18.140625" style="247" bestFit="1" customWidth="1"/>
    <col min="64" max="64" width="11.42578125" style="247"/>
    <col min="65" max="65" width="16" style="247" customWidth="1"/>
    <col min="66" max="66" width="40.5703125" style="247" customWidth="1"/>
    <col min="67" max="67" width="17.140625" style="247" bestFit="1" customWidth="1"/>
    <col min="68" max="68" width="11.42578125" style="247"/>
    <col min="69" max="69" width="13" style="247" customWidth="1"/>
    <col min="70" max="70" width="32.85546875" style="247" customWidth="1"/>
    <col min="71" max="71" width="18.140625" style="247" bestFit="1" customWidth="1"/>
    <col min="72" max="72" width="11.42578125" style="247"/>
    <col min="73" max="73" width="16" style="247" customWidth="1"/>
    <col min="74" max="74" width="54.42578125" style="247" customWidth="1"/>
    <col min="75" max="75" width="17.140625" style="247" bestFit="1" customWidth="1"/>
    <col min="76" max="76" width="11.42578125" style="247"/>
    <col min="77" max="77" width="13" style="247" customWidth="1"/>
    <col min="78" max="78" width="32.85546875" style="247" customWidth="1"/>
    <col min="79" max="79" width="11.5703125" bestFit="1" customWidth="1"/>
    <col min="80" max="80" width="11.5703125" style="247" bestFit="1" customWidth="1"/>
    <col min="81" max="81" width="11.5703125" style="247" customWidth="1"/>
    <col min="82" max="82" width="43.7109375" style="247" bestFit="1" customWidth="1"/>
    <col min="83" max="85" width="11.42578125" style="247"/>
    <col min="86" max="86" width="23.28515625" style="247" bestFit="1" customWidth="1"/>
    <col min="87" max="16384" width="11.42578125" style="247"/>
  </cols>
  <sheetData>
    <row r="1" spans="1:709" s="456" customFormat="1" ht="15.75" x14ac:dyDescent="0.25">
      <c r="A1" s="53"/>
      <c r="B1" s="53"/>
      <c r="C1" s="901" t="s">
        <v>0</v>
      </c>
      <c r="D1" s="901"/>
      <c r="E1" s="901"/>
      <c r="F1" s="901"/>
      <c r="G1" s="901"/>
      <c r="H1" s="901"/>
      <c r="I1" s="901"/>
      <c r="J1" s="901"/>
      <c r="K1" s="901"/>
      <c r="L1" s="901"/>
      <c r="M1" s="901"/>
      <c r="N1" s="901"/>
      <c r="O1" s="901"/>
      <c r="P1" s="901"/>
      <c r="Q1" s="901"/>
      <c r="R1" s="901"/>
      <c r="S1" s="901"/>
      <c r="T1" s="901"/>
      <c r="U1" s="901"/>
      <c r="V1" s="901"/>
      <c r="W1" s="901"/>
      <c r="X1" s="901"/>
      <c r="Y1" s="53"/>
      <c r="Z1" s="53"/>
      <c r="AA1" s="53"/>
      <c r="AB1" s="53"/>
      <c r="AC1" s="53"/>
      <c r="AD1" s="53"/>
      <c r="AE1" s="454"/>
      <c r="AF1" s="455"/>
      <c r="AG1" s="53"/>
      <c r="AH1" s="53"/>
      <c r="AI1" s="53"/>
      <c r="AJ1" s="53"/>
      <c r="AK1" s="53"/>
      <c r="AL1" s="53"/>
      <c r="AM1" s="454"/>
      <c r="AN1" s="455"/>
      <c r="AO1" s="53"/>
      <c r="AP1" s="53"/>
      <c r="AQ1" s="53"/>
      <c r="AR1" s="53"/>
      <c r="AS1" s="53"/>
      <c r="AT1" s="53"/>
      <c r="AU1" s="138" t="s">
        <v>1</v>
      </c>
      <c r="AV1" s="139">
        <v>43458</v>
      </c>
      <c r="AX1" s="457"/>
      <c r="BK1" s="53"/>
      <c r="BL1" s="53"/>
      <c r="BM1" s="53"/>
      <c r="BN1" s="53"/>
      <c r="BO1" s="53"/>
      <c r="BP1" s="291"/>
      <c r="BQ1" s="454"/>
      <c r="BR1" s="455"/>
      <c r="BS1" s="291"/>
      <c r="BT1" s="53"/>
      <c r="BU1" s="53"/>
      <c r="BV1" s="53"/>
      <c r="BW1" s="53"/>
      <c r="BX1" s="53"/>
      <c r="BY1" s="53"/>
      <c r="BZ1" s="53"/>
      <c r="CA1" s="53"/>
      <c r="CB1" s="53"/>
      <c r="CC1" s="53"/>
      <c r="CD1" s="53"/>
      <c r="CE1" s="53"/>
      <c r="CF1" s="53"/>
      <c r="CG1" s="138" t="s">
        <v>1</v>
      </c>
      <c r="CH1" s="139">
        <v>43458</v>
      </c>
    </row>
    <row r="2" spans="1:709" s="456" customFormat="1" ht="15.75" x14ac:dyDescent="0.25">
      <c r="A2" s="53"/>
      <c r="B2" s="53"/>
      <c r="C2" s="901"/>
      <c r="D2" s="901"/>
      <c r="E2" s="901"/>
      <c r="F2" s="901"/>
      <c r="G2" s="901"/>
      <c r="H2" s="901"/>
      <c r="I2" s="901"/>
      <c r="J2" s="901"/>
      <c r="K2" s="901"/>
      <c r="L2" s="901"/>
      <c r="M2" s="901"/>
      <c r="N2" s="901"/>
      <c r="O2" s="901"/>
      <c r="P2" s="901"/>
      <c r="Q2" s="901"/>
      <c r="R2" s="901"/>
      <c r="S2" s="901"/>
      <c r="T2" s="901"/>
      <c r="U2" s="901"/>
      <c r="V2" s="901"/>
      <c r="W2" s="901"/>
      <c r="X2" s="901"/>
      <c r="Y2" s="53"/>
      <c r="Z2" s="53"/>
      <c r="AA2" s="53"/>
      <c r="AB2" s="53"/>
      <c r="AC2" s="53"/>
      <c r="AD2" s="53"/>
      <c r="AE2" s="454"/>
      <c r="AF2" s="454"/>
      <c r="AG2" s="53"/>
      <c r="AH2" s="53"/>
      <c r="AI2" s="53"/>
      <c r="AJ2" s="53"/>
      <c r="AK2" s="53"/>
      <c r="AL2" s="53"/>
      <c r="AM2" s="454"/>
      <c r="AN2" s="454"/>
      <c r="AO2" s="53"/>
      <c r="AP2" s="53"/>
      <c r="AQ2" s="53"/>
      <c r="AR2" s="53"/>
      <c r="AS2" s="53"/>
      <c r="AT2" s="53"/>
      <c r="AU2" s="138" t="s">
        <v>2</v>
      </c>
      <c r="AV2" s="138">
        <v>5</v>
      </c>
      <c r="AX2" s="457"/>
      <c r="BK2" s="53"/>
      <c r="BL2" s="53"/>
      <c r="BM2" s="53"/>
      <c r="BN2" s="53"/>
      <c r="BO2" s="53"/>
      <c r="BP2" s="291"/>
      <c r="BQ2" s="454"/>
      <c r="BR2" s="454"/>
      <c r="BS2" s="291"/>
      <c r="BT2" s="53"/>
      <c r="BU2" s="53"/>
      <c r="BV2" s="53"/>
      <c r="BW2" s="53"/>
      <c r="BX2" s="53"/>
      <c r="BY2" s="53"/>
      <c r="BZ2" s="53"/>
      <c r="CA2" s="53"/>
      <c r="CB2" s="53"/>
      <c r="CC2" s="53"/>
      <c r="CD2" s="53"/>
      <c r="CE2" s="53"/>
      <c r="CF2" s="53"/>
      <c r="CG2" s="138" t="s">
        <v>2</v>
      </c>
      <c r="CH2" s="138">
        <v>5</v>
      </c>
    </row>
    <row r="3" spans="1:709" s="456" customFormat="1" ht="15.75" x14ac:dyDescent="0.25">
      <c r="A3" s="53"/>
      <c r="B3" s="53"/>
      <c r="C3" s="901"/>
      <c r="D3" s="901"/>
      <c r="E3" s="901"/>
      <c r="F3" s="901"/>
      <c r="G3" s="901"/>
      <c r="H3" s="901"/>
      <c r="I3" s="901"/>
      <c r="J3" s="901"/>
      <c r="K3" s="901"/>
      <c r="L3" s="901"/>
      <c r="M3" s="901"/>
      <c r="N3" s="901"/>
      <c r="O3" s="901"/>
      <c r="P3" s="901"/>
      <c r="Q3" s="901"/>
      <c r="R3" s="901"/>
      <c r="S3" s="901"/>
      <c r="T3" s="901"/>
      <c r="U3" s="901"/>
      <c r="V3" s="901"/>
      <c r="W3" s="901"/>
      <c r="X3" s="901"/>
      <c r="Y3" s="53"/>
      <c r="Z3" s="53"/>
      <c r="AA3" s="53"/>
      <c r="AB3" s="53"/>
      <c r="AC3" s="53"/>
      <c r="AD3" s="53"/>
      <c r="AE3" s="454"/>
      <c r="AF3" s="454"/>
      <c r="AG3" s="53"/>
      <c r="AH3" s="53"/>
      <c r="AI3" s="53"/>
      <c r="AJ3" s="53"/>
      <c r="AK3" s="53"/>
      <c r="AL3" s="53"/>
      <c r="AM3" s="458"/>
      <c r="AN3" s="458"/>
      <c r="AO3" s="53"/>
      <c r="AP3" s="53"/>
      <c r="AQ3" s="53"/>
      <c r="AR3" s="53"/>
      <c r="AS3" s="53"/>
      <c r="AT3" s="53"/>
      <c r="AU3" s="138" t="s">
        <v>3</v>
      </c>
      <c r="AV3" s="138" t="s">
        <v>4</v>
      </c>
      <c r="AX3" s="457"/>
      <c r="BK3" s="53"/>
      <c r="BL3" s="53"/>
      <c r="BM3" s="53"/>
      <c r="BN3" s="53"/>
      <c r="BO3" s="53"/>
      <c r="BP3" s="291"/>
      <c r="BQ3" s="454"/>
      <c r="BR3" s="454"/>
      <c r="BS3" s="291"/>
      <c r="BT3" s="53"/>
      <c r="BU3" s="53"/>
      <c r="BV3" s="53"/>
      <c r="BW3" s="53"/>
      <c r="BX3" s="53"/>
      <c r="BY3" s="53"/>
      <c r="BZ3" s="53"/>
      <c r="CA3" s="53"/>
      <c r="CB3" s="53"/>
      <c r="CC3" s="53"/>
      <c r="CD3" s="53"/>
      <c r="CE3" s="53"/>
      <c r="CF3" s="53"/>
      <c r="CG3" s="138" t="s">
        <v>3</v>
      </c>
      <c r="CH3" s="138" t="s">
        <v>4</v>
      </c>
    </row>
    <row r="4" spans="1:709" s="194" customFormat="1" ht="15" customHeight="1" x14ac:dyDescent="0.25">
      <c r="A4" s="815" t="s">
        <v>5</v>
      </c>
      <c r="B4" s="816"/>
      <c r="C4" s="816"/>
      <c r="D4" s="816"/>
      <c r="E4" s="816"/>
      <c r="F4" s="816"/>
      <c r="G4" s="816"/>
      <c r="H4" s="816"/>
      <c r="I4" s="816"/>
      <c r="J4" s="816"/>
      <c r="K4" s="817"/>
      <c r="L4" s="818" t="s">
        <v>6</v>
      </c>
      <c r="M4" s="819"/>
      <c r="N4" s="819"/>
      <c r="O4" s="819"/>
      <c r="P4" s="820"/>
      <c r="Q4" s="818" t="s">
        <v>7</v>
      </c>
      <c r="R4" s="819"/>
      <c r="S4" s="819"/>
      <c r="T4" s="819"/>
      <c r="U4" s="820"/>
      <c r="V4" s="821" t="s">
        <v>8</v>
      </c>
      <c r="W4" s="822"/>
      <c r="X4" s="825" t="s">
        <v>9</v>
      </c>
      <c r="Y4" s="812" t="s">
        <v>10</v>
      </c>
      <c r="Z4" s="813"/>
      <c r="AA4" s="813"/>
      <c r="AB4" s="813"/>
      <c r="AC4" s="813"/>
      <c r="AD4" s="813"/>
      <c r="AE4" s="813"/>
      <c r="AF4" s="814"/>
      <c r="AG4" s="812" t="s">
        <v>11</v>
      </c>
      <c r="AH4" s="813"/>
      <c r="AI4" s="813"/>
      <c r="AJ4" s="813"/>
      <c r="AK4" s="813"/>
      <c r="AL4" s="813"/>
      <c r="AM4" s="813"/>
      <c r="AN4" s="814"/>
      <c r="AO4" s="812" t="s">
        <v>12</v>
      </c>
      <c r="AP4" s="813"/>
      <c r="AQ4" s="813"/>
      <c r="AR4" s="813"/>
      <c r="AS4" s="813"/>
      <c r="AT4" s="813"/>
      <c r="AU4" s="813"/>
      <c r="AV4" s="814"/>
      <c r="BK4" s="812" t="s">
        <v>892</v>
      </c>
      <c r="BL4" s="813"/>
      <c r="BM4" s="813"/>
      <c r="BN4" s="813"/>
      <c r="BO4" s="813"/>
      <c r="BP4" s="813"/>
      <c r="BQ4" s="813"/>
      <c r="BR4" s="814"/>
      <c r="BS4" s="812" t="s">
        <v>893</v>
      </c>
      <c r="BT4" s="813"/>
      <c r="BU4" s="813"/>
      <c r="BV4" s="813"/>
      <c r="BW4" s="813"/>
      <c r="BX4" s="813"/>
      <c r="BY4" s="813"/>
      <c r="BZ4" s="814"/>
      <c r="CA4" s="812" t="s">
        <v>894</v>
      </c>
      <c r="CB4" s="813"/>
      <c r="CC4" s="813"/>
      <c r="CD4" s="813"/>
      <c r="CE4" s="813"/>
      <c r="CF4" s="813"/>
      <c r="CG4" s="813"/>
      <c r="CH4" s="814"/>
    </row>
    <row r="5" spans="1:709" s="194" customFormat="1" ht="30" x14ac:dyDescent="0.25">
      <c r="A5" s="808" t="s">
        <v>13</v>
      </c>
      <c r="B5" s="803"/>
      <c r="C5" s="804"/>
      <c r="D5" s="358" t="s">
        <v>14</v>
      </c>
      <c r="E5" s="808" t="s">
        <v>15</v>
      </c>
      <c r="F5" s="804"/>
      <c r="G5" s="808" t="s">
        <v>16</v>
      </c>
      <c r="H5" s="803"/>
      <c r="I5" s="804"/>
      <c r="J5" s="810" t="s">
        <v>17</v>
      </c>
      <c r="K5" s="810" t="s">
        <v>18</v>
      </c>
      <c r="L5" s="812"/>
      <c r="M5" s="813"/>
      <c r="N5" s="813"/>
      <c r="O5" s="813"/>
      <c r="P5" s="814"/>
      <c r="Q5" s="812"/>
      <c r="R5" s="813"/>
      <c r="S5" s="813"/>
      <c r="T5" s="813"/>
      <c r="U5" s="814"/>
      <c r="V5" s="823"/>
      <c r="W5" s="824"/>
      <c r="X5" s="826"/>
      <c r="Y5" s="808" t="s">
        <v>19</v>
      </c>
      <c r="Z5" s="803"/>
      <c r="AA5" s="803"/>
      <c r="AB5" s="809"/>
      <c r="AC5" s="802" t="s">
        <v>20</v>
      </c>
      <c r="AD5" s="803"/>
      <c r="AE5" s="803"/>
      <c r="AF5" s="804"/>
      <c r="AG5" s="808" t="s">
        <v>19</v>
      </c>
      <c r="AH5" s="803"/>
      <c r="AI5" s="803"/>
      <c r="AJ5" s="809"/>
      <c r="AK5" s="802" t="s">
        <v>20</v>
      </c>
      <c r="AL5" s="803"/>
      <c r="AM5" s="803"/>
      <c r="AN5" s="804"/>
      <c r="AO5" s="808" t="s">
        <v>19</v>
      </c>
      <c r="AP5" s="803"/>
      <c r="AQ5" s="803"/>
      <c r="AR5" s="809"/>
      <c r="AS5" s="802" t="s">
        <v>20</v>
      </c>
      <c r="AT5" s="803"/>
      <c r="AU5" s="803"/>
      <c r="AV5" s="804"/>
      <c r="AY5" s="899" t="s">
        <v>871</v>
      </c>
      <c r="AZ5" s="899"/>
      <c r="BA5" s="899"/>
      <c r="BB5" s="899"/>
      <c r="BC5" s="899" t="s">
        <v>872</v>
      </c>
      <c r="BD5" s="899"/>
      <c r="BE5" s="899"/>
      <c r="BF5" s="899"/>
      <c r="BG5" s="899" t="s">
        <v>873</v>
      </c>
      <c r="BH5" s="899"/>
      <c r="BI5" s="899"/>
      <c r="BJ5" s="899"/>
      <c r="BK5" s="808" t="s">
        <v>19</v>
      </c>
      <c r="BL5" s="803"/>
      <c r="BM5" s="803"/>
      <c r="BN5" s="809"/>
      <c r="BO5" s="802" t="s">
        <v>20</v>
      </c>
      <c r="BP5" s="803"/>
      <c r="BQ5" s="803"/>
      <c r="BR5" s="804"/>
      <c r="BS5" s="808" t="s">
        <v>19</v>
      </c>
      <c r="BT5" s="803"/>
      <c r="BU5" s="803"/>
      <c r="BV5" s="809"/>
      <c r="BW5" s="802" t="s">
        <v>20</v>
      </c>
      <c r="BX5" s="803"/>
      <c r="BY5" s="803"/>
      <c r="BZ5" s="804"/>
      <c r="CA5" s="808" t="s">
        <v>19</v>
      </c>
      <c r="CB5" s="803"/>
      <c r="CC5" s="803"/>
      <c r="CD5" s="809"/>
      <c r="CE5" s="802" t="s">
        <v>20</v>
      </c>
      <c r="CF5" s="803"/>
      <c r="CG5" s="803"/>
      <c r="CH5" s="804"/>
    </row>
    <row r="6" spans="1:709" s="194" customFormat="1" ht="45" x14ac:dyDescent="0.25">
      <c r="A6" s="235" t="s">
        <v>21</v>
      </c>
      <c r="B6" s="235" t="s">
        <v>22</v>
      </c>
      <c r="C6" s="235" t="s">
        <v>23</v>
      </c>
      <c r="D6" s="235" t="s">
        <v>24</v>
      </c>
      <c r="E6" s="235" t="s">
        <v>25</v>
      </c>
      <c r="F6" s="235" t="s">
        <v>26</v>
      </c>
      <c r="G6" s="235" t="s">
        <v>27</v>
      </c>
      <c r="H6" s="235" t="s">
        <v>28</v>
      </c>
      <c r="I6" s="235" t="s">
        <v>29</v>
      </c>
      <c r="J6" s="811"/>
      <c r="K6" s="811"/>
      <c r="L6" s="235" t="s">
        <v>6</v>
      </c>
      <c r="M6" s="235" t="s">
        <v>30</v>
      </c>
      <c r="N6" s="235" t="s">
        <v>31</v>
      </c>
      <c r="O6" s="235" t="s">
        <v>32</v>
      </c>
      <c r="P6" s="235" t="s">
        <v>33</v>
      </c>
      <c r="Q6" s="235" t="s">
        <v>7</v>
      </c>
      <c r="R6" s="235" t="s">
        <v>34</v>
      </c>
      <c r="S6" s="235" t="s">
        <v>31</v>
      </c>
      <c r="T6" s="235" t="s">
        <v>32</v>
      </c>
      <c r="U6" s="235" t="s">
        <v>35</v>
      </c>
      <c r="V6" s="246" t="s">
        <v>36</v>
      </c>
      <c r="W6" s="246" t="s">
        <v>37</v>
      </c>
      <c r="X6" s="235" t="s">
        <v>38</v>
      </c>
      <c r="Y6" s="235" t="s">
        <v>39</v>
      </c>
      <c r="Z6" s="235" t="s">
        <v>40</v>
      </c>
      <c r="AA6" s="235" t="s">
        <v>41</v>
      </c>
      <c r="AB6" s="235" t="s">
        <v>42</v>
      </c>
      <c r="AC6" s="235" t="s">
        <v>39</v>
      </c>
      <c r="AD6" s="235" t="s">
        <v>40</v>
      </c>
      <c r="AE6" s="235" t="s">
        <v>41</v>
      </c>
      <c r="AF6" s="235" t="s">
        <v>42</v>
      </c>
      <c r="AG6" s="235" t="s">
        <v>39</v>
      </c>
      <c r="AH6" s="235" t="s">
        <v>40</v>
      </c>
      <c r="AI6" s="235" t="s">
        <v>41</v>
      </c>
      <c r="AJ6" s="235" t="s">
        <v>42</v>
      </c>
      <c r="AK6" s="235" t="s">
        <v>39</v>
      </c>
      <c r="AL6" s="235" t="s">
        <v>40</v>
      </c>
      <c r="AM6" s="235" t="s">
        <v>41</v>
      </c>
      <c r="AN6" s="235" t="s">
        <v>42</v>
      </c>
      <c r="AO6" s="235" t="s">
        <v>39</v>
      </c>
      <c r="AP6" s="235" t="s">
        <v>40</v>
      </c>
      <c r="AQ6" s="235" t="s">
        <v>41</v>
      </c>
      <c r="AR6" s="235" t="s">
        <v>42</v>
      </c>
      <c r="AS6" s="235" t="s">
        <v>39</v>
      </c>
      <c r="AT6" s="235" t="s">
        <v>40</v>
      </c>
      <c r="AU6" s="235" t="s">
        <v>41</v>
      </c>
      <c r="AV6" s="235" t="s">
        <v>42</v>
      </c>
      <c r="AY6" s="459" t="s">
        <v>1050</v>
      </c>
      <c r="AZ6" s="459" t="s">
        <v>1051</v>
      </c>
      <c r="BA6" s="460" t="s">
        <v>1052</v>
      </c>
      <c r="BB6" s="460" t="s">
        <v>1053</v>
      </c>
      <c r="BC6" s="459" t="s">
        <v>1050</v>
      </c>
      <c r="BD6" s="459" t="s">
        <v>1051</v>
      </c>
      <c r="BE6" s="460" t="s">
        <v>1052</v>
      </c>
      <c r="BF6" s="460" t="s">
        <v>1053</v>
      </c>
      <c r="BG6" s="459" t="s">
        <v>1050</v>
      </c>
      <c r="BH6" s="459" t="s">
        <v>1051</v>
      </c>
      <c r="BI6" s="460" t="s">
        <v>1052</v>
      </c>
      <c r="BJ6" s="460" t="s">
        <v>1053</v>
      </c>
      <c r="BK6" s="235" t="s">
        <v>39</v>
      </c>
      <c r="BL6" s="235" t="s">
        <v>40</v>
      </c>
      <c r="BM6" s="235" t="s">
        <v>41</v>
      </c>
      <c r="BN6" s="235" t="s">
        <v>42</v>
      </c>
      <c r="BO6" s="235" t="s">
        <v>39</v>
      </c>
      <c r="BP6" s="235" t="s">
        <v>40</v>
      </c>
      <c r="BQ6" s="235" t="s">
        <v>41</v>
      </c>
      <c r="BR6" s="235" t="s">
        <v>42</v>
      </c>
      <c r="BS6" s="235" t="s">
        <v>39</v>
      </c>
      <c r="BT6" s="235" t="s">
        <v>40</v>
      </c>
      <c r="BU6" s="235" t="s">
        <v>41</v>
      </c>
      <c r="BV6" s="235" t="s">
        <v>42</v>
      </c>
      <c r="BW6" s="235" t="s">
        <v>39</v>
      </c>
      <c r="BX6" s="235" t="s">
        <v>40</v>
      </c>
      <c r="BY6" s="235" t="s">
        <v>41</v>
      </c>
      <c r="BZ6" s="235" t="s">
        <v>42</v>
      </c>
      <c r="CA6" s="235" t="s">
        <v>39</v>
      </c>
      <c r="CB6" s="235" t="s">
        <v>40</v>
      </c>
      <c r="CC6" s="235" t="s">
        <v>41</v>
      </c>
      <c r="CD6" s="235" t="s">
        <v>42</v>
      </c>
      <c r="CE6" s="235" t="s">
        <v>39</v>
      </c>
      <c r="CF6" s="235" t="s">
        <v>40</v>
      </c>
      <c r="CG6" s="235" t="s">
        <v>41</v>
      </c>
      <c r="CH6" s="235" t="s">
        <v>42</v>
      </c>
    </row>
    <row r="7" spans="1:709" s="250" customFormat="1" ht="102" x14ac:dyDescent="0.25">
      <c r="A7" s="805" t="s">
        <v>43</v>
      </c>
      <c r="B7" s="806" t="s">
        <v>44</v>
      </c>
      <c r="C7" s="805" t="s">
        <v>45</v>
      </c>
      <c r="D7" s="806" t="s">
        <v>540</v>
      </c>
      <c r="E7" s="805" t="s">
        <v>47</v>
      </c>
      <c r="F7" s="806" t="s">
        <v>724</v>
      </c>
      <c r="G7" s="805" t="s">
        <v>629</v>
      </c>
      <c r="H7" s="806" t="s">
        <v>725</v>
      </c>
      <c r="I7" s="806" t="s">
        <v>590</v>
      </c>
      <c r="J7" s="805" t="s">
        <v>726</v>
      </c>
      <c r="K7" s="805" t="s">
        <v>725</v>
      </c>
      <c r="L7" s="461" t="s">
        <v>727</v>
      </c>
      <c r="M7" s="359" t="s">
        <v>728</v>
      </c>
      <c r="N7" s="359" t="s">
        <v>56</v>
      </c>
      <c r="O7" s="359"/>
      <c r="P7" s="359">
        <v>1</v>
      </c>
      <c r="Q7" s="241"/>
      <c r="R7" s="241"/>
      <c r="S7" s="241"/>
      <c r="T7" s="241"/>
      <c r="U7" s="241"/>
      <c r="V7" s="1018">
        <v>73948714</v>
      </c>
      <c r="W7" s="897">
        <v>632428334</v>
      </c>
      <c r="X7" s="805" t="s">
        <v>729</v>
      </c>
      <c r="Y7" s="462">
        <v>0</v>
      </c>
      <c r="Z7" s="463">
        <v>1</v>
      </c>
      <c r="AA7" s="359">
        <v>0</v>
      </c>
      <c r="AB7" s="359" t="s">
        <v>730</v>
      </c>
      <c r="AC7" s="241"/>
      <c r="AD7" s="241"/>
      <c r="AE7" s="241"/>
      <c r="AF7" s="241"/>
      <c r="AG7" s="462">
        <v>0</v>
      </c>
      <c r="AH7" s="463">
        <v>1</v>
      </c>
      <c r="AI7" s="359">
        <v>0</v>
      </c>
      <c r="AJ7" s="359" t="s">
        <v>730</v>
      </c>
      <c r="AK7" s="241"/>
      <c r="AL7" s="241"/>
      <c r="AM7" s="241"/>
      <c r="AN7" s="241"/>
      <c r="AO7" s="462">
        <v>0</v>
      </c>
      <c r="AP7" s="463">
        <v>1</v>
      </c>
      <c r="AQ7" s="359">
        <v>0</v>
      </c>
      <c r="AR7" s="359" t="s">
        <v>731</v>
      </c>
      <c r="AS7" s="241"/>
      <c r="AT7" s="241"/>
      <c r="AU7" s="241"/>
      <c r="AV7" s="241"/>
      <c r="AX7" s="464"/>
      <c r="AY7" s="465" t="s">
        <v>732</v>
      </c>
      <c r="AZ7" s="466"/>
      <c r="BA7" s="465" t="s">
        <v>732</v>
      </c>
      <c r="BB7" s="467"/>
      <c r="BC7" s="468" t="s">
        <v>732</v>
      </c>
      <c r="BD7" s="469"/>
      <c r="BE7" s="470" t="s">
        <v>732</v>
      </c>
      <c r="BF7" s="467"/>
      <c r="BG7" s="468" t="s">
        <v>732</v>
      </c>
      <c r="BH7" s="469"/>
      <c r="BI7" s="470" t="s">
        <v>732</v>
      </c>
      <c r="BJ7" s="467"/>
      <c r="BK7" s="462">
        <v>0</v>
      </c>
      <c r="BL7" s="463">
        <v>1</v>
      </c>
      <c r="BM7" s="359">
        <v>0</v>
      </c>
      <c r="BN7" s="359" t="s">
        <v>731</v>
      </c>
      <c r="BO7" s="241"/>
      <c r="BP7" s="241"/>
      <c r="BQ7" s="241"/>
      <c r="BR7" s="241"/>
      <c r="BS7" s="462">
        <v>0</v>
      </c>
      <c r="BT7" s="463">
        <v>1</v>
      </c>
      <c r="BU7" s="359">
        <v>0</v>
      </c>
      <c r="BV7" s="359" t="s">
        <v>1054</v>
      </c>
      <c r="BW7" s="241"/>
      <c r="BX7" s="241"/>
      <c r="BY7" s="241"/>
      <c r="BZ7" s="241"/>
      <c r="CA7" s="462">
        <v>0</v>
      </c>
      <c r="CB7" s="463">
        <v>1</v>
      </c>
      <c r="CC7" s="359">
        <v>0</v>
      </c>
      <c r="CD7" s="359" t="s">
        <v>1055</v>
      </c>
      <c r="CE7" s="241"/>
      <c r="CF7" s="241"/>
      <c r="CG7" s="241"/>
      <c r="CH7" s="241"/>
    </row>
    <row r="8" spans="1:709" s="250" customFormat="1" ht="178.5" x14ac:dyDescent="0.25">
      <c r="A8" s="797"/>
      <c r="B8" s="807"/>
      <c r="C8" s="797"/>
      <c r="D8" s="807"/>
      <c r="E8" s="797"/>
      <c r="F8" s="807"/>
      <c r="G8" s="797"/>
      <c r="H8" s="807"/>
      <c r="I8" s="807"/>
      <c r="J8" s="797"/>
      <c r="K8" s="797"/>
      <c r="L8" s="360" t="s">
        <v>733</v>
      </c>
      <c r="M8" s="360" t="s">
        <v>734</v>
      </c>
      <c r="N8" s="360" t="s">
        <v>74</v>
      </c>
      <c r="O8" s="360"/>
      <c r="P8" s="360">
        <v>1</v>
      </c>
      <c r="Q8" s="241"/>
      <c r="R8" s="241"/>
      <c r="S8" s="241"/>
      <c r="T8" s="241"/>
      <c r="U8" s="241"/>
      <c r="V8" s="1019"/>
      <c r="W8" s="1020"/>
      <c r="X8" s="797"/>
      <c r="Y8" s="471">
        <v>0.25</v>
      </c>
      <c r="Z8" s="253">
        <v>1</v>
      </c>
      <c r="AA8" s="253">
        <v>0.25</v>
      </c>
      <c r="AB8" s="360" t="s">
        <v>735</v>
      </c>
      <c r="AC8" s="241"/>
      <c r="AD8" s="241"/>
      <c r="AE8" s="241"/>
      <c r="AF8" s="241"/>
      <c r="AG8" s="253">
        <v>0.25</v>
      </c>
      <c r="AH8" s="253">
        <v>1</v>
      </c>
      <c r="AI8" s="253">
        <v>0.25</v>
      </c>
      <c r="AJ8" s="360" t="s">
        <v>735</v>
      </c>
      <c r="AK8" s="241"/>
      <c r="AL8" s="241"/>
      <c r="AM8" s="241"/>
      <c r="AN8" s="241"/>
      <c r="AO8" s="253">
        <v>0.25</v>
      </c>
      <c r="AP8" s="253">
        <v>1</v>
      </c>
      <c r="AQ8" s="253">
        <v>0.25</v>
      </c>
      <c r="AR8" s="360" t="s">
        <v>735</v>
      </c>
      <c r="AS8" s="241"/>
      <c r="AT8" s="241"/>
      <c r="AU8" s="241"/>
      <c r="AV8" s="241"/>
      <c r="AX8" s="464"/>
      <c r="AY8" s="468">
        <v>0.25</v>
      </c>
      <c r="AZ8" s="469"/>
      <c r="BA8" s="470">
        <v>0.25</v>
      </c>
      <c r="BB8" s="472"/>
      <c r="BC8" s="468">
        <v>0.25</v>
      </c>
      <c r="BD8" s="469"/>
      <c r="BE8" s="470">
        <v>0.25</v>
      </c>
      <c r="BF8" s="472"/>
      <c r="BG8" s="468">
        <v>0.25</v>
      </c>
      <c r="BH8" s="469"/>
      <c r="BI8" s="470">
        <v>0.25</v>
      </c>
      <c r="BJ8" s="472"/>
      <c r="BK8" s="253">
        <v>0.5</v>
      </c>
      <c r="BL8" s="253">
        <v>1</v>
      </c>
      <c r="BM8" s="253">
        <f>BK8/BL8</f>
        <v>0.5</v>
      </c>
      <c r="BN8" s="360" t="s">
        <v>1056</v>
      </c>
      <c r="BO8" s="241"/>
      <c r="BP8" s="241"/>
      <c r="BQ8" s="241"/>
      <c r="BR8" s="241"/>
      <c r="BS8" s="253">
        <v>0.75</v>
      </c>
      <c r="BT8" s="253">
        <v>1</v>
      </c>
      <c r="BU8" s="253">
        <v>0.75</v>
      </c>
      <c r="BV8" s="360" t="s">
        <v>1057</v>
      </c>
      <c r="BW8" s="241"/>
      <c r="BX8" s="241"/>
      <c r="BY8" s="241"/>
      <c r="BZ8" s="241"/>
      <c r="CA8" s="253">
        <v>0.75</v>
      </c>
      <c r="CB8" s="253">
        <v>1</v>
      </c>
      <c r="CC8" s="253">
        <v>0.75</v>
      </c>
      <c r="CD8" s="360" t="s">
        <v>1058</v>
      </c>
      <c r="CE8" s="241"/>
      <c r="CF8" s="241"/>
      <c r="CG8" s="241"/>
      <c r="CH8" s="241"/>
    </row>
    <row r="9" spans="1:709" s="250" customFormat="1" ht="63.75" x14ac:dyDescent="0.25">
      <c r="A9" s="797"/>
      <c r="B9" s="807"/>
      <c r="C9" s="797"/>
      <c r="D9" s="807"/>
      <c r="E9" s="797"/>
      <c r="F9" s="807"/>
      <c r="G9" s="797"/>
      <c r="H9" s="807"/>
      <c r="I9" s="807"/>
      <c r="J9" s="797"/>
      <c r="K9" s="797"/>
      <c r="L9" s="797" t="s">
        <v>736</v>
      </c>
      <c r="M9" s="797" t="s">
        <v>737</v>
      </c>
      <c r="N9" s="797" t="s">
        <v>74</v>
      </c>
      <c r="O9" s="797" t="s">
        <v>738</v>
      </c>
      <c r="P9" s="900">
        <v>0.75</v>
      </c>
      <c r="Q9" s="359" t="s">
        <v>739</v>
      </c>
      <c r="R9" s="359" t="s">
        <v>740</v>
      </c>
      <c r="S9" s="359" t="s">
        <v>56</v>
      </c>
      <c r="T9" s="359"/>
      <c r="U9" s="359">
        <v>3</v>
      </c>
      <c r="V9" s="1019"/>
      <c r="W9" s="1020"/>
      <c r="X9" s="797"/>
      <c r="Y9" s="896">
        <v>0</v>
      </c>
      <c r="Z9" s="895">
        <v>0.75</v>
      </c>
      <c r="AA9" s="797" t="s">
        <v>732</v>
      </c>
      <c r="AB9" s="797" t="s">
        <v>741</v>
      </c>
      <c r="AC9" s="359">
        <v>1</v>
      </c>
      <c r="AD9" s="359">
        <v>3</v>
      </c>
      <c r="AE9" s="473">
        <f>AC9/AD9</f>
        <v>0.33333333333333331</v>
      </c>
      <c r="AF9" s="359" t="s">
        <v>742</v>
      </c>
      <c r="AG9" s="896">
        <v>0</v>
      </c>
      <c r="AH9" s="895">
        <v>0.75</v>
      </c>
      <c r="AI9" s="797" t="s">
        <v>732</v>
      </c>
      <c r="AJ9" s="797" t="s">
        <v>741</v>
      </c>
      <c r="AK9" s="359">
        <v>2</v>
      </c>
      <c r="AL9" s="359">
        <v>3</v>
      </c>
      <c r="AM9" s="473">
        <f>AK9/AL9</f>
        <v>0.66666666666666663</v>
      </c>
      <c r="AN9" s="359" t="s">
        <v>742</v>
      </c>
      <c r="AO9" s="896"/>
      <c r="AP9" s="895"/>
      <c r="AQ9" s="797"/>
      <c r="AR9" s="797"/>
      <c r="AS9" s="359">
        <v>2</v>
      </c>
      <c r="AT9" s="359">
        <v>3</v>
      </c>
      <c r="AU9" s="473">
        <f>AS9/AT9</f>
        <v>0.66666666666666663</v>
      </c>
      <c r="AV9" s="359" t="s">
        <v>742</v>
      </c>
      <c r="AW9" s="474"/>
      <c r="AX9" s="475"/>
      <c r="AY9" s="892"/>
      <c r="AZ9" s="476">
        <f>2/3</f>
        <v>0.66666666666666663</v>
      </c>
      <c r="BA9" s="893"/>
      <c r="BB9" s="477">
        <v>0.67</v>
      </c>
      <c r="BC9" s="892"/>
      <c r="BD9" s="476">
        <f>2/3</f>
        <v>0.66666666666666663</v>
      </c>
      <c r="BE9" s="893"/>
      <c r="BF9" s="478">
        <v>0.67</v>
      </c>
      <c r="BG9" s="892"/>
      <c r="BH9" s="476">
        <v>0.67</v>
      </c>
      <c r="BI9" s="893"/>
      <c r="BJ9" s="478">
        <v>0.67</v>
      </c>
      <c r="BK9" s="896"/>
      <c r="BL9" s="895"/>
      <c r="BM9" s="797"/>
      <c r="BN9" s="797"/>
      <c r="BO9" s="359">
        <v>2</v>
      </c>
      <c r="BP9" s="359">
        <v>3</v>
      </c>
      <c r="BQ9" s="473">
        <f>BO9/BP9</f>
        <v>0.66666666666666663</v>
      </c>
      <c r="BR9" s="359" t="s">
        <v>742</v>
      </c>
      <c r="BS9" s="896"/>
      <c r="BT9" s="895"/>
      <c r="BU9" s="797"/>
      <c r="BV9" s="797"/>
      <c r="BW9" s="359">
        <v>2</v>
      </c>
      <c r="BX9" s="359">
        <v>3</v>
      </c>
      <c r="BY9" s="473">
        <f>BW9/BX9</f>
        <v>0.66666666666666663</v>
      </c>
      <c r="BZ9" s="359" t="s">
        <v>742</v>
      </c>
      <c r="CA9" s="894">
        <v>0.83199999999999996</v>
      </c>
      <c r="CB9" s="895">
        <v>0.75</v>
      </c>
      <c r="CC9" s="894">
        <v>0.83199999999999996</v>
      </c>
      <c r="CD9" s="797" t="s">
        <v>1059</v>
      </c>
      <c r="CE9" s="359">
        <v>3</v>
      </c>
      <c r="CF9" s="359">
        <v>3</v>
      </c>
      <c r="CG9" s="473">
        <f>CE9/CF9</f>
        <v>1</v>
      </c>
      <c r="CH9" s="359" t="s">
        <v>1060</v>
      </c>
    </row>
    <row r="10" spans="1:709" s="250" customFormat="1" ht="127.5" x14ac:dyDescent="0.25">
      <c r="A10" s="797"/>
      <c r="B10" s="807"/>
      <c r="C10" s="797"/>
      <c r="D10" s="807"/>
      <c r="E10" s="797"/>
      <c r="F10" s="807"/>
      <c r="G10" s="797"/>
      <c r="H10" s="807"/>
      <c r="I10" s="807"/>
      <c r="J10" s="797"/>
      <c r="K10" s="797"/>
      <c r="L10" s="797"/>
      <c r="M10" s="797"/>
      <c r="N10" s="797"/>
      <c r="O10" s="797"/>
      <c r="P10" s="900"/>
      <c r="Q10" s="359" t="s">
        <v>748</v>
      </c>
      <c r="R10" s="359" t="s">
        <v>749</v>
      </c>
      <c r="S10" s="359" t="s">
        <v>1061</v>
      </c>
      <c r="T10" s="359"/>
      <c r="U10" s="479">
        <v>4</v>
      </c>
      <c r="V10" s="1019"/>
      <c r="W10" s="1020"/>
      <c r="X10" s="797"/>
      <c r="Y10" s="896"/>
      <c r="Z10" s="797"/>
      <c r="AA10" s="797"/>
      <c r="AB10" s="797"/>
      <c r="AC10" s="359"/>
      <c r="AD10" s="479">
        <v>4</v>
      </c>
      <c r="AE10" s="359"/>
      <c r="AF10" s="359" t="s">
        <v>741</v>
      </c>
      <c r="AG10" s="896"/>
      <c r="AH10" s="797"/>
      <c r="AI10" s="797"/>
      <c r="AJ10" s="797"/>
      <c r="AK10" s="359"/>
      <c r="AL10" s="462"/>
      <c r="AM10" s="359"/>
      <c r="AN10" s="359"/>
      <c r="AO10" s="896"/>
      <c r="AP10" s="797"/>
      <c r="AQ10" s="797"/>
      <c r="AR10" s="797"/>
      <c r="AS10" s="479">
        <v>1</v>
      </c>
      <c r="AT10" s="479">
        <v>4</v>
      </c>
      <c r="AU10" s="462">
        <f>AS10/AT10</f>
        <v>0.25</v>
      </c>
      <c r="AV10" s="359" t="s">
        <v>750</v>
      </c>
      <c r="AW10" s="474"/>
      <c r="AX10" s="464"/>
      <c r="AY10" s="892"/>
      <c r="AZ10" s="480"/>
      <c r="BA10" s="893"/>
      <c r="BB10" s="481"/>
      <c r="BC10" s="892"/>
      <c r="BD10" s="480"/>
      <c r="BE10" s="893"/>
      <c r="BF10" s="481"/>
      <c r="BG10" s="892"/>
      <c r="BH10" s="470">
        <v>0.25</v>
      </c>
      <c r="BI10" s="893"/>
      <c r="BJ10" s="477">
        <v>0.25</v>
      </c>
      <c r="BK10" s="896"/>
      <c r="BL10" s="797"/>
      <c r="BM10" s="797"/>
      <c r="BN10" s="797"/>
      <c r="BO10" s="479">
        <v>1</v>
      </c>
      <c r="BP10" s="479">
        <v>4</v>
      </c>
      <c r="BQ10" s="462">
        <f>BO10/BP10</f>
        <v>0.25</v>
      </c>
      <c r="BR10" s="359" t="s">
        <v>750</v>
      </c>
      <c r="BS10" s="896"/>
      <c r="BT10" s="797"/>
      <c r="BU10" s="797"/>
      <c r="BV10" s="797"/>
      <c r="BW10" s="359">
        <v>1</v>
      </c>
      <c r="BX10" s="359">
        <v>4</v>
      </c>
      <c r="BY10" s="462">
        <f>BW10/BX10</f>
        <v>0.25</v>
      </c>
      <c r="BZ10" s="359" t="s">
        <v>750</v>
      </c>
      <c r="CA10" s="894"/>
      <c r="CB10" s="797"/>
      <c r="CC10" s="894"/>
      <c r="CD10" s="797"/>
      <c r="CE10" s="359">
        <v>1.6</v>
      </c>
      <c r="CF10" s="359">
        <v>4</v>
      </c>
      <c r="CG10" s="462">
        <f>CE10/CF10</f>
        <v>0.4</v>
      </c>
      <c r="CH10" s="359" t="s">
        <v>1062</v>
      </c>
    </row>
    <row r="11" spans="1:709" s="250" customFormat="1" ht="409.5" x14ac:dyDescent="0.25">
      <c r="A11" s="797"/>
      <c r="B11" s="807"/>
      <c r="C11" s="797"/>
      <c r="D11" s="807"/>
      <c r="E11" s="797"/>
      <c r="F11" s="807"/>
      <c r="G11" s="797"/>
      <c r="H11" s="807"/>
      <c r="I11" s="807"/>
      <c r="J11" s="797"/>
      <c r="K11" s="797"/>
      <c r="L11" s="482" t="s">
        <v>751</v>
      </c>
      <c r="M11" s="482" t="s">
        <v>1063</v>
      </c>
      <c r="N11" s="360" t="s">
        <v>74</v>
      </c>
      <c r="O11" s="360" t="s">
        <v>753</v>
      </c>
      <c r="P11" s="253">
        <v>1</v>
      </c>
      <c r="Q11" s="241"/>
      <c r="R11" s="241"/>
      <c r="S11" s="241"/>
      <c r="T11" s="241"/>
      <c r="U11" s="241"/>
      <c r="V11" s="1019"/>
      <c r="W11" s="1020"/>
      <c r="X11" s="797"/>
      <c r="Y11" s="253">
        <v>1</v>
      </c>
      <c r="Z11" s="253">
        <v>1</v>
      </c>
      <c r="AA11" s="253">
        <f>Y11/Z11</f>
        <v>1</v>
      </c>
      <c r="AB11" s="360" t="s">
        <v>754</v>
      </c>
      <c r="AC11" s="241"/>
      <c r="AD11" s="241"/>
      <c r="AE11" s="241"/>
      <c r="AF11" s="241"/>
      <c r="AG11" s="251">
        <v>0.98599999999999999</v>
      </c>
      <c r="AH11" s="253">
        <v>1</v>
      </c>
      <c r="AI11" s="251">
        <f>AG11/AH11</f>
        <v>0.98599999999999999</v>
      </c>
      <c r="AJ11" s="360" t="s">
        <v>1064</v>
      </c>
      <c r="AK11" s="241"/>
      <c r="AL11" s="241"/>
      <c r="AM11" s="241"/>
      <c r="AN11" s="241"/>
      <c r="AO11" s="483">
        <v>0.98799999999999999</v>
      </c>
      <c r="AP11" s="253">
        <v>1</v>
      </c>
      <c r="AQ11" s="471">
        <f>AO11/AP11</f>
        <v>0.98799999999999999</v>
      </c>
      <c r="AR11" s="484" t="s">
        <v>1065</v>
      </c>
      <c r="AS11" s="241"/>
      <c r="AT11" s="241"/>
      <c r="AU11" s="241"/>
      <c r="AV11" s="241"/>
      <c r="AX11" s="464"/>
      <c r="AY11" s="485">
        <v>1</v>
      </c>
      <c r="AZ11" s="469"/>
      <c r="BA11" s="486">
        <v>8.3000000000000004E-2</v>
      </c>
      <c r="BB11" s="472"/>
      <c r="BC11" s="487">
        <v>0.99590000000000001</v>
      </c>
      <c r="BD11" s="469"/>
      <c r="BE11" s="488">
        <v>0.16528000000000001</v>
      </c>
      <c r="BF11" s="472"/>
      <c r="BG11" s="487">
        <v>0.99399999999999999</v>
      </c>
      <c r="BH11" s="469"/>
      <c r="BI11" s="488">
        <v>0.2482</v>
      </c>
      <c r="BJ11" s="472"/>
      <c r="BK11" s="483">
        <v>0.98699999999999999</v>
      </c>
      <c r="BL11" s="253">
        <v>1</v>
      </c>
      <c r="BM11" s="471">
        <f>BK11/BL11</f>
        <v>0.98699999999999999</v>
      </c>
      <c r="BN11" s="484" t="s">
        <v>1066</v>
      </c>
      <c r="BO11" s="241"/>
      <c r="BP11" s="241"/>
      <c r="BQ11" s="241"/>
      <c r="BR11" s="241"/>
      <c r="BS11" s="483">
        <v>0.9900249376558603</v>
      </c>
      <c r="BT11" s="253">
        <v>1</v>
      </c>
      <c r="BU11" s="471">
        <f>BS11/BT11</f>
        <v>0.9900249376558603</v>
      </c>
      <c r="BV11" s="489" t="s">
        <v>1067</v>
      </c>
      <c r="BW11" s="241"/>
      <c r="BX11" s="241"/>
      <c r="BY11" s="241"/>
      <c r="BZ11" s="241"/>
      <c r="CA11" s="483">
        <v>0.99122017109410177</v>
      </c>
      <c r="CB11" s="253">
        <v>1</v>
      </c>
      <c r="CC11" s="471">
        <f>CA11/CB11</f>
        <v>0.99122017109410177</v>
      </c>
      <c r="CD11" s="489" t="s">
        <v>1068</v>
      </c>
      <c r="CE11" s="241"/>
      <c r="CF11" s="241"/>
      <c r="CG11" s="241"/>
      <c r="CH11" s="241"/>
    </row>
    <row r="12" spans="1:709" s="250" customFormat="1" ht="38.25" x14ac:dyDescent="0.25">
      <c r="A12" s="797"/>
      <c r="B12" s="807"/>
      <c r="C12" s="797"/>
      <c r="D12" s="360"/>
      <c r="E12" s="359"/>
      <c r="F12" s="360"/>
      <c r="G12" s="797"/>
      <c r="H12" s="360"/>
      <c r="I12" s="360"/>
      <c r="J12" s="797"/>
      <c r="K12" s="359"/>
      <c r="L12" s="482"/>
      <c r="M12" s="360"/>
      <c r="N12" s="360"/>
      <c r="O12" s="360"/>
      <c r="P12" s="253"/>
      <c r="Q12" s="241"/>
      <c r="R12" s="241"/>
      <c r="S12" s="241"/>
      <c r="T12" s="241"/>
      <c r="U12" s="241"/>
      <c r="V12" s="243"/>
      <c r="W12" s="1020"/>
      <c r="X12" s="359"/>
      <c r="Y12" s="253"/>
      <c r="Z12" s="253"/>
      <c r="AA12" s="253"/>
      <c r="AB12" s="360"/>
      <c r="AC12" s="241"/>
      <c r="AD12" s="241"/>
      <c r="AE12" s="241"/>
      <c r="AF12" s="241"/>
      <c r="AG12" s="253"/>
      <c r="AH12" s="253"/>
      <c r="AI12" s="253"/>
      <c r="AJ12" s="360"/>
      <c r="AK12" s="241"/>
      <c r="AL12" s="241"/>
      <c r="AM12" s="241"/>
      <c r="AN12" s="241"/>
      <c r="AO12" s="253"/>
      <c r="AP12" s="253"/>
      <c r="AQ12" s="253"/>
      <c r="AR12" s="360"/>
      <c r="AS12" s="241"/>
      <c r="AT12" s="241"/>
      <c r="AU12" s="241"/>
      <c r="AV12" s="241"/>
      <c r="AX12" s="490" t="s">
        <v>1069</v>
      </c>
      <c r="AY12" s="491">
        <f t="shared" ref="AY12:BJ12" si="0">+AVERAGE(AY7:AY11)</f>
        <v>0.625</v>
      </c>
      <c r="AZ12" s="492">
        <f t="shared" si="0"/>
        <v>0.66666666666666663</v>
      </c>
      <c r="BA12" s="493">
        <f t="shared" si="0"/>
        <v>0.16650000000000001</v>
      </c>
      <c r="BB12" s="494">
        <f t="shared" si="0"/>
        <v>0.67</v>
      </c>
      <c r="BC12" s="491">
        <f t="shared" si="0"/>
        <v>0.62295</v>
      </c>
      <c r="BD12" s="492">
        <f t="shared" si="0"/>
        <v>0.66666666666666663</v>
      </c>
      <c r="BE12" s="493">
        <f t="shared" si="0"/>
        <v>0.20763999999999999</v>
      </c>
      <c r="BF12" s="494">
        <f t="shared" si="0"/>
        <v>0.67</v>
      </c>
      <c r="BG12" s="491">
        <f t="shared" si="0"/>
        <v>0.622</v>
      </c>
      <c r="BH12" s="492">
        <f t="shared" si="0"/>
        <v>0.46</v>
      </c>
      <c r="BI12" s="493">
        <f t="shared" si="0"/>
        <v>0.24909999999999999</v>
      </c>
      <c r="BJ12" s="494">
        <f t="shared" si="0"/>
        <v>0.46</v>
      </c>
      <c r="BK12" s="253"/>
      <c r="BL12" s="253"/>
      <c r="BM12" s="253"/>
      <c r="BN12" s="360"/>
      <c r="BO12" s="241"/>
      <c r="BP12" s="241"/>
      <c r="BQ12" s="241"/>
      <c r="BR12" s="241"/>
      <c r="BS12" s="253"/>
      <c r="BT12" s="253"/>
      <c r="BU12" s="253"/>
      <c r="BV12" s="360"/>
      <c r="BW12" s="241"/>
      <c r="BX12" s="241"/>
      <c r="BY12" s="241"/>
      <c r="BZ12" s="241"/>
      <c r="CA12" s="253"/>
      <c r="CB12" s="253"/>
      <c r="CC12" s="253"/>
      <c r="CD12" s="360"/>
      <c r="CE12" s="241"/>
      <c r="CF12" s="241"/>
      <c r="CG12" s="241"/>
      <c r="CH12" s="241"/>
    </row>
    <row r="13" spans="1:709" x14ac:dyDescent="0.25">
      <c r="W13" s="1020"/>
      <c r="Y13" s="878" t="s">
        <v>1070</v>
      </c>
      <c r="Z13" s="878"/>
      <c r="AA13" s="495">
        <f>AVERAGE(AA11,AA8,AA7)</f>
        <v>0.41666666666666669</v>
      </c>
      <c r="AC13" s="878" t="s">
        <v>1071</v>
      </c>
      <c r="AD13" s="878"/>
      <c r="AE13" s="496">
        <f>AVERAGE(AE10,AE9)</f>
        <v>0.33333333333333331</v>
      </c>
      <c r="AG13" s="878" t="s">
        <v>1070</v>
      </c>
      <c r="AH13" s="878"/>
      <c r="AI13" s="495">
        <f>AVERAGE(AI11,AI8,AI7)</f>
        <v>0.41199999999999998</v>
      </c>
      <c r="AK13" s="878" t="s">
        <v>1071</v>
      </c>
      <c r="AL13" s="878"/>
      <c r="AM13" s="496">
        <f>AVERAGE(AM10,AM9)</f>
        <v>0.66666666666666663</v>
      </c>
      <c r="AO13" s="878" t="s">
        <v>1070</v>
      </c>
      <c r="AP13" s="878"/>
      <c r="AQ13" s="495">
        <f>AVERAGE(AQ11,AQ8,AQ7)</f>
        <v>0.41266666666666668</v>
      </c>
      <c r="AS13" s="878" t="s">
        <v>1071</v>
      </c>
      <c r="AT13" s="878"/>
      <c r="AU13" s="496">
        <f>AVERAGE(AU10,AU9)</f>
        <v>0.45833333333333331</v>
      </c>
      <c r="AW13" s="878" t="s">
        <v>1072</v>
      </c>
      <c r="AX13" s="878"/>
      <c r="AY13" s="496" t="s">
        <v>1073</v>
      </c>
      <c r="AZ13" s="497" t="e">
        <f>+AVERAGE(#REF!)</f>
        <v>#REF!</v>
      </c>
      <c r="BA13" s="497" t="e">
        <f>+AVERAGE(#REF!)</f>
        <v>#REF!</v>
      </c>
      <c r="BB13" s="498" t="e">
        <f>+AVERAGE(#REF!)</f>
        <v>#REF!</v>
      </c>
      <c r="BC13" s="499" t="e">
        <f>+AVERAGE(#REF!)</f>
        <v>#REF!</v>
      </c>
      <c r="BD13" s="497" t="e">
        <f>+AVERAGE(#REF!)</f>
        <v>#REF!</v>
      </c>
      <c r="BE13" s="497" t="e">
        <f>+AVERAGE(#REF!)</f>
        <v>#REF!</v>
      </c>
      <c r="BF13" s="498" t="e">
        <f>+AVERAGE(#REF!)</f>
        <v>#REF!</v>
      </c>
      <c r="BG13" s="499" t="e">
        <f>+AVERAGE(#REF!)</f>
        <v>#REF!</v>
      </c>
      <c r="BH13" s="497" t="e">
        <f>+AVERAGE(#REF!)</f>
        <v>#REF!</v>
      </c>
      <c r="BI13" s="497" t="e">
        <f>+AVERAGE(#REF!)</f>
        <v>#REF!</v>
      </c>
      <c r="BJ13" s="498" t="e">
        <f>+AVERAGE(#REF!)</f>
        <v>#REF!</v>
      </c>
      <c r="BK13" s="878" t="s">
        <v>1070</v>
      </c>
      <c r="BL13" s="878"/>
      <c r="BM13" s="495">
        <f>AVERAGE(BM11,BM8,BM7)</f>
        <v>0.4956666666666667</v>
      </c>
      <c r="BO13" s="878" t="s">
        <v>1071</v>
      </c>
      <c r="BP13" s="878"/>
      <c r="BQ13" s="496">
        <f>AVERAGE(BQ10,BQ9)</f>
        <v>0.45833333333333331</v>
      </c>
      <c r="BS13" s="878" t="s">
        <v>1070</v>
      </c>
      <c r="BT13" s="878"/>
      <c r="BU13" s="495">
        <f>AVERAGE(BU11,BU8,BU7)</f>
        <v>0.5800083125519534</v>
      </c>
      <c r="BW13" s="878" t="s">
        <v>1071</v>
      </c>
      <c r="BX13" s="878"/>
      <c r="BY13" s="496">
        <f>AVERAGE(BY10,BY9)</f>
        <v>0.45833333333333331</v>
      </c>
      <c r="CA13" s="878" t="s">
        <v>1070</v>
      </c>
      <c r="CB13" s="878"/>
      <c r="CC13" s="495">
        <f>AVERAGE(CC11,CC8,CC7)</f>
        <v>0.58040672369803392</v>
      </c>
      <c r="CE13" s="878" t="s">
        <v>1071</v>
      </c>
      <c r="CF13" s="878"/>
      <c r="CG13" s="496">
        <f>AVERAGE(CG10,CG9)</f>
        <v>0.7</v>
      </c>
    </row>
    <row r="14" spans="1:709" x14ac:dyDescent="0.25">
      <c r="W14" s="1020"/>
      <c r="Y14" s="891" t="s">
        <v>1074</v>
      </c>
      <c r="Z14" s="891"/>
      <c r="AA14" s="891"/>
      <c r="AB14" s="891"/>
      <c r="AX14" s="500"/>
      <c r="AY14" s="501"/>
      <c r="AZ14" s="501"/>
      <c r="BA14" s="501"/>
      <c r="BB14" s="501"/>
      <c r="BC14" s="501"/>
      <c r="BD14" s="501"/>
      <c r="BE14" s="501"/>
      <c r="BF14" s="501"/>
      <c r="BG14" s="501"/>
      <c r="BH14" s="501"/>
      <c r="BI14" s="501"/>
      <c r="BJ14" s="501"/>
      <c r="CO14"/>
    </row>
    <row r="15" spans="1:709" s="88" customFormat="1" ht="180" x14ac:dyDescent="0.25">
      <c r="A15" s="363" t="s">
        <v>43</v>
      </c>
      <c r="B15" s="363" t="s">
        <v>44</v>
      </c>
      <c r="C15" s="363" t="s">
        <v>45</v>
      </c>
      <c r="D15" s="363" t="s">
        <v>46</v>
      </c>
      <c r="E15" s="363" t="s">
        <v>47</v>
      </c>
      <c r="F15" s="363" t="s">
        <v>326</v>
      </c>
      <c r="G15" s="363" t="s">
        <v>49</v>
      </c>
      <c r="H15" s="363" t="s">
        <v>50</v>
      </c>
      <c r="I15" s="367" t="s">
        <v>51</v>
      </c>
      <c r="J15" s="362" t="s">
        <v>52</v>
      </c>
      <c r="K15" s="362" t="s">
        <v>327</v>
      </c>
      <c r="L15" s="362" t="s">
        <v>328</v>
      </c>
      <c r="M15" s="368" t="s">
        <v>329</v>
      </c>
      <c r="N15" s="362" t="s">
        <v>74</v>
      </c>
      <c r="O15" s="362"/>
      <c r="P15" s="81">
        <v>0.65</v>
      </c>
      <c r="Q15" s="660"/>
      <c r="R15" s="661"/>
      <c r="S15" s="661"/>
      <c r="T15" s="661"/>
      <c r="U15" s="662"/>
      <c r="V15" s="1004">
        <v>558479620</v>
      </c>
      <c r="W15" s="1020"/>
      <c r="X15" s="362" t="s">
        <v>330</v>
      </c>
      <c r="Y15" s="495">
        <v>0.94</v>
      </c>
      <c r="Z15" s="495">
        <v>0.65</v>
      </c>
      <c r="AA15" s="495">
        <v>1.45</v>
      </c>
      <c r="AB15" s="502" t="s">
        <v>331</v>
      </c>
      <c r="AC15" s="885"/>
      <c r="AD15" s="886"/>
      <c r="AE15" s="886"/>
      <c r="AF15" s="887"/>
      <c r="AG15" s="496">
        <v>0.97</v>
      </c>
      <c r="AH15" s="496">
        <v>0.65</v>
      </c>
      <c r="AI15" s="496">
        <v>1.49</v>
      </c>
      <c r="AJ15" s="503" t="s">
        <v>332</v>
      </c>
      <c r="AK15" s="888"/>
      <c r="AL15" s="889"/>
      <c r="AM15" s="889"/>
      <c r="AN15" s="890"/>
      <c r="AO15" s="496">
        <v>0.95</v>
      </c>
      <c r="AP15" s="82">
        <f t="shared" ref="AP15:AP20" si="1">+P15</f>
        <v>0.65</v>
      </c>
      <c r="AQ15" s="369">
        <f t="shared" ref="AQ15:AQ20" si="2">+AO15/AP15</f>
        <v>1.4615384615384615</v>
      </c>
      <c r="AR15" s="503" t="s">
        <v>333</v>
      </c>
      <c r="AS15" s="659"/>
      <c r="AT15" s="659"/>
      <c r="AU15" s="659"/>
      <c r="AV15" s="659"/>
      <c r="AW15" s="20"/>
      <c r="AX15" s="20"/>
      <c r="AY15" s="20"/>
      <c r="AZ15" s="20"/>
      <c r="BA15" s="20"/>
      <c r="BB15" s="20"/>
      <c r="BC15" s="20"/>
      <c r="BD15" s="20"/>
      <c r="BE15" s="20"/>
      <c r="BF15" s="20"/>
      <c r="BG15" s="20"/>
      <c r="BH15" s="20"/>
      <c r="BI15" s="20"/>
      <c r="BJ15" s="20"/>
      <c r="BK15" s="504">
        <v>0.98299999999999998</v>
      </c>
      <c r="BL15" s="505">
        <v>0.65</v>
      </c>
      <c r="BM15" s="506">
        <f t="shared" ref="BM15:BM20" si="3">BK15/BL15</f>
        <v>1.5123076923076921</v>
      </c>
      <c r="BN15" s="503" t="s">
        <v>1075</v>
      </c>
      <c r="BO15" s="659"/>
      <c r="BP15" s="659"/>
      <c r="BQ15" s="659"/>
      <c r="BR15" s="659"/>
      <c r="BS15" s="504">
        <v>0.94740000000000002</v>
      </c>
      <c r="BT15" s="505">
        <v>0.65</v>
      </c>
      <c r="BU15" s="506">
        <f>BS15/BT15</f>
        <v>1.4575384615384614</v>
      </c>
      <c r="BV15" s="503" t="s">
        <v>1076</v>
      </c>
      <c r="BW15" s="659"/>
      <c r="BX15" s="659"/>
      <c r="BY15" s="659"/>
      <c r="BZ15" s="659"/>
      <c r="CA15" s="504">
        <v>0.98109999999999997</v>
      </c>
      <c r="CB15" s="505">
        <v>0.65</v>
      </c>
      <c r="CC15" s="506">
        <f t="shared" ref="CC15:CC20" si="4">CA15/CB15</f>
        <v>1.5093846153846153</v>
      </c>
      <c r="CD15" s="507" t="s">
        <v>1077</v>
      </c>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c r="AAG15" s="20"/>
    </row>
    <row r="16" spans="1:709" s="88" customFormat="1" ht="195" x14ac:dyDescent="0.25">
      <c r="A16" s="90" t="s">
        <v>43</v>
      </c>
      <c r="B16" s="90" t="s">
        <v>44</v>
      </c>
      <c r="C16" s="90" t="s">
        <v>45</v>
      </c>
      <c r="D16" s="90" t="s">
        <v>46</v>
      </c>
      <c r="E16" s="90" t="s">
        <v>71</v>
      </c>
      <c r="F16" s="90" t="s">
        <v>48</v>
      </c>
      <c r="G16" s="90" t="s">
        <v>49</v>
      </c>
      <c r="H16" s="90" t="s">
        <v>50</v>
      </c>
      <c r="I16" s="90" t="s">
        <v>51</v>
      </c>
      <c r="J16" s="361" t="s">
        <v>52</v>
      </c>
      <c r="K16" s="361" t="s">
        <v>327</v>
      </c>
      <c r="L16" s="361" t="s">
        <v>334</v>
      </c>
      <c r="M16" s="365" t="s">
        <v>335</v>
      </c>
      <c r="N16" s="361" t="s">
        <v>74</v>
      </c>
      <c r="O16" s="361"/>
      <c r="P16" s="366">
        <v>0.65</v>
      </c>
      <c r="Q16" s="660"/>
      <c r="R16" s="661"/>
      <c r="S16" s="661"/>
      <c r="T16" s="661"/>
      <c r="U16" s="662"/>
      <c r="V16" s="1005"/>
      <c r="W16" s="1020"/>
      <c r="X16" s="361" t="s">
        <v>330</v>
      </c>
      <c r="Y16" s="508">
        <v>0.63</v>
      </c>
      <c r="Z16" s="508">
        <v>0.65</v>
      </c>
      <c r="AA16" s="508">
        <v>0.97</v>
      </c>
      <c r="AB16" s="509" t="s">
        <v>336</v>
      </c>
      <c r="AC16" s="879"/>
      <c r="AD16" s="880"/>
      <c r="AE16" s="880"/>
      <c r="AF16" s="881"/>
      <c r="AG16" s="510">
        <v>0.66</v>
      </c>
      <c r="AH16" s="510">
        <v>0.65</v>
      </c>
      <c r="AI16" s="510">
        <v>1.02</v>
      </c>
      <c r="AJ16" s="511" t="s">
        <v>337</v>
      </c>
      <c r="AK16" s="882"/>
      <c r="AL16" s="883"/>
      <c r="AM16" s="883"/>
      <c r="AN16" s="884"/>
      <c r="AO16" s="510">
        <v>0.73</v>
      </c>
      <c r="AP16" s="118">
        <f t="shared" si="1"/>
        <v>0.65</v>
      </c>
      <c r="AQ16" s="364">
        <f t="shared" si="2"/>
        <v>1.1230769230769231</v>
      </c>
      <c r="AR16" s="511" t="s">
        <v>338</v>
      </c>
      <c r="AS16" s="673"/>
      <c r="AT16" s="673"/>
      <c r="AU16" s="673"/>
      <c r="AV16" s="673"/>
      <c r="AW16" s="20"/>
      <c r="AX16" s="20"/>
      <c r="AY16" s="20"/>
      <c r="AZ16" s="20"/>
      <c r="BA16" s="20"/>
      <c r="BB16" s="20"/>
      <c r="BC16" s="20"/>
      <c r="BD16" s="20"/>
      <c r="BE16" s="20"/>
      <c r="BF16" s="20"/>
      <c r="BG16" s="20"/>
      <c r="BH16" s="20"/>
      <c r="BI16" s="20"/>
      <c r="BJ16" s="20"/>
      <c r="BK16" s="512">
        <v>0.58699999999999997</v>
      </c>
      <c r="BL16" s="513">
        <v>0.65</v>
      </c>
      <c r="BM16" s="514">
        <f t="shared" si="3"/>
        <v>0.903076923076923</v>
      </c>
      <c r="BN16" s="511" t="s">
        <v>1078</v>
      </c>
      <c r="BO16" s="673"/>
      <c r="BP16" s="673"/>
      <c r="BQ16" s="673"/>
      <c r="BR16" s="673"/>
      <c r="BS16" s="512">
        <v>0.60499999999999998</v>
      </c>
      <c r="BT16" s="513">
        <v>0.65</v>
      </c>
      <c r="BU16" s="514">
        <f t="shared" ref="BU16:BU20" si="5">BS16/BT16</f>
        <v>0.93076923076923068</v>
      </c>
      <c r="BV16" s="511" t="s">
        <v>1079</v>
      </c>
      <c r="BW16" s="673"/>
      <c r="BX16" s="673"/>
      <c r="BY16" s="673"/>
      <c r="BZ16" s="673"/>
      <c r="CA16" s="512">
        <v>0.54900000000000004</v>
      </c>
      <c r="CB16" s="513">
        <v>0.65</v>
      </c>
      <c r="CC16" s="514">
        <f t="shared" si="4"/>
        <v>0.84461538461538466</v>
      </c>
      <c r="CD16" s="515" t="s">
        <v>1080</v>
      </c>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row>
    <row r="17" spans="1:709" s="88" customFormat="1" ht="180" x14ac:dyDescent="0.25">
      <c r="A17" s="363" t="s">
        <v>43</v>
      </c>
      <c r="B17" s="363" t="s">
        <v>44</v>
      </c>
      <c r="C17" s="363" t="s">
        <v>45</v>
      </c>
      <c r="D17" s="363" t="s">
        <v>46</v>
      </c>
      <c r="E17" s="363" t="s">
        <v>71</v>
      </c>
      <c r="F17" s="363" t="s">
        <v>48</v>
      </c>
      <c r="G17" s="363" t="s">
        <v>49</v>
      </c>
      <c r="H17" s="363" t="s">
        <v>50</v>
      </c>
      <c r="I17" s="367" t="s">
        <v>51</v>
      </c>
      <c r="J17" s="362" t="s">
        <v>52</v>
      </c>
      <c r="K17" s="362" t="s">
        <v>327</v>
      </c>
      <c r="L17" s="362" t="s">
        <v>339</v>
      </c>
      <c r="M17" s="368" t="s">
        <v>340</v>
      </c>
      <c r="N17" s="362" t="s">
        <v>74</v>
      </c>
      <c r="O17" s="362"/>
      <c r="P17" s="81">
        <v>0.5</v>
      </c>
      <c r="Q17" s="660"/>
      <c r="R17" s="661"/>
      <c r="S17" s="661"/>
      <c r="T17" s="661"/>
      <c r="U17" s="662"/>
      <c r="V17" s="1005"/>
      <c r="W17" s="1020"/>
      <c r="X17" s="362" t="s">
        <v>330</v>
      </c>
      <c r="Y17" s="495">
        <v>0.27</v>
      </c>
      <c r="Z17" s="495">
        <v>0.5</v>
      </c>
      <c r="AA17" s="495">
        <v>0.55000000000000004</v>
      </c>
      <c r="AB17" s="502" t="s">
        <v>341</v>
      </c>
      <c r="AC17" s="885"/>
      <c r="AD17" s="886"/>
      <c r="AE17" s="886"/>
      <c r="AF17" s="887"/>
      <c r="AG17" s="496">
        <v>0.41</v>
      </c>
      <c r="AH17" s="496">
        <v>0.5</v>
      </c>
      <c r="AI17" s="496">
        <v>0.82</v>
      </c>
      <c r="AJ17" s="503" t="s">
        <v>342</v>
      </c>
      <c r="AK17" s="888"/>
      <c r="AL17" s="889"/>
      <c r="AM17" s="889"/>
      <c r="AN17" s="890"/>
      <c r="AO17" s="496">
        <v>0.54</v>
      </c>
      <c r="AP17" s="82">
        <f t="shared" si="1"/>
        <v>0.5</v>
      </c>
      <c r="AQ17" s="369">
        <f t="shared" si="2"/>
        <v>1.08</v>
      </c>
      <c r="AR17" s="503" t="s">
        <v>343</v>
      </c>
      <c r="AS17" s="659"/>
      <c r="AT17" s="659"/>
      <c r="AU17" s="659"/>
      <c r="AV17" s="659"/>
      <c r="AW17" s="20"/>
      <c r="AX17" s="20"/>
      <c r="AY17" s="20"/>
      <c r="AZ17" s="20"/>
      <c r="BA17" s="20"/>
      <c r="BB17" s="20"/>
      <c r="BC17" s="20"/>
      <c r="BD17" s="20"/>
      <c r="BE17" s="20"/>
      <c r="BF17" s="20"/>
      <c r="BG17" s="20"/>
      <c r="BH17" s="20"/>
      <c r="BI17" s="20"/>
      <c r="BJ17" s="20"/>
      <c r="BK17" s="504">
        <v>1</v>
      </c>
      <c r="BL17" s="505">
        <v>0.5</v>
      </c>
      <c r="BM17" s="506">
        <f t="shared" si="3"/>
        <v>2</v>
      </c>
      <c r="BN17" s="503" t="s">
        <v>1081</v>
      </c>
      <c r="BO17" s="659"/>
      <c r="BP17" s="659"/>
      <c r="BQ17" s="659"/>
      <c r="BR17" s="659"/>
      <c r="BS17" s="504">
        <v>0</v>
      </c>
      <c r="BT17" s="505">
        <v>0.5</v>
      </c>
      <c r="BU17" s="506">
        <f t="shared" si="5"/>
        <v>0</v>
      </c>
      <c r="BV17" s="503" t="s">
        <v>1082</v>
      </c>
      <c r="BW17" s="659"/>
      <c r="BX17" s="659"/>
      <c r="BY17" s="659"/>
      <c r="BZ17" s="659"/>
      <c r="CA17" s="504">
        <v>0.66600000000000004</v>
      </c>
      <c r="CB17" s="505">
        <v>0.5</v>
      </c>
      <c r="CC17" s="506">
        <f t="shared" si="4"/>
        <v>1.3320000000000001</v>
      </c>
      <c r="CD17" s="507" t="s">
        <v>1083</v>
      </c>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20"/>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20"/>
      <c r="KC17" s="20"/>
      <c r="KD17" s="20"/>
      <c r="KE17" s="20"/>
      <c r="KF17" s="20"/>
      <c r="KG17" s="20"/>
      <c r="KH17" s="20"/>
      <c r="KI17" s="20"/>
      <c r="KJ17" s="20"/>
      <c r="KK17" s="20"/>
      <c r="KL17" s="20"/>
      <c r="KM17" s="20"/>
      <c r="KN17" s="20"/>
      <c r="KO17" s="20"/>
      <c r="KP17" s="20"/>
      <c r="KQ17" s="20"/>
      <c r="KR17" s="20"/>
      <c r="KS17" s="20"/>
      <c r="KT17" s="20"/>
      <c r="KU17" s="20"/>
      <c r="KV17" s="20"/>
      <c r="KW17" s="20"/>
      <c r="KX17" s="20"/>
      <c r="KY17" s="20"/>
      <c r="KZ17" s="20"/>
      <c r="LA17" s="20"/>
      <c r="LB17" s="20"/>
      <c r="LC17" s="20"/>
      <c r="LD17" s="20"/>
      <c r="LE17" s="20"/>
      <c r="LF17" s="20"/>
      <c r="LG17" s="20"/>
      <c r="LH17" s="20"/>
      <c r="LI17" s="20"/>
      <c r="LJ17" s="20"/>
      <c r="LK17" s="20"/>
      <c r="LL17" s="20"/>
      <c r="LM17" s="20"/>
      <c r="LN17" s="20"/>
      <c r="LO17" s="20"/>
      <c r="LP17" s="20"/>
      <c r="LQ17" s="20"/>
      <c r="LR17" s="20"/>
      <c r="LS17" s="20"/>
      <c r="LT17" s="20"/>
      <c r="LU17" s="20"/>
      <c r="LV17" s="20"/>
      <c r="LW17" s="20"/>
      <c r="LX17" s="20"/>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20"/>
      <c r="OD17" s="20"/>
      <c r="OE17" s="20"/>
      <c r="OF17" s="20"/>
      <c r="OG17" s="20"/>
      <c r="OH17" s="20"/>
      <c r="OI17" s="20"/>
      <c r="OJ17" s="20"/>
      <c r="OK17" s="20"/>
      <c r="OL17" s="20"/>
      <c r="OM17" s="20"/>
      <c r="ON17" s="20"/>
      <c r="OO17" s="20"/>
      <c r="OP17" s="20"/>
      <c r="OQ17" s="20"/>
      <c r="OR17" s="20"/>
      <c r="OS17" s="20"/>
      <c r="OT17" s="20"/>
      <c r="OU17" s="20"/>
      <c r="OV17" s="20"/>
      <c r="OW17" s="20"/>
      <c r="OX17" s="20"/>
      <c r="OY17" s="20"/>
      <c r="OZ17" s="20"/>
      <c r="PA17" s="20"/>
      <c r="PB17" s="20"/>
      <c r="PC17" s="20"/>
      <c r="PD17" s="20"/>
      <c r="PE17" s="20"/>
      <c r="PF17" s="20"/>
      <c r="PG17" s="20"/>
      <c r="PH17" s="20"/>
      <c r="PI17" s="20"/>
      <c r="PJ17" s="20"/>
      <c r="PK17" s="20"/>
      <c r="PL17" s="20"/>
      <c r="PM17" s="20"/>
      <c r="PN17" s="20"/>
      <c r="PO17" s="20"/>
      <c r="PP17" s="20"/>
      <c r="PQ17" s="20"/>
      <c r="PR17" s="20"/>
      <c r="PS17" s="20"/>
      <c r="PT17" s="20"/>
      <c r="PU17" s="20"/>
      <c r="PV17" s="20"/>
      <c r="PW17" s="20"/>
      <c r="PX17" s="20"/>
      <c r="PY17" s="20"/>
      <c r="PZ17" s="20"/>
      <c r="QA17" s="20"/>
      <c r="QB17" s="20"/>
      <c r="QC17" s="20"/>
      <c r="QD17" s="20"/>
      <c r="QE17" s="20"/>
      <c r="QF17" s="20"/>
      <c r="QG17" s="20"/>
      <c r="QH17" s="20"/>
      <c r="QI17" s="20"/>
      <c r="QJ17" s="20"/>
      <c r="QK17" s="20"/>
      <c r="QL17" s="20"/>
      <c r="QM17" s="20"/>
      <c r="QN17" s="20"/>
      <c r="QO17" s="20"/>
      <c r="QP17" s="20"/>
      <c r="QQ17" s="20"/>
      <c r="QR17" s="20"/>
      <c r="QS17" s="20"/>
      <c r="QT17" s="20"/>
      <c r="QU17" s="20"/>
      <c r="QV17" s="20"/>
      <c r="QW17" s="20"/>
      <c r="QX17" s="20"/>
      <c r="QY17" s="20"/>
      <c r="QZ17" s="20"/>
      <c r="RA17" s="20"/>
      <c r="RB17" s="20"/>
      <c r="RC17" s="20"/>
      <c r="RD17" s="20"/>
      <c r="RE17" s="20"/>
      <c r="RF17" s="20"/>
      <c r="RG17" s="20"/>
      <c r="RH17" s="20"/>
      <c r="RI17" s="20"/>
      <c r="RJ17" s="20"/>
      <c r="RK17" s="20"/>
      <c r="RL17" s="20"/>
      <c r="RM17" s="20"/>
      <c r="RN17" s="20"/>
      <c r="RO17" s="20"/>
      <c r="RP17" s="20"/>
      <c r="RQ17" s="20"/>
      <c r="RR17" s="20"/>
      <c r="RS17" s="20"/>
      <c r="RT17" s="20"/>
      <c r="RU17" s="20"/>
      <c r="RV17" s="20"/>
      <c r="RW17" s="20"/>
      <c r="RX17" s="20"/>
      <c r="RY17" s="20"/>
      <c r="RZ17" s="20"/>
      <c r="SA17" s="20"/>
      <c r="SB17" s="20"/>
      <c r="SC17" s="20"/>
      <c r="SD17" s="20"/>
      <c r="SE17" s="20"/>
      <c r="SF17" s="20"/>
      <c r="SG17" s="20"/>
      <c r="SH17" s="20"/>
      <c r="SI17" s="20"/>
      <c r="SJ17" s="20"/>
      <c r="SK17" s="20"/>
      <c r="SL17" s="20"/>
      <c r="SM17" s="20"/>
      <c r="SN17" s="20"/>
      <c r="SO17" s="20"/>
      <c r="SP17" s="20"/>
      <c r="SQ17" s="20"/>
      <c r="SR17" s="20"/>
      <c r="SS17" s="20"/>
      <c r="ST17" s="20"/>
      <c r="SU17" s="20"/>
      <c r="SV17" s="20"/>
      <c r="SW17" s="20"/>
      <c r="SX17" s="20"/>
      <c r="SY17" s="20"/>
      <c r="SZ17" s="20"/>
      <c r="TA17" s="20"/>
      <c r="TB17" s="20"/>
      <c r="TC17" s="20"/>
      <c r="TD17" s="20"/>
      <c r="TE17" s="20"/>
      <c r="TF17" s="20"/>
      <c r="TG17" s="20"/>
      <c r="TH17" s="20"/>
      <c r="TI17" s="20"/>
      <c r="TJ17" s="20"/>
      <c r="TK17" s="20"/>
      <c r="TL17" s="20"/>
      <c r="TM17" s="20"/>
      <c r="TN17" s="20"/>
      <c r="TO17" s="20"/>
      <c r="TP17" s="20"/>
      <c r="TQ17" s="20"/>
      <c r="TR17" s="20"/>
      <c r="TS17" s="20"/>
      <c r="TT17" s="20"/>
      <c r="TU17" s="20"/>
      <c r="TV17" s="20"/>
      <c r="TW17" s="20"/>
      <c r="TX17" s="20"/>
      <c r="TY17" s="20"/>
      <c r="TZ17" s="20"/>
      <c r="UA17" s="20"/>
      <c r="UB17" s="20"/>
      <c r="UC17" s="20"/>
      <c r="UD17" s="20"/>
      <c r="UE17" s="20"/>
      <c r="UF17" s="20"/>
      <c r="UG17" s="20"/>
      <c r="UH17" s="20"/>
      <c r="UI17" s="20"/>
      <c r="UJ17" s="20"/>
      <c r="UK17" s="20"/>
      <c r="UL17" s="20"/>
      <c r="UM17" s="20"/>
      <c r="UN17" s="20"/>
      <c r="UO17" s="20"/>
      <c r="UP17" s="20"/>
      <c r="UQ17" s="20"/>
      <c r="UR17" s="20"/>
      <c r="US17" s="20"/>
      <c r="UT17" s="20"/>
      <c r="UU17" s="20"/>
      <c r="UV17" s="20"/>
      <c r="UW17" s="20"/>
      <c r="UX17" s="20"/>
      <c r="UY17" s="20"/>
      <c r="UZ17" s="20"/>
      <c r="VA17" s="20"/>
      <c r="VB17" s="20"/>
      <c r="VC17" s="20"/>
      <c r="VD17" s="20"/>
      <c r="VE17" s="20"/>
      <c r="VF17" s="20"/>
      <c r="VG17" s="20"/>
      <c r="VH17" s="20"/>
      <c r="VI17" s="20"/>
      <c r="VJ17" s="20"/>
      <c r="VK17" s="20"/>
      <c r="VL17" s="20"/>
      <c r="VM17" s="20"/>
      <c r="VN17" s="20"/>
      <c r="VO17" s="20"/>
      <c r="VP17" s="20"/>
      <c r="VQ17" s="20"/>
      <c r="VR17" s="20"/>
      <c r="VS17" s="20"/>
      <c r="VT17" s="20"/>
      <c r="VU17" s="20"/>
      <c r="VV17" s="20"/>
      <c r="VW17" s="20"/>
      <c r="VX17" s="20"/>
      <c r="VY17" s="20"/>
      <c r="VZ17" s="20"/>
      <c r="WA17" s="20"/>
      <c r="WB17" s="20"/>
      <c r="WC17" s="20"/>
      <c r="WD17" s="20"/>
      <c r="WE17" s="20"/>
      <c r="WF17" s="20"/>
      <c r="WG17" s="20"/>
      <c r="WH17" s="20"/>
      <c r="WI17" s="20"/>
      <c r="WJ17" s="20"/>
      <c r="WK17" s="20"/>
      <c r="WL17" s="20"/>
      <c r="WM17" s="20"/>
      <c r="WN17" s="20"/>
      <c r="WO17" s="20"/>
      <c r="WP17" s="20"/>
      <c r="WQ17" s="20"/>
      <c r="WR17" s="20"/>
      <c r="WS17" s="20"/>
      <c r="WT17" s="20"/>
      <c r="WU17" s="20"/>
      <c r="WV17" s="20"/>
      <c r="WW17" s="20"/>
      <c r="WX17" s="20"/>
      <c r="WY17" s="20"/>
      <c r="WZ17" s="20"/>
      <c r="XA17" s="20"/>
      <c r="XB17" s="20"/>
      <c r="XC17" s="20"/>
      <c r="XD17" s="20"/>
      <c r="XE17" s="20"/>
      <c r="XF17" s="20"/>
      <c r="XG17" s="20"/>
      <c r="XH17" s="20"/>
      <c r="XI17" s="20"/>
      <c r="XJ17" s="20"/>
      <c r="XK17" s="20"/>
      <c r="XL17" s="20"/>
      <c r="XM17" s="20"/>
      <c r="XN17" s="20"/>
      <c r="XO17" s="20"/>
      <c r="XP17" s="20"/>
      <c r="XQ17" s="20"/>
      <c r="XR17" s="20"/>
      <c r="XS17" s="20"/>
      <c r="XT17" s="20"/>
      <c r="XU17" s="20"/>
      <c r="XV17" s="20"/>
      <c r="XW17" s="20"/>
      <c r="XX17" s="20"/>
      <c r="XY17" s="20"/>
      <c r="XZ17" s="20"/>
      <c r="YA17" s="20"/>
      <c r="YB17" s="20"/>
      <c r="YC17" s="20"/>
      <c r="YD17" s="20"/>
      <c r="YE17" s="20"/>
      <c r="YF17" s="20"/>
      <c r="YG17" s="20"/>
      <c r="YH17" s="20"/>
      <c r="YI17" s="20"/>
      <c r="YJ17" s="20"/>
      <c r="YK17" s="20"/>
      <c r="YL17" s="20"/>
      <c r="YM17" s="20"/>
      <c r="YN17" s="20"/>
      <c r="YO17" s="20"/>
      <c r="YP17" s="20"/>
      <c r="YQ17" s="20"/>
      <c r="YR17" s="20"/>
      <c r="YS17" s="20"/>
      <c r="YT17" s="20"/>
      <c r="YU17" s="20"/>
      <c r="YV17" s="20"/>
      <c r="YW17" s="20"/>
      <c r="YX17" s="20"/>
      <c r="YY17" s="20"/>
      <c r="YZ17" s="20"/>
      <c r="ZA17" s="20"/>
      <c r="ZB17" s="20"/>
      <c r="ZC17" s="20"/>
      <c r="ZD17" s="20"/>
      <c r="ZE17" s="20"/>
      <c r="ZF17" s="20"/>
      <c r="ZG17" s="20"/>
      <c r="ZH17" s="20"/>
      <c r="ZI17" s="20"/>
      <c r="ZJ17" s="20"/>
      <c r="ZK17" s="20"/>
      <c r="ZL17" s="20"/>
      <c r="ZM17" s="20"/>
      <c r="ZN17" s="20"/>
      <c r="ZO17" s="20"/>
      <c r="ZP17" s="20"/>
      <c r="ZQ17" s="20"/>
      <c r="ZR17" s="20"/>
      <c r="ZS17" s="20"/>
      <c r="ZT17" s="20"/>
      <c r="ZU17" s="20"/>
      <c r="ZV17" s="20"/>
      <c r="ZW17" s="20"/>
      <c r="ZX17" s="20"/>
      <c r="ZY17" s="20"/>
      <c r="ZZ17" s="20"/>
      <c r="AAA17" s="20"/>
      <c r="AAB17" s="20"/>
      <c r="AAC17" s="20"/>
      <c r="AAD17" s="20"/>
      <c r="AAE17" s="20"/>
      <c r="AAF17" s="20"/>
      <c r="AAG17" s="20"/>
    </row>
    <row r="18" spans="1:709" s="88" customFormat="1" ht="135" x14ac:dyDescent="0.25">
      <c r="A18" s="90" t="s">
        <v>43</v>
      </c>
      <c r="B18" s="90" t="s">
        <v>44</v>
      </c>
      <c r="C18" s="90" t="s">
        <v>45</v>
      </c>
      <c r="D18" s="90" t="s">
        <v>46</v>
      </c>
      <c r="E18" s="90" t="s">
        <v>71</v>
      </c>
      <c r="F18" s="90" t="s">
        <v>48</v>
      </c>
      <c r="G18" s="90" t="s">
        <v>49</v>
      </c>
      <c r="H18" s="90" t="s">
        <v>50</v>
      </c>
      <c r="I18" s="90" t="s">
        <v>51</v>
      </c>
      <c r="J18" s="361" t="s">
        <v>52</v>
      </c>
      <c r="K18" s="361" t="s">
        <v>327</v>
      </c>
      <c r="L18" s="361" t="s">
        <v>344</v>
      </c>
      <c r="M18" s="365" t="s">
        <v>345</v>
      </c>
      <c r="N18" s="361" t="s">
        <v>74</v>
      </c>
      <c r="O18" s="361"/>
      <c r="P18" s="366">
        <v>0.65</v>
      </c>
      <c r="Q18" s="660"/>
      <c r="R18" s="661"/>
      <c r="S18" s="661"/>
      <c r="T18" s="661"/>
      <c r="U18" s="662"/>
      <c r="V18" s="1005"/>
      <c r="W18" s="1020"/>
      <c r="X18" s="361" t="s">
        <v>330</v>
      </c>
      <c r="Y18" s="508">
        <v>0.68</v>
      </c>
      <c r="Z18" s="508">
        <v>0.65</v>
      </c>
      <c r="AA18" s="508">
        <v>1.05</v>
      </c>
      <c r="AB18" s="509" t="s">
        <v>346</v>
      </c>
      <c r="AC18" s="879"/>
      <c r="AD18" s="880"/>
      <c r="AE18" s="880"/>
      <c r="AF18" s="881"/>
      <c r="AG18" s="510">
        <v>0.75</v>
      </c>
      <c r="AH18" s="510">
        <v>0.65</v>
      </c>
      <c r="AI18" s="510">
        <v>1.1499999999999999</v>
      </c>
      <c r="AJ18" s="511" t="s">
        <v>347</v>
      </c>
      <c r="AK18" s="882"/>
      <c r="AL18" s="883"/>
      <c r="AM18" s="883"/>
      <c r="AN18" s="884"/>
      <c r="AO18" s="510">
        <v>0.82</v>
      </c>
      <c r="AP18" s="118">
        <f t="shared" si="1"/>
        <v>0.65</v>
      </c>
      <c r="AQ18" s="364">
        <f t="shared" si="2"/>
        <v>1.2615384615384615</v>
      </c>
      <c r="AR18" s="511" t="s">
        <v>348</v>
      </c>
      <c r="AS18" s="673"/>
      <c r="AT18" s="673"/>
      <c r="AU18" s="673"/>
      <c r="AV18" s="673"/>
      <c r="AW18" s="20"/>
      <c r="AX18" s="20"/>
      <c r="AY18" s="20"/>
      <c r="AZ18" s="20"/>
      <c r="BA18" s="20"/>
      <c r="BB18" s="20"/>
      <c r="BC18" s="20"/>
      <c r="BD18" s="20"/>
      <c r="BE18" s="20"/>
      <c r="BF18" s="20"/>
      <c r="BG18" s="20"/>
      <c r="BH18" s="20"/>
      <c r="BI18" s="20"/>
      <c r="BJ18" s="20"/>
      <c r="BK18" s="512">
        <v>1</v>
      </c>
      <c r="BL18" s="513">
        <v>0.65</v>
      </c>
      <c r="BM18" s="514">
        <f t="shared" si="3"/>
        <v>1.5384615384615383</v>
      </c>
      <c r="BN18" s="511" t="s">
        <v>1084</v>
      </c>
      <c r="BO18" s="673"/>
      <c r="BP18" s="673"/>
      <c r="BQ18" s="673"/>
      <c r="BR18" s="673"/>
      <c r="BS18" s="512">
        <v>1</v>
      </c>
      <c r="BT18" s="513">
        <v>0.65</v>
      </c>
      <c r="BU18" s="514">
        <f t="shared" si="5"/>
        <v>1.5384615384615383</v>
      </c>
      <c r="BV18" s="511" t="s">
        <v>1085</v>
      </c>
      <c r="BW18" s="673"/>
      <c r="BX18" s="673"/>
      <c r="BY18" s="673"/>
      <c r="BZ18" s="673"/>
      <c r="CA18" s="512">
        <v>1</v>
      </c>
      <c r="CB18" s="513">
        <v>0.65</v>
      </c>
      <c r="CC18" s="514">
        <f t="shared" si="4"/>
        <v>1.5384615384615383</v>
      </c>
      <c r="CD18" s="515" t="s">
        <v>1086</v>
      </c>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20"/>
      <c r="ST18" s="20"/>
      <c r="SU18" s="20"/>
      <c r="SV18" s="20"/>
      <c r="SW18" s="20"/>
      <c r="SX18" s="20"/>
      <c r="SY18" s="20"/>
      <c r="SZ18" s="20"/>
      <c r="TA18" s="20"/>
      <c r="TB18" s="20"/>
      <c r="TC18" s="20"/>
      <c r="TD18" s="20"/>
      <c r="TE18" s="20"/>
      <c r="TF18" s="20"/>
      <c r="TG18" s="20"/>
      <c r="TH18" s="20"/>
      <c r="TI18" s="20"/>
      <c r="TJ18" s="20"/>
      <c r="TK18" s="20"/>
      <c r="TL18" s="20"/>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c r="ZQ18" s="20"/>
      <c r="ZR18" s="20"/>
      <c r="ZS18" s="20"/>
      <c r="ZT18" s="20"/>
      <c r="ZU18" s="20"/>
      <c r="ZV18" s="20"/>
      <c r="ZW18" s="20"/>
      <c r="ZX18" s="20"/>
      <c r="ZY18" s="20"/>
      <c r="ZZ18" s="20"/>
      <c r="AAA18" s="20"/>
      <c r="AAB18" s="20"/>
      <c r="AAC18" s="20"/>
      <c r="AAD18" s="20"/>
      <c r="AAE18" s="20"/>
      <c r="AAF18" s="20"/>
      <c r="AAG18" s="20"/>
    </row>
    <row r="19" spans="1:709" s="88" customFormat="1" ht="180" x14ac:dyDescent="0.25">
      <c r="A19" s="363" t="s">
        <v>43</v>
      </c>
      <c r="B19" s="363" t="s">
        <v>44</v>
      </c>
      <c r="C19" s="363" t="s">
        <v>45</v>
      </c>
      <c r="D19" s="363" t="s">
        <v>349</v>
      </c>
      <c r="E19" s="363" t="s">
        <v>47</v>
      </c>
      <c r="F19" s="363" t="s">
        <v>350</v>
      </c>
      <c r="G19" s="363" t="s">
        <v>49</v>
      </c>
      <c r="H19" s="363" t="s">
        <v>50</v>
      </c>
      <c r="I19" s="367" t="s">
        <v>51</v>
      </c>
      <c r="J19" s="362" t="s">
        <v>52</v>
      </c>
      <c r="K19" s="362" t="s">
        <v>327</v>
      </c>
      <c r="L19" s="362" t="s">
        <v>351</v>
      </c>
      <c r="M19" s="368" t="s">
        <v>352</v>
      </c>
      <c r="N19" s="362" t="s">
        <v>74</v>
      </c>
      <c r="O19" s="362"/>
      <c r="P19" s="81">
        <v>0.8</v>
      </c>
      <c r="Q19" s="660"/>
      <c r="R19" s="661"/>
      <c r="S19" s="661"/>
      <c r="T19" s="661"/>
      <c r="U19" s="662"/>
      <c r="V19" s="1005"/>
      <c r="W19" s="1020"/>
      <c r="X19" s="362" t="s">
        <v>330</v>
      </c>
      <c r="Y19" s="516">
        <v>0.97699999999999998</v>
      </c>
      <c r="Z19" s="495">
        <v>0.8</v>
      </c>
      <c r="AA19" s="495">
        <v>1.22</v>
      </c>
      <c r="AB19" s="502" t="s">
        <v>353</v>
      </c>
      <c r="AC19" s="885"/>
      <c r="AD19" s="886"/>
      <c r="AE19" s="886"/>
      <c r="AF19" s="887"/>
      <c r="AG19" s="517">
        <v>1</v>
      </c>
      <c r="AH19" s="496">
        <v>0.8</v>
      </c>
      <c r="AI19" s="496">
        <v>1.25</v>
      </c>
      <c r="AJ19" s="503" t="s">
        <v>354</v>
      </c>
      <c r="AK19" s="888"/>
      <c r="AL19" s="889"/>
      <c r="AM19" s="889"/>
      <c r="AN19" s="890"/>
      <c r="AO19" s="517">
        <v>0.99</v>
      </c>
      <c r="AP19" s="82">
        <f t="shared" si="1"/>
        <v>0.8</v>
      </c>
      <c r="AQ19" s="369">
        <f>+AO19/AP19</f>
        <v>1.2374999999999998</v>
      </c>
      <c r="AR19" s="503" t="s">
        <v>355</v>
      </c>
      <c r="AS19" s="659"/>
      <c r="AT19" s="659"/>
      <c r="AU19" s="659"/>
      <c r="AV19" s="659"/>
      <c r="AW19" s="20"/>
      <c r="AX19" s="20"/>
      <c r="AY19" s="20"/>
      <c r="AZ19" s="20"/>
      <c r="BA19" s="20"/>
      <c r="BB19" s="20"/>
      <c r="BC19" s="20"/>
      <c r="BD19" s="20"/>
      <c r="BE19" s="20"/>
      <c r="BF19" s="20"/>
      <c r="BG19" s="20"/>
      <c r="BH19" s="20"/>
      <c r="BI19" s="20"/>
      <c r="BJ19" s="20"/>
      <c r="BK19" s="504">
        <v>0.98199999999999998</v>
      </c>
      <c r="BL19" s="505">
        <v>0.8</v>
      </c>
      <c r="BM19" s="506">
        <f t="shared" si="3"/>
        <v>1.2274999999999998</v>
      </c>
      <c r="BN19" s="503" t="s">
        <v>1087</v>
      </c>
      <c r="BO19" s="659"/>
      <c r="BP19" s="659"/>
      <c r="BQ19" s="659"/>
      <c r="BR19" s="659"/>
      <c r="BS19" s="504">
        <v>0.98799999999999999</v>
      </c>
      <c r="BT19" s="505">
        <v>0.8</v>
      </c>
      <c r="BU19" s="506">
        <f t="shared" si="5"/>
        <v>1.2349999999999999</v>
      </c>
      <c r="BV19" s="503" t="s">
        <v>1088</v>
      </c>
      <c r="BW19" s="659"/>
      <c r="BX19" s="659"/>
      <c r="BY19" s="659"/>
      <c r="BZ19" s="659"/>
      <c r="CA19" s="504">
        <v>0.99099999999999999</v>
      </c>
      <c r="CB19" s="505">
        <v>0.8</v>
      </c>
      <c r="CC19" s="506">
        <f t="shared" si="4"/>
        <v>1.23875</v>
      </c>
      <c r="CD19" s="507" t="s">
        <v>1089</v>
      </c>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c r="IW19" s="20"/>
      <c r="IX19" s="20"/>
      <c r="IY19" s="20"/>
      <c r="IZ19" s="20"/>
      <c r="JA19" s="20"/>
      <c r="JB19" s="20"/>
      <c r="JC19" s="20"/>
      <c r="JD19" s="20"/>
      <c r="JE19" s="20"/>
      <c r="JF19" s="20"/>
      <c r="JG19" s="20"/>
      <c r="JH19" s="20"/>
      <c r="JI19" s="20"/>
      <c r="JJ19" s="20"/>
      <c r="JK19" s="20"/>
      <c r="JL19" s="20"/>
      <c r="JM19" s="20"/>
      <c r="JN19" s="20"/>
      <c r="JO19" s="20"/>
      <c r="JP19" s="20"/>
      <c r="JQ19" s="20"/>
      <c r="JR19" s="20"/>
      <c r="JS19" s="20"/>
      <c r="JT19" s="20"/>
      <c r="JU19" s="20"/>
      <c r="JV19" s="20"/>
      <c r="JW19" s="20"/>
      <c r="JX19" s="20"/>
      <c r="JY19" s="20"/>
      <c r="JZ19" s="20"/>
      <c r="KA19" s="20"/>
      <c r="KB19" s="20"/>
      <c r="KC19" s="20"/>
      <c r="KD19" s="20"/>
      <c r="KE19" s="20"/>
      <c r="KF19" s="20"/>
      <c r="KG19" s="20"/>
      <c r="KH19" s="20"/>
      <c r="KI19" s="20"/>
      <c r="KJ19" s="20"/>
      <c r="KK19" s="20"/>
      <c r="KL19" s="20"/>
      <c r="KM19" s="20"/>
      <c r="KN19" s="20"/>
      <c r="KO19" s="20"/>
      <c r="KP19" s="20"/>
      <c r="KQ19" s="20"/>
      <c r="KR19" s="20"/>
      <c r="KS19" s="20"/>
      <c r="KT19" s="20"/>
      <c r="KU19" s="20"/>
      <c r="KV19" s="20"/>
      <c r="KW19" s="20"/>
      <c r="KX19" s="20"/>
      <c r="KY19" s="20"/>
      <c r="KZ19" s="20"/>
      <c r="LA19" s="20"/>
      <c r="LB19" s="20"/>
      <c r="LC19" s="20"/>
      <c r="LD19" s="20"/>
      <c r="LE19" s="20"/>
      <c r="LF19" s="20"/>
      <c r="LG19" s="20"/>
      <c r="LH19" s="20"/>
      <c r="LI19" s="20"/>
      <c r="LJ19" s="20"/>
      <c r="LK19" s="20"/>
      <c r="LL19" s="20"/>
      <c r="LM19" s="20"/>
      <c r="LN19" s="20"/>
      <c r="LO19" s="20"/>
      <c r="LP19" s="20"/>
      <c r="LQ19" s="20"/>
      <c r="LR19" s="20"/>
      <c r="LS19" s="20"/>
      <c r="LT19" s="20"/>
      <c r="LU19" s="20"/>
      <c r="LV19" s="20"/>
      <c r="LW19" s="20"/>
      <c r="LX19" s="20"/>
      <c r="LY19" s="20"/>
      <c r="LZ19" s="20"/>
      <c r="MA19" s="20"/>
      <c r="MB19" s="20"/>
      <c r="MC19" s="20"/>
      <c r="MD19" s="20"/>
      <c r="ME19" s="20"/>
      <c r="MF19" s="20"/>
      <c r="MG19" s="20"/>
      <c r="MH19" s="20"/>
      <c r="MI19" s="20"/>
      <c r="MJ19" s="20"/>
      <c r="MK19" s="20"/>
      <c r="ML19" s="20"/>
      <c r="MM19" s="20"/>
      <c r="MN19" s="20"/>
      <c r="MO19" s="20"/>
      <c r="MP19" s="20"/>
      <c r="MQ19" s="20"/>
      <c r="MR19" s="20"/>
      <c r="MS19" s="20"/>
      <c r="MT19" s="20"/>
      <c r="MU19" s="20"/>
      <c r="MV19" s="20"/>
      <c r="MW19" s="20"/>
      <c r="MX19" s="20"/>
      <c r="MY19" s="20"/>
      <c r="MZ19" s="20"/>
      <c r="NA19" s="20"/>
      <c r="NB19" s="20"/>
      <c r="NC19" s="20"/>
      <c r="ND19" s="20"/>
      <c r="NE19" s="20"/>
      <c r="NF19" s="20"/>
      <c r="NG19" s="20"/>
      <c r="NH19" s="20"/>
      <c r="NI19" s="20"/>
      <c r="NJ19" s="20"/>
      <c r="NK19" s="20"/>
      <c r="NL19" s="20"/>
      <c r="NM19" s="20"/>
      <c r="NN19" s="20"/>
      <c r="NO19" s="20"/>
      <c r="NP19" s="20"/>
      <c r="NQ19" s="20"/>
      <c r="NR19" s="20"/>
      <c r="NS19" s="20"/>
      <c r="NT19" s="20"/>
      <c r="NU19" s="20"/>
      <c r="NV19" s="20"/>
      <c r="NW19" s="20"/>
      <c r="NX19" s="20"/>
      <c r="NY19" s="20"/>
      <c r="NZ19" s="20"/>
      <c r="OA19" s="20"/>
      <c r="OB19" s="20"/>
      <c r="OC19" s="20"/>
      <c r="OD19" s="20"/>
      <c r="OE19" s="20"/>
      <c r="OF19" s="20"/>
      <c r="OG19" s="20"/>
      <c r="OH19" s="20"/>
      <c r="OI19" s="20"/>
      <c r="OJ19" s="20"/>
      <c r="OK19" s="20"/>
      <c r="OL19" s="20"/>
      <c r="OM19" s="20"/>
      <c r="ON19" s="20"/>
      <c r="OO19" s="20"/>
      <c r="OP19" s="20"/>
      <c r="OQ19" s="20"/>
      <c r="OR19" s="20"/>
      <c r="OS19" s="20"/>
      <c r="OT19" s="20"/>
      <c r="OU19" s="20"/>
      <c r="OV19" s="20"/>
      <c r="OW19" s="20"/>
      <c r="OX19" s="20"/>
      <c r="OY19" s="20"/>
      <c r="OZ19" s="20"/>
      <c r="PA19" s="20"/>
      <c r="PB19" s="20"/>
      <c r="PC19" s="20"/>
      <c r="PD19" s="20"/>
      <c r="PE19" s="20"/>
      <c r="PF19" s="20"/>
      <c r="PG19" s="20"/>
      <c r="PH19" s="20"/>
      <c r="PI19" s="20"/>
      <c r="PJ19" s="20"/>
      <c r="PK19" s="20"/>
      <c r="PL19" s="20"/>
      <c r="PM19" s="20"/>
      <c r="PN19" s="20"/>
      <c r="PO19" s="20"/>
      <c r="PP19" s="20"/>
      <c r="PQ19" s="20"/>
      <c r="PR19" s="20"/>
      <c r="PS19" s="20"/>
      <c r="PT19" s="20"/>
      <c r="PU19" s="20"/>
      <c r="PV19" s="20"/>
      <c r="PW19" s="20"/>
      <c r="PX19" s="20"/>
      <c r="PY19" s="20"/>
      <c r="PZ19" s="20"/>
      <c r="QA19" s="20"/>
      <c r="QB19" s="20"/>
      <c r="QC19" s="20"/>
      <c r="QD19" s="20"/>
      <c r="QE19" s="20"/>
      <c r="QF19" s="20"/>
      <c r="QG19" s="20"/>
      <c r="QH19" s="20"/>
      <c r="QI19" s="20"/>
      <c r="QJ19" s="20"/>
      <c r="QK19" s="20"/>
      <c r="QL19" s="20"/>
      <c r="QM19" s="20"/>
      <c r="QN19" s="20"/>
      <c r="QO19" s="20"/>
      <c r="QP19" s="20"/>
      <c r="QQ19" s="20"/>
      <c r="QR19" s="20"/>
      <c r="QS19" s="20"/>
      <c r="QT19" s="20"/>
      <c r="QU19" s="20"/>
      <c r="QV19" s="20"/>
      <c r="QW19" s="20"/>
      <c r="QX19" s="20"/>
      <c r="QY19" s="20"/>
      <c r="QZ19" s="20"/>
      <c r="RA19" s="20"/>
      <c r="RB19" s="20"/>
      <c r="RC19" s="20"/>
      <c r="RD19" s="20"/>
      <c r="RE19" s="20"/>
      <c r="RF19" s="20"/>
      <c r="RG19" s="20"/>
      <c r="RH19" s="20"/>
      <c r="RI19" s="20"/>
      <c r="RJ19" s="20"/>
      <c r="RK19" s="20"/>
      <c r="RL19" s="20"/>
      <c r="RM19" s="20"/>
      <c r="RN19" s="20"/>
      <c r="RO19" s="20"/>
      <c r="RP19" s="20"/>
      <c r="RQ19" s="20"/>
      <c r="RR19" s="20"/>
      <c r="RS19" s="20"/>
      <c r="RT19" s="20"/>
      <c r="RU19" s="20"/>
      <c r="RV19" s="20"/>
      <c r="RW19" s="20"/>
      <c r="RX19" s="20"/>
      <c r="RY19" s="20"/>
      <c r="RZ19" s="20"/>
      <c r="SA19" s="20"/>
      <c r="SB19" s="20"/>
      <c r="SC19" s="20"/>
      <c r="SD19" s="20"/>
      <c r="SE19" s="20"/>
      <c r="SF19" s="20"/>
      <c r="SG19" s="20"/>
      <c r="SH19" s="20"/>
      <c r="SI19" s="20"/>
      <c r="SJ19" s="20"/>
      <c r="SK19" s="20"/>
      <c r="SL19" s="20"/>
      <c r="SM19" s="20"/>
      <c r="SN19" s="20"/>
      <c r="SO19" s="20"/>
      <c r="SP19" s="20"/>
      <c r="SQ19" s="20"/>
      <c r="SR19" s="20"/>
      <c r="SS19" s="20"/>
      <c r="ST19" s="20"/>
      <c r="SU19" s="20"/>
      <c r="SV19" s="20"/>
      <c r="SW19" s="20"/>
      <c r="SX19" s="20"/>
      <c r="SY19" s="20"/>
      <c r="SZ19" s="20"/>
      <c r="TA19" s="20"/>
      <c r="TB19" s="20"/>
      <c r="TC19" s="20"/>
      <c r="TD19" s="20"/>
      <c r="TE19" s="20"/>
      <c r="TF19" s="20"/>
      <c r="TG19" s="20"/>
      <c r="TH19" s="20"/>
      <c r="TI19" s="20"/>
      <c r="TJ19" s="20"/>
      <c r="TK19" s="20"/>
      <c r="TL19" s="20"/>
      <c r="TM19" s="20"/>
      <c r="TN19" s="20"/>
      <c r="TO19" s="20"/>
      <c r="TP19" s="20"/>
      <c r="TQ19" s="20"/>
      <c r="TR19" s="20"/>
      <c r="TS19" s="20"/>
      <c r="TT19" s="20"/>
      <c r="TU19" s="20"/>
      <c r="TV19" s="20"/>
      <c r="TW19" s="20"/>
      <c r="TX19" s="20"/>
      <c r="TY19" s="20"/>
      <c r="TZ19" s="20"/>
      <c r="UA19" s="20"/>
      <c r="UB19" s="20"/>
      <c r="UC19" s="20"/>
      <c r="UD19" s="20"/>
      <c r="UE19" s="20"/>
      <c r="UF19" s="20"/>
      <c r="UG19" s="20"/>
      <c r="UH19" s="20"/>
      <c r="UI19" s="20"/>
      <c r="UJ19" s="20"/>
      <c r="UK19" s="20"/>
      <c r="UL19" s="20"/>
      <c r="UM19" s="20"/>
      <c r="UN19" s="20"/>
      <c r="UO19" s="20"/>
      <c r="UP19" s="20"/>
      <c r="UQ19" s="20"/>
      <c r="UR19" s="20"/>
      <c r="US19" s="20"/>
      <c r="UT19" s="20"/>
      <c r="UU19" s="20"/>
      <c r="UV19" s="20"/>
      <c r="UW19" s="20"/>
      <c r="UX19" s="20"/>
      <c r="UY19" s="20"/>
      <c r="UZ19" s="20"/>
      <c r="VA19" s="20"/>
      <c r="VB19" s="20"/>
      <c r="VC19" s="20"/>
      <c r="VD19" s="20"/>
      <c r="VE19" s="20"/>
      <c r="VF19" s="20"/>
      <c r="VG19" s="20"/>
      <c r="VH19" s="20"/>
      <c r="VI19" s="20"/>
      <c r="VJ19" s="20"/>
      <c r="VK19" s="20"/>
      <c r="VL19" s="20"/>
      <c r="VM19" s="20"/>
      <c r="VN19" s="20"/>
      <c r="VO19" s="20"/>
      <c r="VP19" s="20"/>
      <c r="VQ19" s="20"/>
      <c r="VR19" s="20"/>
      <c r="VS19" s="20"/>
      <c r="VT19" s="20"/>
      <c r="VU19" s="20"/>
      <c r="VV19" s="20"/>
      <c r="VW19" s="20"/>
      <c r="VX19" s="20"/>
      <c r="VY19" s="20"/>
      <c r="VZ19" s="20"/>
      <c r="WA19" s="20"/>
      <c r="WB19" s="20"/>
      <c r="WC19" s="20"/>
      <c r="WD19" s="20"/>
      <c r="WE19" s="20"/>
      <c r="WF19" s="20"/>
      <c r="WG19" s="20"/>
      <c r="WH19" s="20"/>
      <c r="WI19" s="20"/>
      <c r="WJ19" s="20"/>
      <c r="WK19" s="20"/>
      <c r="WL19" s="20"/>
      <c r="WM19" s="20"/>
      <c r="WN19" s="20"/>
      <c r="WO19" s="20"/>
      <c r="WP19" s="20"/>
      <c r="WQ19" s="20"/>
      <c r="WR19" s="20"/>
      <c r="WS19" s="20"/>
      <c r="WT19" s="20"/>
      <c r="WU19" s="20"/>
      <c r="WV19" s="20"/>
      <c r="WW19" s="20"/>
      <c r="WX19" s="20"/>
      <c r="WY19" s="20"/>
      <c r="WZ19" s="20"/>
      <c r="XA19" s="20"/>
      <c r="XB19" s="20"/>
      <c r="XC19" s="20"/>
      <c r="XD19" s="20"/>
      <c r="XE19" s="20"/>
      <c r="XF19" s="20"/>
      <c r="XG19" s="20"/>
      <c r="XH19" s="20"/>
      <c r="XI19" s="20"/>
      <c r="XJ19" s="20"/>
      <c r="XK19" s="20"/>
      <c r="XL19" s="20"/>
      <c r="XM19" s="20"/>
      <c r="XN19" s="20"/>
      <c r="XO19" s="20"/>
      <c r="XP19" s="20"/>
      <c r="XQ19" s="20"/>
      <c r="XR19" s="20"/>
      <c r="XS19" s="20"/>
      <c r="XT19" s="20"/>
      <c r="XU19" s="20"/>
      <c r="XV19" s="20"/>
      <c r="XW19" s="20"/>
      <c r="XX19" s="20"/>
      <c r="XY19" s="20"/>
      <c r="XZ19" s="20"/>
      <c r="YA19" s="20"/>
      <c r="YB19" s="20"/>
      <c r="YC19" s="20"/>
      <c r="YD19" s="20"/>
      <c r="YE19" s="20"/>
      <c r="YF19" s="20"/>
      <c r="YG19" s="20"/>
      <c r="YH19" s="20"/>
      <c r="YI19" s="20"/>
      <c r="YJ19" s="20"/>
      <c r="YK19" s="20"/>
      <c r="YL19" s="20"/>
      <c r="YM19" s="20"/>
      <c r="YN19" s="20"/>
      <c r="YO19" s="20"/>
      <c r="YP19" s="20"/>
      <c r="YQ19" s="20"/>
      <c r="YR19" s="20"/>
      <c r="YS19" s="20"/>
      <c r="YT19" s="20"/>
      <c r="YU19" s="20"/>
      <c r="YV19" s="20"/>
      <c r="YW19" s="20"/>
      <c r="YX19" s="20"/>
      <c r="YY19" s="20"/>
      <c r="YZ19" s="20"/>
      <c r="ZA19" s="20"/>
      <c r="ZB19" s="20"/>
      <c r="ZC19" s="20"/>
      <c r="ZD19" s="20"/>
      <c r="ZE19" s="20"/>
      <c r="ZF19" s="20"/>
      <c r="ZG19" s="20"/>
      <c r="ZH19" s="20"/>
      <c r="ZI19" s="20"/>
      <c r="ZJ19" s="20"/>
      <c r="ZK19" s="20"/>
      <c r="ZL19" s="20"/>
      <c r="ZM19" s="20"/>
      <c r="ZN19" s="20"/>
      <c r="ZO19" s="20"/>
      <c r="ZP19" s="20"/>
      <c r="ZQ19" s="20"/>
      <c r="ZR19" s="20"/>
      <c r="ZS19" s="20"/>
      <c r="ZT19" s="20"/>
      <c r="ZU19" s="20"/>
      <c r="ZV19" s="20"/>
      <c r="ZW19" s="20"/>
      <c r="ZX19" s="20"/>
      <c r="ZY19" s="20"/>
      <c r="ZZ19" s="20"/>
      <c r="AAA19" s="20"/>
      <c r="AAB19" s="20"/>
      <c r="AAC19" s="20"/>
      <c r="AAD19" s="20"/>
      <c r="AAE19" s="20"/>
      <c r="AAF19" s="20"/>
      <c r="AAG19" s="20"/>
    </row>
    <row r="20" spans="1:709" s="88" customFormat="1" ht="180" x14ac:dyDescent="0.25">
      <c r="A20" s="90" t="s">
        <v>43</v>
      </c>
      <c r="B20" s="90" t="s">
        <v>44</v>
      </c>
      <c r="C20" s="90" t="s">
        <v>45</v>
      </c>
      <c r="D20" s="90" t="s">
        <v>349</v>
      </c>
      <c r="E20" s="90" t="s">
        <v>71</v>
      </c>
      <c r="F20" s="90" t="s">
        <v>48</v>
      </c>
      <c r="G20" s="90" t="s">
        <v>49</v>
      </c>
      <c r="H20" s="90" t="s">
        <v>50</v>
      </c>
      <c r="I20" s="90" t="s">
        <v>51</v>
      </c>
      <c r="J20" s="361" t="s">
        <v>52</v>
      </c>
      <c r="K20" s="361" t="s">
        <v>327</v>
      </c>
      <c r="L20" s="361" t="s">
        <v>356</v>
      </c>
      <c r="M20" s="365" t="s">
        <v>357</v>
      </c>
      <c r="N20" s="361" t="s">
        <v>74</v>
      </c>
      <c r="O20" s="361"/>
      <c r="P20" s="366">
        <v>0.8</v>
      </c>
      <c r="Q20" s="660"/>
      <c r="R20" s="661"/>
      <c r="S20" s="661"/>
      <c r="T20" s="661"/>
      <c r="U20" s="662"/>
      <c r="V20" s="1015"/>
      <c r="W20" s="1021"/>
      <c r="X20" s="361" t="s">
        <v>330</v>
      </c>
      <c r="Y20" s="508">
        <v>1</v>
      </c>
      <c r="Z20" s="508">
        <v>0.8</v>
      </c>
      <c r="AA20" s="508">
        <v>1.25</v>
      </c>
      <c r="AB20" s="509" t="s">
        <v>358</v>
      </c>
      <c r="AC20" s="879"/>
      <c r="AD20" s="880"/>
      <c r="AE20" s="880"/>
      <c r="AF20" s="881"/>
      <c r="AG20" s="518">
        <v>0.97199999999999998</v>
      </c>
      <c r="AH20" s="510">
        <v>0.8</v>
      </c>
      <c r="AI20" s="510">
        <v>1.21</v>
      </c>
      <c r="AJ20" s="511" t="s">
        <v>359</v>
      </c>
      <c r="AK20" s="882"/>
      <c r="AL20" s="883"/>
      <c r="AM20" s="883"/>
      <c r="AN20" s="884"/>
      <c r="AO20" s="510">
        <v>0.98</v>
      </c>
      <c r="AP20" s="118">
        <f t="shared" si="1"/>
        <v>0.8</v>
      </c>
      <c r="AQ20" s="364">
        <f t="shared" si="2"/>
        <v>1.2249999999999999</v>
      </c>
      <c r="AR20" s="511" t="s">
        <v>360</v>
      </c>
      <c r="AS20" s="673"/>
      <c r="AT20" s="673"/>
      <c r="AU20" s="673"/>
      <c r="AV20" s="673"/>
      <c r="AW20" s="20"/>
      <c r="AX20" s="20"/>
      <c r="AY20" s="20"/>
      <c r="AZ20" s="20"/>
      <c r="BA20" s="20"/>
      <c r="BB20" s="20"/>
      <c r="BC20" s="20"/>
      <c r="BD20" s="20"/>
      <c r="BE20" s="20"/>
      <c r="BF20" s="20"/>
      <c r="BG20" s="20"/>
      <c r="BH20" s="20"/>
      <c r="BI20" s="20"/>
      <c r="BJ20" s="20"/>
      <c r="BK20" s="512">
        <v>1</v>
      </c>
      <c r="BL20" s="513">
        <v>0.8</v>
      </c>
      <c r="BM20" s="514">
        <f t="shared" si="3"/>
        <v>1.25</v>
      </c>
      <c r="BN20" s="511" t="s">
        <v>1090</v>
      </c>
      <c r="BO20" s="673"/>
      <c r="BP20" s="673"/>
      <c r="BQ20" s="673"/>
      <c r="BR20" s="673"/>
      <c r="BS20" s="512">
        <v>1</v>
      </c>
      <c r="BT20" s="513">
        <v>0.8</v>
      </c>
      <c r="BU20" s="514">
        <f t="shared" si="5"/>
        <v>1.25</v>
      </c>
      <c r="BV20" s="511" t="s">
        <v>1091</v>
      </c>
      <c r="BW20" s="673"/>
      <c r="BX20" s="673"/>
      <c r="BY20" s="673"/>
      <c r="BZ20" s="673"/>
      <c r="CA20" s="512">
        <v>1</v>
      </c>
      <c r="CB20" s="513">
        <v>0.8</v>
      </c>
      <c r="CC20" s="514">
        <f t="shared" si="4"/>
        <v>1.25</v>
      </c>
      <c r="CD20" s="515" t="s">
        <v>1092</v>
      </c>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c r="JW20" s="20"/>
      <c r="JX20" s="20"/>
      <c r="JY20" s="20"/>
      <c r="JZ20" s="20"/>
      <c r="KA20" s="20"/>
      <c r="KB20" s="20"/>
      <c r="KC20" s="20"/>
      <c r="KD20" s="20"/>
      <c r="KE20" s="20"/>
      <c r="KF20" s="20"/>
      <c r="KG20" s="20"/>
      <c r="KH20" s="20"/>
      <c r="KI20" s="20"/>
      <c r="KJ20" s="20"/>
      <c r="KK20" s="20"/>
      <c r="KL20" s="20"/>
      <c r="KM20" s="20"/>
      <c r="KN20" s="20"/>
      <c r="KO20" s="20"/>
      <c r="KP20" s="20"/>
      <c r="KQ20" s="20"/>
      <c r="KR20" s="20"/>
      <c r="KS20" s="20"/>
      <c r="KT20" s="20"/>
      <c r="KU20" s="20"/>
      <c r="KV20" s="20"/>
      <c r="KW20" s="20"/>
      <c r="KX20" s="20"/>
      <c r="KY20" s="20"/>
      <c r="KZ20" s="20"/>
      <c r="LA20" s="20"/>
      <c r="LB20" s="20"/>
      <c r="LC20" s="20"/>
      <c r="LD20" s="20"/>
      <c r="LE20" s="20"/>
      <c r="LF20" s="20"/>
      <c r="LG20" s="20"/>
      <c r="LH20" s="20"/>
      <c r="LI20" s="20"/>
      <c r="LJ20" s="20"/>
      <c r="LK20" s="20"/>
      <c r="LL20" s="20"/>
      <c r="LM20" s="20"/>
      <c r="LN20" s="20"/>
      <c r="LO20" s="20"/>
      <c r="LP20" s="20"/>
      <c r="LQ20" s="20"/>
      <c r="LR20" s="20"/>
      <c r="LS20" s="20"/>
      <c r="LT20" s="20"/>
      <c r="LU20" s="20"/>
      <c r="LV20" s="20"/>
      <c r="LW20" s="20"/>
      <c r="LX20" s="20"/>
      <c r="LY20" s="20"/>
      <c r="LZ20" s="20"/>
      <c r="MA20" s="20"/>
      <c r="MB20" s="20"/>
      <c r="MC20" s="20"/>
      <c r="MD20" s="20"/>
      <c r="ME20" s="20"/>
      <c r="MF20" s="20"/>
      <c r="MG20" s="20"/>
      <c r="MH20" s="20"/>
      <c r="MI20" s="20"/>
      <c r="MJ20" s="20"/>
      <c r="MK20" s="20"/>
      <c r="ML20" s="20"/>
      <c r="MM20" s="20"/>
      <c r="MN20" s="20"/>
      <c r="MO20" s="20"/>
      <c r="MP20" s="20"/>
      <c r="MQ20" s="20"/>
      <c r="MR20" s="20"/>
      <c r="MS20" s="20"/>
      <c r="MT20" s="20"/>
      <c r="MU20" s="20"/>
      <c r="MV20" s="20"/>
      <c r="MW20" s="20"/>
      <c r="MX20" s="20"/>
      <c r="MY20" s="20"/>
      <c r="MZ20" s="20"/>
      <c r="NA20" s="20"/>
      <c r="NB20" s="20"/>
      <c r="NC20" s="20"/>
      <c r="ND20" s="20"/>
      <c r="NE20" s="20"/>
      <c r="NF20" s="20"/>
      <c r="NG20" s="20"/>
      <c r="NH20" s="20"/>
      <c r="NI20" s="20"/>
      <c r="NJ20" s="20"/>
      <c r="NK20" s="20"/>
      <c r="NL20" s="20"/>
      <c r="NM20" s="20"/>
      <c r="NN20" s="20"/>
      <c r="NO20" s="20"/>
      <c r="NP20" s="20"/>
      <c r="NQ20" s="20"/>
      <c r="NR20" s="20"/>
      <c r="NS20" s="20"/>
      <c r="NT20" s="20"/>
      <c r="NU20" s="20"/>
      <c r="NV20" s="20"/>
      <c r="NW20" s="20"/>
      <c r="NX20" s="20"/>
      <c r="NY20" s="20"/>
      <c r="NZ20" s="20"/>
      <c r="OA20" s="20"/>
      <c r="OB20" s="20"/>
      <c r="OC20" s="20"/>
      <c r="OD20" s="20"/>
      <c r="OE20" s="20"/>
      <c r="OF20" s="20"/>
      <c r="OG20" s="20"/>
      <c r="OH20" s="20"/>
      <c r="OI20" s="20"/>
      <c r="OJ20" s="20"/>
      <c r="OK20" s="20"/>
      <c r="OL20" s="20"/>
      <c r="OM20" s="20"/>
      <c r="ON20" s="20"/>
      <c r="OO20" s="20"/>
      <c r="OP20" s="20"/>
      <c r="OQ20" s="20"/>
      <c r="OR20" s="20"/>
      <c r="OS20" s="20"/>
      <c r="OT20" s="20"/>
      <c r="OU20" s="20"/>
      <c r="OV20" s="20"/>
      <c r="OW20" s="20"/>
      <c r="OX20" s="20"/>
      <c r="OY20" s="20"/>
      <c r="OZ20" s="20"/>
      <c r="PA20" s="20"/>
      <c r="PB20" s="20"/>
      <c r="PC20" s="20"/>
      <c r="PD20" s="20"/>
      <c r="PE20" s="20"/>
      <c r="PF20" s="20"/>
      <c r="PG20" s="20"/>
      <c r="PH20" s="20"/>
      <c r="PI20" s="20"/>
      <c r="PJ20" s="20"/>
      <c r="PK20" s="20"/>
      <c r="PL20" s="20"/>
      <c r="PM20" s="20"/>
      <c r="PN20" s="20"/>
      <c r="PO20" s="20"/>
      <c r="PP20" s="20"/>
      <c r="PQ20" s="20"/>
      <c r="PR20" s="20"/>
      <c r="PS20" s="20"/>
      <c r="PT20" s="20"/>
      <c r="PU20" s="20"/>
      <c r="PV20" s="20"/>
      <c r="PW20" s="20"/>
      <c r="PX20" s="20"/>
      <c r="PY20" s="20"/>
      <c r="PZ20" s="20"/>
      <c r="QA20" s="20"/>
      <c r="QB20" s="20"/>
      <c r="QC20" s="20"/>
      <c r="QD20" s="20"/>
      <c r="QE20" s="20"/>
      <c r="QF20" s="20"/>
      <c r="QG20" s="20"/>
      <c r="QH20" s="20"/>
      <c r="QI20" s="20"/>
      <c r="QJ20" s="20"/>
      <c r="QK20" s="20"/>
      <c r="QL20" s="20"/>
      <c r="QM20" s="20"/>
      <c r="QN20" s="20"/>
      <c r="QO20" s="20"/>
      <c r="QP20" s="20"/>
      <c r="QQ20" s="20"/>
      <c r="QR20" s="20"/>
      <c r="QS20" s="20"/>
      <c r="QT20" s="20"/>
      <c r="QU20" s="20"/>
      <c r="QV20" s="20"/>
      <c r="QW20" s="20"/>
      <c r="QX20" s="20"/>
      <c r="QY20" s="20"/>
      <c r="QZ20" s="20"/>
      <c r="RA20" s="20"/>
      <c r="RB20" s="20"/>
      <c r="RC20" s="20"/>
      <c r="RD20" s="20"/>
      <c r="RE20" s="20"/>
      <c r="RF20" s="20"/>
      <c r="RG20" s="20"/>
      <c r="RH20" s="20"/>
      <c r="RI20" s="20"/>
      <c r="RJ20" s="20"/>
      <c r="RK20" s="20"/>
      <c r="RL20" s="20"/>
      <c r="RM20" s="20"/>
      <c r="RN20" s="20"/>
      <c r="RO20" s="20"/>
      <c r="RP20" s="20"/>
      <c r="RQ20" s="20"/>
      <c r="RR20" s="20"/>
      <c r="RS20" s="20"/>
      <c r="RT20" s="20"/>
      <c r="RU20" s="20"/>
      <c r="RV20" s="20"/>
      <c r="RW20" s="20"/>
      <c r="RX20" s="20"/>
      <c r="RY20" s="20"/>
      <c r="RZ20" s="20"/>
      <c r="SA20" s="20"/>
      <c r="SB20" s="20"/>
      <c r="SC20" s="20"/>
      <c r="SD20" s="20"/>
      <c r="SE20" s="20"/>
      <c r="SF20" s="20"/>
      <c r="SG20" s="20"/>
      <c r="SH20" s="20"/>
      <c r="SI20" s="20"/>
      <c r="SJ20" s="20"/>
      <c r="SK20" s="20"/>
      <c r="SL20" s="20"/>
      <c r="SM20" s="20"/>
      <c r="SN20" s="20"/>
      <c r="SO20" s="20"/>
      <c r="SP20" s="20"/>
      <c r="SQ20" s="20"/>
      <c r="SR20" s="20"/>
      <c r="SS20" s="20"/>
      <c r="ST20" s="20"/>
      <c r="SU20" s="20"/>
      <c r="SV20" s="20"/>
      <c r="SW20" s="20"/>
      <c r="SX20" s="20"/>
      <c r="SY20" s="20"/>
      <c r="SZ20" s="20"/>
      <c r="TA20" s="20"/>
      <c r="TB20" s="20"/>
      <c r="TC20" s="20"/>
      <c r="TD20" s="20"/>
      <c r="TE20" s="20"/>
      <c r="TF20" s="20"/>
      <c r="TG20" s="20"/>
      <c r="TH20" s="20"/>
      <c r="TI20" s="20"/>
      <c r="TJ20" s="20"/>
      <c r="TK20" s="20"/>
      <c r="TL20" s="20"/>
      <c r="TM20" s="20"/>
      <c r="TN20" s="20"/>
      <c r="TO20" s="20"/>
      <c r="TP20" s="20"/>
      <c r="TQ20" s="20"/>
      <c r="TR20" s="20"/>
      <c r="TS20" s="20"/>
      <c r="TT20" s="20"/>
      <c r="TU20" s="20"/>
      <c r="TV20" s="20"/>
      <c r="TW20" s="20"/>
      <c r="TX20" s="20"/>
      <c r="TY20" s="20"/>
      <c r="TZ20" s="20"/>
      <c r="UA20" s="20"/>
      <c r="UB20" s="20"/>
      <c r="UC20" s="20"/>
      <c r="UD20" s="20"/>
      <c r="UE20" s="20"/>
      <c r="UF20" s="20"/>
      <c r="UG20" s="20"/>
      <c r="UH20" s="20"/>
      <c r="UI20" s="20"/>
      <c r="UJ20" s="20"/>
      <c r="UK20" s="20"/>
      <c r="UL20" s="20"/>
      <c r="UM20" s="20"/>
      <c r="UN20" s="20"/>
      <c r="UO20" s="20"/>
      <c r="UP20" s="20"/>
      <c r="UQ20" s="20"/>
      <c r="UR20" s="20"/>
      <c r="US20" s="20"/>
      <c r="UT20" s="20"/>
      <c r="UU20" s="20"/>
      <c r="UV20" s="20"/>
      <c r="UW20" s="20"/>
      <c r="UX20" s="20"/>
      <c r="UY20" s="20"/>
      <c r="UZ20" s="20"/>
      <c r="VA20" s="20"/>
      <c r="VB20" s="20"/>
      <c r="VC20" s="20"/>
      <c r="VD20" s="20"/>
      <c r="VE20" s="20"/>
      <c r="VF20" s="20"/>
      <c r="VG20" s="20"/>
      <c r="VH20" s="20"/>
      <c r="VI20" s="20"/>
      <c r="VJ20" s="20"/>
      <c r="VK20" s="20"/>
      <c r="VL20" s="20"/>
      <c r="VM20" s="20"/>
      <c r="VN20" s="20"/>
      <c r="VO20" s="20"/>
      <c r="VP20" s="20"/>
      <c r="VQ20" s="20"/>
      <c r="VR20" s="20"/>
      <c r="VS20" s="20"/>
      <c r="VT20" s="20"/>
      <c r="VU20" s="20"/>
      <c r="VV20" s="20"/>
      <c r="VW20" s="20"/>
      <c r="VX20" s="20"/>
      <c r="VY20" s="20"/>
      <c r="VZ20" s="20"/>
      <c r="WA20" s="20"/>
      <c r="WB20" s="20"/>
      <c r="WC20" s="20"/>
      <c r="WD20" s="20"/>
      <c r="WE20" s="20"/>
      <c r="WF20" s="20"/>
      <c r="WG20" s="20"/>
      <c r="WH20" s="20"/>
      <c r="WI20" s="20"/>
      <c r="WJ20" s="20"/>
      <c r="WK20" s="20"/>
      <c r="WL20" s="20"/>
      <c r="WM20" s="20"/>
      <c r="WN20" s="20"/>
      <c r="WO20" s="20"/>
      <c r="WP20" s="20"/>
      <c r="WQ20" s="20"/>
      <c r="WR20" s="20"/>
      <c r="WS20" s="20"/>
      <c r="WT20" s="20"/>
      <c r="WU20" s="20"/>
      <c r="WV20" s="20"/>
      <c r="WW20" s="20"/>
      <c r="WX20" s="20"/>
      <c r="WY20" s="20"/>
      <c r="WZ20" s="20"/>
      <c r="XA20" s="20"/>
      <c r="XB20" s="20"/>
      <c r="XC20" s="20"/>
      <c r="XD20" s="20"/>
      <c r="XE20" s="20"/>
      <c r="XF20" s="20"/>
      <c r="XG20" s="20"/>
      <c r="XH20" s="20"/>
      <c r="XI20" s="20"/>
      <c r="XJ20" s="20"/>
      <c r="XK20" s="20"/>
      <c r="XL20" s="20"/>
      <c r="XM20" s="20"/>
      <c r="XN20" s="20"/>
      <c r="XO20" s="20"/>
      <c r="XP20" s="20"/>
      <c r="XQ20" s="20"/>
      <c r="XR20" s="20"/>
      <c r="XS20" s="20"/>
      <c r="XT20" s="20"/>
      <c r="XU20" s="20"/>
      <c r="XV20" s="20"/>
      <c r="XW20" s="20"/>
      <c r="XX20" s="20"/>
      <c r="XY20" s="20"/>
      <c r="XZ20" s="20"/>
      <c r="YA20" s="20"/>
      <c r="YB20" s="20"/>
      <c r="YC20" s="20"/>
      <c r="YD20" s="20"/>
      <c r="YE20" s="20"/>
      <c r="YF20" s="20"/>
      <c r="YG20" s="20"/>
      <c r="YH20" s="20"/>
      <c r="YI20" s="20"/>
      <c r="YJ20" s="20"/>
      <c r="YK20" s="20"/>
      <c r="YL20" s="20"/>
      <c r="YM20" s="20"/>
      <c r="YN20" s="20"/>
      <c r="YO20" s="20"/>
      <c r="YP20" s="20"/>
      <c r="YQ20" s="20"/>
      <c r="YR20" s="20"/>
      <c r="YS20" s="20"/>
      <c r="YT20" s="20"/>
      <c r="YU20" s="20"/>
      <c r="YV20" s="20"/>
      <c r="YW20" s="20"/>
      <c r="YX20" s="20"/>
      <c r="YY20" s="20"/>
      <c r="YZ20" s="20"/>
      <c r="ZA20" s="20"/>
      <c r="ZB20" s="20"/>
      <c r="ZC20" s="20"/>
      <c r="ZD20" s="20"/>
      <c r="ZE20" s="20"/>
      <c r="ZF20" s="20"/>
      <c r="ZG20" s="20"/>
      <c r="ZH20" s="20"/>
      <c r="ZI20" s="20"/>
      <c r="ZJ20" s="20"/>
      <c r="ZK20" s="20"/>
      <c r="ZL20" s="20"/>
      <c r="ZM20" s="20"/>
      <c r="ZN20" s="20"/>
      <c r="ZO20" s="20"/>
      <c r="ZP20" s="20"/>
      <c r="ZQ20" s="20"/>
      <c r="ZR20" s="20"/>
      <c r="ZS20" s="20"/>
      <c r="ZT20" s="20"/>
      <c r="ZU20" s="20"/>
      <c r="ZV20" s="20"/>
      <c r="ZW20" s="20"/>
      <c r="ZX20" s="20"/>
      <c r="ZY20" s="20"/>
      <c r="ZZ20" s="20"/>
      <c r="AAA20" s="20"/>
      <c r="AAB20" s="20"/>
      <c r="AAC20" s="20"/>
      <c r="AAD20" s="20"/>
      <c r="AAE20" s="20"/>
      <c r="AAF20" s="20"/>
      <c r="AAG20" s="20"/>
    </row>
    <row r="21" spans="1:709" ht="15" customHeight="1" x14ac:dyDescent="0.25">
      <c r="Y21" s="878" t="s">
        <v>1016</v>
      </c>
      <c r="Z21" s="878"/>
      <c r="AA21" s="495">
        <f>AVERAGE(AA19,AA16,AA15,AA17,AA18,AA20)</f>
        <v>1.0816666666666666</v>
      </c>
      <c r="AC21" s="878" t="s">
        <v>1072</v>
      </c>
      <c r="AD21" s="878"/>
      <c r="AE21" s="496" t="s">
        <v>283</v>
      </c>
      <c r="AG21" s="878" t="s">
        <v>1016</v>
      </c>
      <c r="AH21" s="878"/>
      <c r="AI21" s="495">
        <f>AVERAGE(AI19,AI16,AI15,AI17,AI18,AI20)</f>
        <v>1.1566666666666667</v>
      </c>
      <c r="AK21" s="878" t="s">
        <v>1072</v>
      </c>
      <c r="AL21" s="878"/>
      <c r="AM21" s="496" t="s">
        <v>283</v>
      </c>
      <c r="AO21" s="878" t="s">
        <v>1016</v>
      </c>
      <c r="AP21" s="878"/>
      <c r="AQ21" s="495">
        <f>AVERAGE(AQ19,AQ16,AQ15,AQ17,AQ18,AQ20)</f>
        <v>1.2314423076923076</v>
      </c>
      <c r="AS21" s="878" t="s">
        <v>1072</v>
      </c>
      <c r="AT21" s="878"/>
      <c r="AU21" s="496" t="s">
        <v>283</v>
      </c>
      <c r="BK21" s="878" t="s">
        <v>1070</v>
      </c>
      <c r="BL21" s="878"/>
      <c r="BM21" s="495">
        <f>AVERAGE(BM19,BM16,BM15,BM17,BM18,BM20)</f>
        <v>1.4052243589743589</v>
      </c>
      <c r="BO21" s="878" t="s">
        <v>1072</v>
      </c>
      <c r="BP21" s="878"/>
      <c r="BQ21" s="496" t="s">
        <v>283</v>
      </c>
      <c r="BS21" s="878" t="s">
        <v>1070</v>
      </c>
      <c r="BT21" s="878"/>
      <c r="BU21" s="495">
        <f>AVERAGE(BU19,BU16,BU15,BU18,BU20)</f>
        <v>1.282353846153846</v>
      </c>
      <c r="BW21" s="878" t="s">
        <v>1072</v>
      </c>
      <c r="BX21" s="878"/>
      <c r="BY21" s="496" t="s">
        <v>283</v>
      </c>
      <c r="CA21" s="878" t="s">
        <v>1070</v>
      </c>
      <c r="CB21" s="878"/>
      <c r="CC21" s="495">
        <f>AVERAGE(CC19,CC16,CC15,CC17,CC18,CC20)</f>
        <v>1.2855352564102562</v>
      </c>
      <c r="CF21" s="20"/>
      <c r="CG21" s="20"/>
      <c r="CH21" s="20"/>
      <c r="CI21" s="20"/>
    </row>
  </sheetData>
  <sheetProtection algorithmName="SHA-512" hashValue="BjkQtTWKM7QUgVGE2jy15kyPwp7i2LikhxYA71cO3zzV3Ua2B/LR6V9zMZtwD9t5xn94hxXwdwVVw1pEBGa+uA==" saltValue="XOkUBClv8nG+8/leddizyA==" spinCount="100000" sheet="1" objects="1" scenarios="1" selectLockedCells="1" selectUnlockedCells="1"/>
  <mergeCells count="143">
    <mergeCell ref="Y4:AF4"/>
    <mergeCell ref="AG4:AN4"/>
    <mergeCell ref="AO4:AV4"/>
    <mergeCell ref="BK4:BR4"/>
    <mergeCell ref="BS4:BZ4"/>
    <mergeCell ref="CA4:CH4"/>
    <mergeCell ref="C1:X3"/>
    <mergeCell ref="A4:K4"/>
    <mergeCell ref="L4:P5"/>
    <mergeCell ref="Q4:U5"/>
    <mergeCell ref="V4:W5"/>
    <mergeCell ref="X4:X5"/>
    <mergeCell ref="A5:C5"/>
    <mergeCell ref="E5:F5"/>
    <mergeCell ref="G5:I5"/>
    <mergeCell ref="J5:J6"/>
    <mergeCell ref="BS5:BV5"/>
    <mergeCell ref="BW5:BZ5"/>
    <mergeCell ref="CA5:CD5"/>
    <mergeCell ref="CE5:CH5"/>
    <mergeCell ref="BG5:BJ5"/>
    <mergeCell ref="BK5:BN5"/>
    <mergeCell ref="BO5:BR5"/>
    <mergeCell ref="A7:A12"/>
    <mergeCell ref="B7:B12"/>
    <mergeCell ref="C7:C12"/>
    <mergeCell ref="D7:D11"/>
    <mergeCell ref="E7:E11"/>
    <mergeCell ref="F7:F11"/>
    <mergeCell ref="AS5:AV5"/>
    <mergeCell ref="AY5:BB5"/>
    <mergeCell ref="BC5:BF5"/>
    <mergeCell ref="K5:K6"/>
    <mergeCell ref="Y5:AB5"/>
    <mergeCell ref="AC5:AF5"/>
    <mergeCell ref="AG5:AJ5"/>
    <mergeCell ref="AK5:AN5"/>
    <mergeCell ref="AO5:AR5"/>
    <mergeCell ref="X7:X11"/>
    <mergeCell ref="L9:L10"/>
    <mergeCell ref="M9:M10"/>
    <mergeCell ref="N9:N10"/>
    <mergeCell ref="O9:O10"/>
    <mergeCell ref="P9:P10"/>
    <mergeCell ref="G7:G12"/>
    <mergeCell ref="H7:H11"/>
    <mergeCell ref="I7:I11"/>
    <mergeCell ref="J7:J12"/>
    <mergeCell ref="K7:K11"/>
    <mergeCell ref="AI9:AI10"/>
    <mergeCell ref="AJ9:AJ10"/>
    <mergeCell ref="AO9:AO10"/>
    <mergeCell ref="AP9:AP10"/>
    <mergeCell ref="AQ9:AQ10"/>
    <mergeCell ref="V7:V11"/>
    <mergeCell ref="W7:W20"/>
    <mergeCell ref="BU9:BU10"/>
    <mergeCell ref="BV9:BV10"/>
    <mergeCell ref="CA9:CA10"/>
    <mergeCell ref="CB9:CB10"/>
    <mergeCell ref="CC9:CC10"/>
    <mergeCell ref="CD9:CD10"/>
    <mergeCell ref="BK9:BK10"/>
    <mergeCell ref="BL9:BL10"/>
    <mergeCell ref="BM9:BM10"/>
    <mergeCell ref="BN9:BN10"/>
    <mergeCell ref="BS9:BS10"/>
    <mergeCell ref="BT9:BT10"/>
    <mergeCell ref="AY9:AY10"/>
    <mergeCell ref="BA9:BA10"/>
    <mergeCell ref="BC9:BC10"/>
    <mergeCell ref="BE9:BE10"/>
    <mergeCell ref="BG9:BG10"/>
    <mergeCell ref="BI9:BI10"/>
    <mergeCell ref="Q16:U16"/>
    <mergeCell ref="AC16:AF16"/>
    <mergeCell ref="AK16:AN16"/>
    <mergeCell ref="AS16:AV16"/>
    <mergeCell ref="AR9:AR10"/>
    <mergeCell ref="Y9:Y10"/>
    <mergeCell ref="Z9:Z10"/>
    <mergeCell ref="AA9:AA10"/>
    <mergeCell ref="AB9:AB10"/>
    <mergeCell ref="AG9:AG10"/>
    <mergeCell ref="AH9:AH10"/>
    <mergeCell ref="AO13:AP13"/>
    <mergeCell ref="AS13:AT13"/>
    <mergeCell ref="V15:V20"/>
    <mergeCell ref="BO16:BR16"/>
    <mergeCell ref="BW16:BZ16"/>
    <mergeCell ref="CE13:CF13"/>
    <mergeCell ref="Y14:AB14"/>
    <mergeCell ref="Q15:U15"/>
    <mergeCell ref="AC15:AF15"/>
    <mergeCell ref="AK15:AN15"/>
    <mergeCell ref="AS15:AV15"/>
    <mergeCell ref="BO15:BR15"/>
    <mergeCell ref="BW15:BZ15"/>
    <mergeCell ref="AW13:AX13"/>
    <mergeCell ref="BK13:BL13"/>
    <mergeCell ref="BO13:BP13"/>
    <mergeCell ref="BS13:BT13"/>
    <mergeCell ref="BW13:BX13"/>
    <mergeCell ref="CA13:CB13"/>
    <mergeCell ref="Y13:Z13"/>
    <mergeCell ref="AC13:AD13"/>
    <mergeCell ref="AG13:AH13"/>
    <mergeCell ref="AK13:AL13"/>
    <mergeCell ref="Q18:U18"/>
    <mergeCell ref="AC18:AF18"/>
    <mergeCell ref="AK18:AN18"/>
    <mergeCell ref="AS18:AV18"/>
    <mergeCell ref="BO18:BR18"/>
    <mergeCell ref="BW18:BZ18"/>
    <mergeCell ref="Q17:U17"/>
    <mergeCell ref="AC17:AF17"/>
    <mergeCell ref="AK17:AN17"/>
    <mergeCell ref="AS17:AV17"/>
    <mergeCell ref="BO17:BR17"/>
    <mergeCell ref="BW17:BZ17"/>
    <mergeCell ref="Q20:U20"/>
    <mergeCell ref="AC20:AF20"/>
    <mergeCell ref="AK20:AN20"/>
    <mergeCell ref="AS20:AV20"/>
    <mergeCell ref="BO20:BR20"/>
    <mergeCell ref="BW20:BZ20"/>
    <mergeCell ref="Q19:U19"/>
    <mergeCell ref="AC19:AF19"/>
    <mergeCell ref="AK19:AN19"/>
    <mergeCell ref="AS19:AV19"/>
    <mergeCell ref="BO19:BR19"/>
    <mergeCell ref="BW19:BZ19"/>
    <mergeCell ref="BK21:BL21"/>
    <mergeCell ref="BO21:BP21"/>
    <mergeCell ref="BS21:BT21"/>
    <mergeCell ref="BW21:BX21"/>
    <mergeCell ref="CA21:CB21"/>
    <mergeCell ref="Y21:Z21"/>
    <mergeCell ref="AC21:AD21"/>
    <mergeCell ref="AG21:AH21"/>
    <mergeCell ref="AK21:AL21"/>
    <mergeCell ref="AO21:AP21"/>
    <mergeCell ref="AS21:AT2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8D056-6C47-410F-B46C-A8A91ED4E9D5}">
  <sheetPr>
    <tabColor theme="9" tint="-0.249977111117893"/>
  </sheetPr>
  <dimension ref="A1:AAF582"/>
  <sheetViews>
    <sheetView topLeftCell="K1" zoomScaleNormal="100" workbookViewId="0">
      <pane xSplit="1" topLeftCell="BK1" activePane="topRight" state="frozen"/>
      <selection activeCell="K6" sqref="K6"/>
      <selection pane="topRight" activeCell="V41" sqref="V41"/>
    </sheetView>
  </sheetViews>
  <sheetFormatPr baseColWidth="10" defaultColWidth="11.42578125" defaultRowHeight="22.5" customHeight="1" x14ac:dyDescent="0.25"/>
  <cols>
    <col min="1" max="1" width="22.42578125" style="88" hidden="1" customWidth="1"/>
    <col min="2" max="2" width="26.7109375" style="88" hidden="1" customWidth="1"/>
    <col min="3" max="3" width="23.85546875" style="88" hidden="1" customWidth="1"/>
    <col min="4" max="4" width="33.42578125" style="88" hidden="1" customWidth="1"/>
    <col min="5" max="5" width="43.42578125" style="88" hidden="1" customWidth="1"/>
    <col min="6" max="6" width="17.140625" style="88" hidden="1" customWidth="1"/>
    <col min="7" max="7" width="26.7109375" style="88" hidden="1" customWidth="1"/>
    <col min="8" max="8" width="16.7109375" style="88" hidden="1" customWidth="1"/>
    <col min="9" max="9" width="17.28515625" style="88" customWidth="1"/>
    <col min="10" max="10" width="16.85546875" style="88" customWidth="1"/>
    <col min="11" max="11" width="12.5703125" style="88" customWidth="1"/>
    <col min="12" max="12" width="29.5703125" style="88" customWidth="1"/>
    <col min="13" max="13" width="35.42578125" style="88" customWidth="1"/>
    <col min="14" max="14" width="12.28515625" style="88" customWidth="1"/>
    <col min="15" max="15" width="6.85546875" style="88" customWidth="1"/>
    <col min="16" max="16" width="11.28515625" style="88" customWidth="1"/>
    <col min="17" max="17" width="25.28515625" style="88" customWidth="1"/>
    <col min="18" max="18" width="34" style="88" customWidth="1"/>
    <col min="19" max="19" width="19.28515625" style="134" customWidth="1"/>
    <col min="20" max="20" width="11.7109375" style="88" customWidth="1"/>
    <col min="21" max="21" width="18" style="88" customWidth="1"/>
    <col min="22" max="22" width="17" style="137" customWidth="1"/>
    <col min="23" max="23" width="18.5703125" style="137" customWidth="1"/>
    <col min="24" max="24" width="20.7109375" style="88" customWidth="1"/>
    <col min="25" max="25" width="12.85546875" style="88" customWidth="1"/>
    <col min="26" max="26" width="7.140625" style="88" customWidth="1"/>
    <col min="27" max="27" width="20.7109375" style="88" customWidth="1"/>
    <col min="28" max="28" width="37.7109375" style="88" customWidth="1"/>
    <col min="29" max="29" width="11.5703125" style="88" customWidth="1"/>
    <col min="30" max="30" width="8.140625" style="88" customWidth="1"/>
    <col min="31" max="31" width="20.42578125" style="88" customWidth="1"/>
    <col min="32" max="32" width="43" style="134" customWidth="1"/>
    <col min="33" max="33" width="12.85546875" style="88" customWidth="1"/>
    <col min="34" max="34" width="7.140625" style="88" customWidth="1"/>
    <col min="35" max="35" width="20.7109375" style="88" customWidth="1"/>
    <col min="36" max="36" width="37.7109375" style="88" customWidth="1"/>
    <col min="37" max="37" width="11.5703125" style="88" customWidth="1"/>
    <col min="38" max="38" width="8.140625" style="88" customWidth="1"/>
    <col min="39" max="39" width="20.42578125" style="88" customWidth="1"/>
    <col min="40" max="40" width="43" style="134" customWidth="1"/>
    <col min="41" max="41" width="12.85546875" style="88" customWidth="1"/>
    <col min="42" max="42" width="7.140625" style="88" customWidth="1"/>
    <col min="43" max="43" width="20.7109375" style="88" customWidth="1"/>
    <col min="44" max="44" width="37.7109375" style="88" customWidth="1"/>
    <col min="45" max="45" width="11.5703125" style="88" customWidth="1"/>
    <col min="46" max="46" width="8.140625" style="88" customWidth="1"/>
    <col min="47" max="47" width="20.42578125" style="88" customWidth="1"/>
    <col min="48" max="48" width="43" style="134" customWidth="1"/>
    <col min="49" max="49" width="12.85546875" style="135" customWidth="1"/>
    <col min="50" max="50" width="7.140625" style="135" customWidth="1"/>
    <col min="51" max="51" width="17.28515625" style="135" customWidth="1"/>
    <col min="52" max="52" width="27.28515625" style="135" customWidth="1"/>
    <col min="53" max="53" width="11.5703125" style="135" customWidth="1"/>
    <col min="54" max="54" width="8.140625" style="135" customWidth="1"/>
    <col min="55" max="55" width="20.42578125" style="135" customWidth="1"/>
    <col min="56" max="56" width="36.42578125" style="136" customWidth="1"/>
    <col min="57" max="58" width="11.42578125" style="131" customWidth="1"/>
    <col min="59" max="59" width="16.5703125" style="131" customWidth="1"/>
    <col min="60" max="60" width="28.42578125" style="131" customWidth="1"/>
    <col min="61" max="62" width="11.42578125" style="20" customWidth="1"/>
    <col min="63" max="63" width="17.140625" style="20" customWidth="1"/>
    <col min="64" max="64" width="29" style="20" customWidth="1"/>
    <col min="65" max="67" width="11.42578125" style="20"/>
    <col min="68" max="68" width="26.85546875" style="20" customWidth="1"/>
    <col min="69" max="70" width="11.42578125" style="20"/>
    <col min="71" max="71" width="12.140625" style="20" customWidth="1"/>
    <col min="72" max="72" width="32" style="20" customWidth="1"/>
    <col min="73" max="708" width="11.42578125" style="20"/>
    <col min="709" max="16384" width="11.42578125" style="88"/>
  </cols>
  <sheetData>
    <row r="1" spans="1:708" s="1" customFormat="1" ht="15.75" customHeight="1" x14ac:dyDescent="0.25">
      <c r="C1" s="769" t="s">
        <v>0</v>
      </c>
      <c r="D1" s="769"/>
      <c r="E1" s="769"/>
      <c r="F1" s="769"/>
      <c r="G1" s="769"/>
      <c r="H1" s="769"/>
      <c r="I1" s="769"/>
      <c r="J1" s="769"/>
      <c r="K1" s="769"/>
      <c r="L1" s="769"/>
      <c r="M1" s="769"/>
      <c r="N1" s="769"/>
      <c r="O1" s="769"/>
      <c r="P1" s="769"/>
      <c r="Q1" s="769"/>
      <c r="R1" s="769"/>
      <c r="S1" s="769"/>
      <c r="T1" s="769"/>
      <c r="U1" s="769"/>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921"/>
      <c r="BS1" s="4" t="s">
        <v>1</v>
      </c>
      <c r="BT1" s="5">
        <v>43458</v>
      </c>
    </row>
    <row r="2" spans="1:708" s="1" customFormat="1" ht="30" customHeight="1" x14ac:dyDescent="0.25">
      <c r="C2" s="769"/>
      <c r="D2" s="769"/>
      <c r="E2" s="769"/>
      <c r="F2" s="769"/>
      <c r="G2" s="769"/>
      <c r="H2" s="769"/>
      <c r="I2" s="769"/>
      <c r="J2" s="769"/>
      <c r="K2" s="769"/>
      <c r="L2" s="769"/>
      <c r="M2" s="769"/>
      <c r="N2" s="769"/>
      <c r="O2" s="769"/>
      <c r="P2" s="769"/>
      <c r="Q2" s="769"/>
      <c r="R2" s="769"/>
      <c r="S2" s="769"/>
      <c r="T2" s="769"/>
      <c r="U2" s="769"/>
      <c r="V2" s="769"/>
      <c r="W2" s="769"/>
      <c r="X2" s="769"/>
      <c r="Y2" s="769"/>
      <c r="Z2" s="769"/>
      <c r="AA2" s="769"/>
      <c r="AB2" s="769"/>
      <c r="AC2" s="769"/>
      <c r="AD2" s="769"/>
      <c r="AE2" s="769"/>
      <c r="AF2" s="769"/>
      <c r="AG2" s="769"/>
      <c r="AH2" s="769"/>
      <c r="AI2" s="769"/>
      <c r="AJ2" s="769"/>
      <c r="AK2" s="769"/>
      <c r="AL2" s="769"/>
      <c r="AM2" s="769"/>
      <c r="AN2" s="769"/>
      <c r="AO2" s="769"/>
      <c r="AP2" s="769"/>
      <c r="AQ2" s="769"/>
      <c r="AR2" s="769"/>
      <c r="AS2" s="769"/>
      <c r="AT2" s="769"/>
      <c r="AU2" s="769"/>
      <c r="AV2" s="769"/>
      <c r="AW2" s="769"/>
      <c r="AX2" s="769"/>
      <c r="AY2" s="769"/>
      <c r="AZ2" s="769"/>
      <c r="BA2" s="769"/>
      <c r="BB2" s="769"/>
      <c r="BC2" s="769"/>
      <c r="BD2" s="769"/>
      <c r="BE2" s="769"/>
      <c r="BF2" s="769"/>
      <c r="BG2" s="769"/>
      <c r="BH2" s="769"/>
      <c r="BI2" s="769"/>
      <c r="BJ2" s="769"/>
      <c r="BK2" s="769"/>
      <c r="BL2" s="769"/>
      <c r="BM2" s="769"/>
      <c r="BN2" s="769"/>
      <c r="BO2" s="769"/>
      <c r="BP2" s="769"/>
      <c r="BQ2" s="769"/>
      <c r="BR2" s="921"/>
      <c r="BS2" s="4" t="s">
        <v>2</v>
      </c>
      <c r="BT2" s="4">
        <v>5</v>
      </c>
    </row>
    <row r="3" spans="1:708" s="1" customFormat="1" ht="29.25" customHeight="1" x14ac:dyDescent="0.25">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I3" s="769"/>
      <c r="AJ3" s="769"/>
      <c r="AK3" s="769"/>
      <c r="AL3" s="769"/>
      <c r="AM3" s="769"/>
      <c r="AN3" s="769"/>
      <c r="AO3" s="769"/>
      <c r="AP3" s="769"/>
      <c r="AQ3" s="769"/>
      <c r="AR3" s="769"/>
      <c r="AS3" s="769"/>
      <c r="AT3" s="769"/>
      <c r="AU3" s="769"/>
      <c r="AV3" s="769"/>
      <c r="AW3" s="769"/>
      <c r="AX3" s="769"/>
      <c r="AY3" s="769"/>
      <c r="AZ3" s="769"/>
      <c r="BA3" s="769"/>
      <c r="BB3" s="769"/>
      <c r="BC3" s="769"/>
      <c r="BD3" s="769"/>
      <c r="BE3" s="769"/>
      <c r="BF3" s="769"/>
      <c r="BG3" s="769"/>
      <c r="BH3" s="769"/>
      <c r="BI3" s="769"/>
      <c r="BJ3" s="769"/>
      <c r="BK3" s="769"/>
      <c r="BL3" s="769"/>
      <c r="BM3" s="769"/>
      <c r="BN3" s="769"/>
      <c r="BO3" s="769"/>
      <c r="BP3" s="769"/>
      <c r="BQ3" s="769"/>
      <c r="BR3" s="921"/>
      <c r="BS3" s="4" t="s">
        <v>3</v>
      </c>
      <c r="BT3" s="4" t="s">
        <v>4</v>
      </c>
    </row>
    <row r="4" spans="1:708" s="7" customFormat="1" ht="12.75" customHeight="1" x14ac:dyDescent="0.25">
      <c r="A4" s="770" t="s">
        <v>5</v>
      </c>
      <c r="B4" s="771"/>
      <c r="C4" s="771"/>
      <c r="D4" s="771"/>
      <c r="E4" s="771"/>
      <c r="F4" s="771"/>
      <c r="G4" s="771"/>
      <c r="H4" s="771"/>
      <c r="I4" s="771"/>
      <c r="J4" s="771"/>
      <c r="K4" s="772"/>
      <c r="L4" s="773" t="s">
        <v>6</v>
      </c>
      <c r="M4" s="774"/>
      <c r="N4" s="774"/>
      <c r="O4" s="774"/>
      <c r="P4" s="775"/>
      <c r="Q4" s="773" t="s">
        <v>7</v>
      </c>
      <c r="R4" s="774"/>
      <c r="S4" s="774"/>
      <c r="T4" s="774"/>
      <c r="U4" s="775"/>
      <c r="V4" s="779" t="s">
        <v>8</v>
      </c>
      <c r="W4" s="780"/>
      <c r="X4" s="783" t="s">
        <v>9</v>
      </c>
      <c r="Y4" s="776" t="s">
        <v>10</v>
      </c>
      <c r="Z4" s="777"/>
      <c r="AA4" s="777"/>
      <c r="AB4" s="777"/>
      <c r="AC4" s="777"/>
      <c r="AD4" s="777"/>
      <c r="AE4" s="777"/>
      <c r="AF4" s="778"/>
      <c r="AG4" s="776" t="s">
        <v>11</v>
      </c>
      <c r="AH4" s="777"/>
      <c r="AI4" s="777"/>
      <c r="AJ4" s="777"/>
      <c r="AK4" s="777"/>
      <c r="AL4" s="777"/>
      <c r="AM4" s="777"/>
      <c r="AN4" s="778"/>
      <c r="AO4" s="776" t="s">
        <v>12</v>
      </c>
      <c r="AP4" s="777"/>
      <c r="AQ4" s="777"/>
      <c r="AR4" s="777"/>
      <c r="AS4" s="777"/>
      <c r="AT4" s="777"/>
      <c r="AU4" s="777"/>
      <c r="AV4" s="778"/>
      <c r="AW4" s="776" t="s">
        <v>892</v>
      </c>
      <c r="AX4" s="777"/>
      <c r="AY4" s="777"/>
      <c r="AZ4" s="777"/>
      <c r="BA4" s="777"/>
      <c r="BB4" s="777"/>
      <c r="BC4" s="777"/>
      <c r="BD4" s="778"/>
      <c r="BE4" s="776" t="s">
        <v>893</v>
      </c>
      <c r="BF4" s="777"/>
      <c r="BG4" s="777"/>
      <c r="BH4" s="777"/>
      <c r="BI4" s="777"/>
      <c r="BJ4" s="777"/>
      <c r="BK4" s="777"/>
      <c r="BL4" s="778"/>
      <c r="BM4" s="776" t="s">
        <v>894</v>
      </c>
      <c r="BN4" s="777"/>
      <c r="BO4" s="777"/>
      <c r="BP4" s="777"/>
      <c r="BQ4" s="777"/>
      <c r="BR4" s="777"/>
      <c r="BS4" s="777"/>
      <c r="BT4" s="778"/>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c r="AAF4" s="6"/>
    </row>
    <row r="5" spans="1:708" s="533" customFormat="1" ht="15" x14ac:dyDescent="0.25">
      <c r="A5" s="785" t="s">
        <v>13</v>
      </c>
      <c r="B5" s="786"/>
      <c r="C5" s="787"/>
      <c r="D5" s="534" t="s">
        <v>14</v>
      </c>
      <c r="E5" s="785" t="s">
        <v>15</v>
      </c>
      <c r="F5" s="787"/>
      <c r="G5" s="785" t="s">
        <v>16</v>
      </c>
      <c r="H5" s="786"/>
      <c r="I5" s="787"/>
      <c r="J5" s="788" t="s">
        <v>17</v>
      </c>
      <c r="K5" s="788" t="s">
        <v>18</v>
      </c>
      <c r="L5" s="776"/>
      <c r="M5" s="777"/>
      <c r="N5" s="777"/>
      <c r="O5" s="777"/>
      <c r="P5" s="778"/>
      <c r="Q5" s="776"/>
      <c r="R5" s="777"/>
      <c r="S5" s="777"/>
      <c r="T5" s="777"/>
      <c r="U5" s="778"/>
      <c r="V5" s="781"/>
      <c r="W5" s="782"/>
      <c r="X5" s="784"/>
      <c r="Y5" s="785" t="s">
        <v>19</v>
      </c>
      <c r="Z5" s="786"/>
      <c r="AA5" s="786"/>
      <c r="AB5" s="790"/>
      <c r="AC5" s="791" t="s">
        <v>20</v>
      </c>
      <c r="AD5" s="786"/>
      <c r="AE5" s="786"/>
      <c r="AF5" s="787"/>
      <c r="AG5" s="785" t="s">
        <v>19</v>
      </c>
      <c r="AH5" s="786"/>
      <c r="AI5" s="786"/>
      <c r="AJ5" s="790"/>
      <c r="AK5" s="791" t="s">
        <v>20</v>
      </c>
      <c r="AL5" s="786"/>
      <c r="AM5" s="786"/>
      <c r="AN5" s="787"/>
      <c r="AO5" s="785" t="s">
        <v>19</v>
      </c>
      <c r="AP5" s="786"/>
      <c r="AQ5" s="786"/>
      <c r="AR5" s="790"/>
      <c r="AS5" s="791" t="s">
        <v>20</v>
      </c>
      <c r="AT5" s="786"/>
      <c r="AU5" s="786"/>
      <c r="AV5" s="787"/>
      <c r="AW5" s="785" t="s">
        <v>19</v>
      </c>
      <c r="AX5" s="786"/>
      <c r="AY5" s="786"/>
      <c r="AZ5" s="790"/>
      <c r="BA5" s="791" t="s">
        <v>20</v>
      </c>
      <c r="BB5" s="786"/>
      <c r="BC5" s="786"/>
      <c r="BD5" s="787"/>
      <c r="BE5" s="785" t="s">
        <v>19</v>
      </c>
      <c r="BF5" s="786"/>
      <c r="BG5" s="786"/>
      <c r="BH5" s="790"/>
      <c r="BI5" s="791" t="s">
        <v>20</v>
      </c>
      <c r="BJ5" s="786"/>
      <c r="BK5" s="786"/>
      <c r="BL5" s="787"/>
      <c r="BM5" s="785" t="s">
        <v>19</v>
      </c>
      <c r="BN5" s="786"/>
      <c r="BO5" s="786"/>
      <c r="BP5" s="790"/>
      <c r="BQ5" s="791" t="s">
        <v>20</v>
      </c>
      <c r="BR5" s="786"/>
      <c r="BS5" s="786"/>
      <c r="BT5" s="787"/>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row>
    <row r="6" spans="1:708" s="7" customFormat="1" ht="28.5" customHeight="1" x14ac:dyDescent="0.25">
      <c r="A6" s="10" t="s">
        <v>21</v>
      </c>
      <c r="B6" s="10" t="s">
        <v>22</v>
      </c>
      <c r="C6" s="535" t="s">
        <v>23</v>
      </c>
      <c r="D6" s="535" t="s">
        <v>24</v>
      </c>
      <c r="E6" s="535" t="s">
        <v>25</v>
      </c>
      <c r="F6" s="535" t="s">
        <v>26</v>
      </c>
      <c r="G6" s="535" t="s">
        <v>27</v>
      </c>
      <c r="H6" s="535" t="s">
        <v>28</v>
      </c>
      <c r="I6" s="535" t="s">
        <v>29</v>
      </c>
      <c r="J6" s="789"/>
      <c r="K6" s="789"/>
      <c r="L6" s="535" t="s">
        <v>6</v>
      </c>
      <c r="M6" s="535" t="s">
        <v>30</v>
      </c>
      <c r="N6" s="523" t="s">
        <v>31</v>
      </c>
      <c r="O6" s="523" t="s">
        <v>32</v>
      </c>
      <c r="P6" s="523" t="s">
        <v>33</v>
      </c>
      <c r="Q6" s="535" t="s">
        <v>7</v>
      </c>
      <c r="R6" s="535" t="s">
        <v>34</v>
      </c>
      <c r="S6" s="535" t="s">
        <v>31</v>
      </c>
      <c r="T6" s="535" t="s">
        <v>32</v>
      </c>
      <c r="U6" s="535" t="s">
        <v>35</v>
      </c>
      <c r="V6" s="13" t="s">
        <v>36</v>
      </c>
      <c r="W6" s="13" t="s">
        <v>37</v>
      </c>
      <c r="X6" s="535" t="s">
        <v>38</v>
      </c>
      <c r="Y6" s="535" t="s">
        <v>39</v>
      </c>
      <c r="Z6" s="535" t="s">
        <v>40</v>
      </c>
      <c r="AA6" s="535" t="s">
        <v>41</v>
      </c>
      <c r="AB6" s="535" t="s">
        <v>42</v>
      </c>
      <c r="AC6" s="535" t="s">
        <v>39</v>
      </c>
      <c r="AD6" s="535" t="s">
        <v>40</v>
      </c>
      <c r="AE6" s="535" t="s">
        <v>41</v>
      </c>
      <c r="AF6" s="535" t="s">
        <v>42</v>
      </c>
      <c r="AG6" s="523" t="s">
        <v>39</v>
      </c>
      <c r="AH6" s="523" t="s">
        <v>40</v>
      </c>
      <c r="AI6" s="523" t="s">
        <v>41</v>
      </c>
      <c r="AJ6" s="523" t="s">
        <v>42</v>
      </c>
      <c r="AK6" s="523" t="s">
        <v>39</v>
      </c>
      <c r="AL6" s="523" t="s">
        <v>40</v>
      </c>
      <c r="AM6" s="523" t="s">
        <v>41</v>
      </c>
      <c r="AN6" s="523" t="s">
        <v>42</v>
      </c>
      <c r="AO6" s="535" t="s">
        <v>39</v>
      </c>
      <c r="AP6" s="535" t="s">
        <v>40</v>
      </c>
      <c r="AQ6" s="535" t="s">
        <v>41</v>
      </c>
      <c r="AR6" s="535" t="s">
        <v>42</v>
      </c>
      <c r="AS6" s="535" t="s">
        <v>39</v>
      </c>
      <c r="AT6" s="535" t="s">
        <v>40</v>
      </c>
      <c r="AU6" s="535" t="s">
        <v>41</v>
      </c>
      <c r="AV6" s="535" t="s">
        <v>42</v>
      </c>
      <c r="AW6" s="535" t="s">
        <v>39</v>
      </c>
      <c r="AX6" s="535" t="s">
        <v>40</v>
      </c>
      <c r="AY6" s="535" t="s">
        <v>41</v>
      </c>
      <c r="AZ6" s="535" t="s">
        <v>42</v>
      </c>
      <c r="BA6" s="535" t="s">
        <v>39</v>
      </c>
      <c r="BB6" s="535" t="s">
        <v>40</v>
      </c>
      <c r="BC6" s="535" t="s">
        <v>41</v>
      </c>
      <c r="BD6" s="535" t="s">
        <v>42</v>
      </c>
      <c r="BE6" s="535" t="s">
        <v>39</v>
      </c>
      <c r="BF6" s="535" t="s">
        <v>40</v>
      </c>
      <c r="BG6" s="523" t="s">
        <v>41</v>
      </c>
      <c r="BH6" s="535" t="s">
        <v>42</v>
      </c>
      <c r="BI6" s="535" t="s">
        <v>39</v>
      </c>
      <c r="BJ6" s="535" t="s">
        <v>40</v>
      </c>
      <c r="BK6" s="523" t="s">
        <v>41</v>
      </c>
      <c r="BL6" s="535" t="s">
        <v>42</v>
      </c>
      <c r="BM6" s="535" t="s">
        <v>39</v>
      </c>
      <c r="BN6" s="535" t="s">
        <v>40</v>
      </c>
      <c r="BO6" s="523" t="s">
        <v>41</v>
      </c>
      <c r="BP6" s="535" t="s">
        <v>42</v>
      </c>
      <c r="BQ6" s="535" t="s">
        <v>39</v>
      </c>
      <c r="BR6" s="535" t="s">
        <v>40</v>
      </c>
      <c r="BS6" s="523" t="s">
        <v>41</v>
      </c>
      <c r="BT6" s="535" t="s">
        <v>42</v>
      </c>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row>
    <row r="7" spans="1:708" s="21" customFormat="1" ht="55.5" customHeight="1" x14ac:dyDescent="0.25">
      <c r="A7" s="704" t="s">
        <v>43</v>
      </c>
      <c r="B7" s="704" t="s">
        <v>44</v>
      </c>
      <c r="C7" s="704" t="s">
        <v>45</v>
      </c>
      <c r="D7" s="704" t="s">
        <v>46</v>
      </c>
      <c r="E7" s="714" t="s">
        <v>47</v>
      </c>
      <c r="F7" s="704" t="s">
        <v>48</v>
      </c>
      <c r="G7" s="704" t="s">
        <v>49</v>
      </c>
      <c r="H7" s="704" t="s">
        <v>50</v>
      </c>
      <c r="I7" s="704" t="s">
        <v>51</v>
      </c>
      <c r="J7" s="704" t="s">
        <v>1296</v>
      </c>
      <c r="K7" s="792" t="s">
        <v>1297</v>
      </c>
      <c r="L7" s="762" t="s">
        <v>54</v>
      </c>
      <c r="M7" s="762" t="s">
        <v>55</v>
      </c>
      <c r="N7" s="762" t="s">
        <v>56</v>
      </c>
      <c r="O7" s="762"/>
      <c r="P7" s="762">
        <v>480</v>
      </c>
      <c r="Q7" s="14" t="s">
        <v>57</v>
      </c>
      <c r="R7" s="14" t="s">
        <v>58</v>
      </c>
      <c r="S7" s="15" t="s">
        <v>56</v>
      </c>
      <c r="T7" s="15"/>
      <c r="U7" s="15">
        <v>139</v>
      </c>
      <c r="V7" s="917">
        <v>1499766157</v>
      </c>
      <c r="W7" s="1008">
        <v>3992820433</v>
      </c>
      <c r="X7" s="704" t="s">
        <v>59</v>
      </c>
      <c r="Y7" s="756">
        <v>41</v>
      </c>
      <c r="Z7" s="756">
        <f>+P7</f>
        <v>480</v>
      </c>
      <c r="AA7" s="758">
        <f>+Y7/Z7</f>
        <v>8.5416666666666669E-2</v>
      </c>
      <c r="AB7" s="760" t="s">
        <v>60</v>
      </c>
      <c r="AC7" s="15">
        <v>6</v>
      </c>
      <c r="AD7" s="15">
        <f>+U7</f>
        <v>139</v>
      </c>
      <c r="AE7" s="17">
        <f>+AC7/AD7</f>
        <v>4.3165467625899283E-2</v>
      </c>
      <c r="AF7" s="15" t="s">
        <v>61</v>
      </c>
      <c r="AG7" s="749">
        <v>77</v>
      </c>
      <c r="AH7" s="749">
        <v>480</v>
      </c>
      <c r="AI7" s="751">
        <v>0.16041666666666668</v>
      </c>
      <c r="AJ7" s="747" t="s">
        <v>62</v>
      </c>
      <c r="AK7" s="18">
        <v>17</v>
      </c>
      <c r="AL7" s="18">
        <v>139</v>
      </c>
      <c r="AM7" s="19">
        <v>0.1223021582733813</v>
      </c>
      <c r="AN7" s="18" t="s">
        <v>63</v>
      </c>
      <c r="AO7" s="749">
        <v>108</v>
      </c>
      <c r="AP7" s="749">
        <f>+P7</f>
        <v>480</v>
      </c>
      <c r="AQ7" s="751">
        <f>+AO7/AP7</f>
        <v>0.22500000000000001</v>
      </c>
      <c r="AR7" s="747" t="s">
        <v>64</v>
      </c>
      <c r="AS7" s="18">
        <v>20</v>
      </c>
      <c r="AT7" s="18">
        <f>+U7</f>
        <v>139</v>
      </c>
      <c r="AU7" s="19">
        <f>+AS7/AT7</f>
        <v>0.14388489208633093</v>
      </c>
      <c r="AV7" s="18" t="s">
        <v>65</v>
      </c>
      <c r="AW7" s="749">
        <f>+AW11+AW16+AW21+AW26+AW31</f>
        <v>129</v>
      </c>
      <c r="AX7" s="749">
        <f>+P7</f>
        <v>480</v>
      </c>
      <c r="AY7" s="751">
        <f>+AW7/AX7</f>
        <v>0.26874999999999999</v>
      </c>
      <c r="AZ7" s="747" t="s">
        <v>1298</v>
      </c>
      <c r="BA7" s="18">
        <f>+BA11+BA16++BA21+BA26+BA31</f>
        <v>20</v>
      </c>
      <c r="BB7" s="18">
        <f>+U7</f>
        <v>139</v>
      </c>
      <c r="BC7" s="19">
        <f>+BA7/BB7</f>
        <v>0.14388489208633093</v>
      </c>
      <c r="BD7" s="18" t="s">
        <v>1299</v>
      </c>
      <c r="BE7" s="749">
        <f>+BE11+BE16+BE21+BE26+BE31</f>
        <v>148</v>
      </c>
      <c r="BF7" s="749">
        <v>480</v>
      </c>
      <c r="BG7" s="751">
        <f>+BE7/BF7</f>
        <v>0.30833333333333335</v>
      </c>
      <c r="BH7" s="747" t="s">
        <v>1300</v>
      </c>
      <c r="BI7" s="18">
        <f>+BI11+BI16+BI21+BI31+BI26</f>
        <v>20</v>
      </c>
      <c r="BJ7" s="18">
        <v>139</v>
      </c>
      <c r="BK7" s="19">
        <f>+BI7/BJ7</f>
        <v>0.14388489208633093</v>
      </c>
      <c r="BL7" s="18" t="s">
        <v>1301</v>
      </c>
      <c r="BM7" s="749">
        <f>+BM11+BM16+BM21+BM26+BM31</f>
        <v>190</v>
      </c>
      <c r="BN7" s="749">
        <v>480</v>
      </c>
      <c r="BO7" s="751">
        <f>+BM7/BN7</f>
        <v>0.39583333333333331</v>
      </c>
      <c r="BP7" s="747" t="s">
        <v>1302</v>
      </c>
      <c r="BQ7" s="18">
        <f>+BQ11+BQ16+BQ21+BQ26+BQ31</f>
        <v>20</v>
      </c>
      <c r="BR7" s="18">
        <v>139</v>
      </c>
      <c r="BS7" s="19">
        <f>+BQ7/BR7</f>
        <v>0.14388489208633093</v>
      </c>
      <c r="BT7" s="18" t="s">
        <v>1303</v>
      </c>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c r="ZQ7" s="20"/>
      <c r="ZR7" s="20"/>
      <c r="ZS7" s="20"/>
      <c r="ZT7" s="20"/>
      <c r="ZU7" s="20"/>
      <c r="ZV7" s="20"/>
      <c r="ZW7" s="20"/>
      <c r="ZX7" s="20"/>
      <c r="ZY7" s="20"/>
      <c r="ZZ7" s="20"/>
      <c r="AAA7" s="20"/>
      <c r="AAB7" s="20"/>
      <c r="AAC7" s="20"/>
      <c r="AAD7" s="20"/>
      <c r="AAE7" s="20"/>
      <c r="AAF7" s="20"/>
    </row>
    <row r="8" spans="1:708" s="31" customFormat="1" ht="55.5" customHeight="1" x14ac:dyDescent="0.25">
      <c r="A8" s="920"/>
      <c r="B8" s="920"/>
      <c r="C8" s="920"/>
      <c r="D8" s="920"/>
      <c r="E8" s="715"/>
      <c r="F8" s="920"/>
      <c r="G8" s="920"/>
      <c r="H8" s="920"/>
      <c r="I8" s="920"/>
      <c r="J8" s="920"/>
      <c r="K8" s="798"/>
      <c r="L8" s="763"/>
      <c r="M8" s="763"/>
      <c r="N8" s="763"/>
      <c r="O8" s="763"/>
      <c r="P8" s="763"/>
      <c r="Q8" s="22" t="s">
        <v>66</v>
      </c>
      <c r="R8" s="22" t="s">
        <v>67</v>
      </c>
      <c r="S8" s="553" t="s">
        <v>56</v>
      </c>
      <c r="T8" s="553"/>
      <c r="U8" s="553">
        <v>436</v>
      </c>
      <c r="V8" s="918"/>
      <c r="W8" s="1009"/>
      <c r="X8" s="920"/>
      <c r="Y8" s="757"/>
      <c r="Z8" s="757"/>
      <c r="AA8" s="759"/>
      <c r="AB8" s="761"/>
      <c r="AC8" s="25">
        <v>24</v>
      </c>
      <c r="AD8" s="25">
        <f>+U8</f>
        <v>436</v>
      </c>
      <c r="AE8" s="26">
        <f>+AC8/AD8</f>
        <v>5.5045871559633031E-2</v>
      </c>
      <c r="AF8" s="556" t="s">
        <v>68</v>
      </c>
      <c r="AG8" s="750"/>
      <c r="AH8" s="750"/>
      <c r="AI8" s="752"/>
      <c r="AJ8" s="748"/>
      <c r="AK8" s="28">
        <v>52</v>
      </c>
      <c r="AL8" s="28">
        <v>436</v>
      </c>
      <c r="AM8" s="29">
        <v>0.11926605504587157</v>
      </c>
      <c r="AN8" s="30" t="s">
        <v>69</v>
      </c>
      <c r="AO8" s="750"/>
      <c r="AP8" s="750"/>
      <c r="AQ8" s="752"/>
      <c r="AR8" s="748"/>
      <c r="AS8" s="28">
        <v>77</v>
      </c>
      <c r="AT8" s="28">
        <f>+U8</f>
        <v>436</v>
      </c>
      <c r="AU8" s="29">
        <f>+AS8/AT8</f>
        <v>0.17660550458715596</v>
      </c>
      <c r="AV8" s="30" t="s">
        <v>70</v>
      </c>
      <c r="AW8" s="750"/>
      <c r="AX8" s="750"/>
      <c r="AY8" s="752"/>
      <c r="AZ8" s="748"/>
      <c r="BA8" s="28">
        <f>+BA12+BA17+BA22+BA27+BA32</f>
        <v>93</v>
      </c>
      <c r="BB8" s="28">
        <f>+U8</f>
        <v>436</v>
      </c>
      <c r="BC8" s="29">
        <f>+BA8/BB8</f>
        <v>0.21330275229357798</v>
      </c>
      <c r="BD8" s="30" t="s">
        <v>1304</v>
      </c>
      <c r="BE8" s="750"/>
      <c r="BF8" s="750"/>
      <c r="BG8" s="752"/>
      <c r="BH8" s="748"/>
      <c r="BI8" s="603">
        <f>+BI12+BI17+BI22+BI27+BI32</f>
        <v>116</v>
      </c>
      <c r="BJ8" s="28">
        <v>436</v>
      </c>
      <c r="BK8" s="29">
        <f>+BI8/BJ8</f>
        <v>0.26605504587155965</v>
      </c>
      <c r="BL8" s="30" t="s">
        <v>1305</v>
      </c>
      <c r="BM8" s="750"/>
      <c r="BN8" s="750"/>
      <c r="BO8" s="752"/>
      <c r="BP8" s="748"/>
      <c r="BQ8" s="603">
        <f>+BQ12+BQ17+BQ22+BQ27+BQ32</f>
        <v>153</v>
      </c>
      <c r="BR8" s="28">
        <v>436</v>
      </c>
      <c r="BS8" s="29">
        <f>+BQ8/BR8</f>
        <v>0.35091743119266056</v>
      </c>
      <c r="BT8" s="30" t="s">
        <v>1306</v>
      </c>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c r="ZQ8" s="20"/>
      <c r="ZR8" s="20"/>
      <c r="ZS8" s="20"/>
      <c r="ZT8" s="20"/>
      <c r="ZU8" s="20"/>
      <c r="ZV8" s="20"/>
      <c r="ZW8" s="20"/>
      <c r="ZX8" s="20"/>
      <c r="ZY8" s="20"/>
      <c r="ZZ8" s="20"/>
      <c r="AAA8" s="20"/>
      <c r="AAB8" s="20"/>
      <c r="AAC8" s="20"/>
      <c r="AAD8" s="20"/>
      <c r="AAE8" s="20"/>
      <c r="AAF8" s="20"/>
    </row>
    <row r="9" spans="1:708" s="21" customFormat="1" ht="87.75" customHeight="1" x14ac:dyDescent="0.25">
      <c r="A9" s="920"/>
      <c r="B9" s="920"/>
      <c r="C9" s="920"/>
      <c r="D9" s="920"/>
      <c r="E9" s="15" t="s">
        <v>71</v>
      </c>
      <c r="F9" s="920"/>
      <c r="G9" s="920"/>
      <c r="H9" s="920"/>
      <c r="I9" s="920"/>
      <c r="J9" s="920"/>
      <c r="K9" s="798"/>
      <c r="L9" s="15" t="s">
        <v>72</v>
      </c>
      <c r="M9" s="15" t="s">
        <v>73</v>
      </c>
      <c r="N9" s="15" t="s">
        <v>74</v>
      </c>
      <c r="O9" s="15"/>
      <c r="P9" s="32">
        <v>0.89</v>
      </c>
      <c r="Q9" s="33"/>
      <c r="R9" s="34"/>
      <c r="S9" s="35"/>
      <c r="T9" s="34"/>
      <c r="U9" s="36"/>
      <c r="V9" s="919"/>
      <c r="W9" s="1009"/>
      <c r="X9" s="705"/>
      <c r="Y9" s="557">
        <f>16/16</f>
        <v>1</v>
      </c>
      <c r="Z9" s="557">
        <f>+P9</f>
        <v>0.89</v>
      </c>
      <c r="AA9" s="557">
        <f>+Y9/Z9</f>
        <v>1.1235955056179776</v>
      </c>
      <c r="AB9" s="546" t="s">
        <v>75</v>
      </c>
      <c r="AC9" s="753"/>
      <c r="AD9" s="754"/>
      <c r="AE9" s="754"/>
      <c r="AF9" s="755"/>
      <c r="AG9" s="40">
        <v>1</v>
      </c>
      <c r="AH9" s="40">
        <v>0.89</v>
      </c>
      <c r="AI9" s="40">
        <v>1.1235955056179776</v>
      </c>
      <c r="AJ9" s="41" t="s">
        <v>76</v>
      </c>
      <c r="AK9" s="739"/>
      <c r="AL9" s="740"/>
      <c r="AM9" s="740"/>
      <c r="AN9" s="741"/>
      <c r="AO9" s="40">
        <f>39/39</f>
        <v>1</v>
      </c>
      <c r="AP9" s="40">
        <f>+P9</f>
        <v>0.89</v>
      </c>
      <c r="AQ9" s="40">
        <f>+AO9/AP9</f>
        <v>1.1235955056179776</v>
      </c>
      <c r="AR9" s="41" t="s">
        <v>77</v>
      </c>
      <c r="AS9" s="739"/>
      <c r="AT9" s="740"/>
      <c r="AU9" s="740"/>
      <c r="AV9" s="741"/>
      <c r="AW9" s="40">
        <f>(48/48)</f>
        <v>1</v>
      </c>
      <c r="AX9" s="40">
        <f>+P9</f>
        <v>0.89</v>
      </c>
      <c r="AY9" s="40">
        <f>+AW9/AX9</f>
        <v>1.1235955056179776</v>
      </c>
      <c r="AZ9" s="41" t="s">
        <v>1307</v>
      </c>
      <c r="BA9" s="739"/>
      <c r="BB9" s="740"/>
      <c r="BC9" s="740"/>
      <c r="BD9" s="741"/>
      <c r="BE9" s="40">
        <f>(52/52)</f>
        <v>1</v>
      </c>
      <c r="BF9" s="40">
        <v>0.89</v>
      </c>
      <c r="BG9" s="40">
        <f>+BE9/BF9</f>
        <v>1.1235955056179776</v>
      </c>
      <c r="BH9" s="41" t="s">
        <v>1308</v>
      </c>
      <c r="BI9" s="739"/>
      <c r="BJ9" s="740"/>
      <c r="BK9" s="740"/>
      <c r="BL9" s="741"/>
      <c r="BM9" s="40">
        <f>(57/57)</f>
        <v>1</v>
      </c>
      <c r="BN9" s="40">
        <v>0.89</v>
      </c>
      <c r="BO9" s="40">
        <f>+BM9/BN9</f>
        <v>1.1235955056179776</v>
      </c>
      <c r="BP9" s="41" t="s">
        <v>1309</v>
      </c>
      <c r="BQ9" s="739"/>
      <c r="BR9" s="740"/>
      <c r="BS9" s="740"/>
      <c r="BT9" s="741"/>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row>
    <row r="10" spans="1:708" s="21" customFormat="1" ht="57" customHeight="1" x14ac:dyDescent="0.25">
      <c r="A10" s="52"/>
      <c r="B10" s="52"/>
      <c r="C10" s="52"/>
      <c r="D10" s="52"/>
      <c r="E10" s="52"/>
      <c r="F10" s="52"/>
      <c r="G10" s="52"/>
      <c r="H10" s="52"/>
      <c r="I10" s="52"/>
      <c r="J10" s="52"/>
      <c r="K10" s="52"/>
      <c r="L10" s="52"/>
      <c r="M10" s="52"/>
      <c r="N10" s="52"/>
      <c r="O10" s="52"/>
      <c r="P10" s="53"/>
      <c r="Q10" s="52"/>
      <c r="R10" s="52"/>
      <c r="S10" s="53"/>
      <c r="T10" s="52"/>
      <c r="U10" s="53"/>
      <c r="V10" s="54"/>
      <c r="W10" s="1009"/>
      <c r="X10" s="52"/>
      <c r="Y10" s="657" t="s">
        <v>99</v>
      </c>
      <c r="Z10" s="657"/>
      <c r="AA10" s="55">
        <f>AVERAGE(AA7:AA9)</f>
        <v>0.60450608614232215</v>
      </c>
      <c r="AC10" s="685" t="s">
        <v>100</v>
      </c>
      <c r="AD10" s="685"/>
      <c r="AE10" s="57">
        <f>AVERAGE(AE7,AE8)</f>
        <v>4.910566959276616E-2</v>
      </c>
      <c r="AF10" s="58"/>
      <c r="AG10" s="658" t="s">
        <v>99</v>
      </c>
      <c r="AH10" s="658"/>
      <c r="AI10" s="55">
        <f>AVERAGE(AI7:AI9)</f>
        <v>0.64200608614232213</v>
      </c>
      <c r="AK10" s="686" t="s">
        <v>100</v>
      </c>
      <c r="AL10" s="686"/>
      <c r="AM10" s="55">
        <f>AVERAGE(AM7:AM8)</f>
        <v>0.12078410665962644</v>
      </c>
      <c r="AN10" s="62"/>
      <c r="AO10" s="657" t="s">
        <v>99</v>
      </c>
      <c r="AP10" s="657"/>
      <c r="AQ10" s="55">
        <f>AVERAGE(AQ7:AQ9)</f>
        <v>0.67429775280898885</v>
      </c>
      <c r="AS10" s="685" t="s">
        <v>100</v>
      </c>
      <c r="AT10" s="685"/>
      <c r="AU10" s="57">
        <f>AVERAGE(AU7,AU8)</f>
        <v>0.16024519833674344</v>
      </c>
      <c r="AV10" s="58"/>
      <c r="AW10" s="658" t="s">
        <v>99</v>
      </c>
      <c r="AX10" s="658"/>
      <c r="AY10" s="59">
        <f>AVERAGE(AY7:AY9)</f>
        <v>0.69617275280898883</v>
      </c>
      <c r="AZ10" s="604"/>
      <c r="BA10" s="686" t="s">
        <v>100</v>
      </c>
      <c r="BB10" s="686"/>
      <c r="BC10" s="61">
        <f>AVERAGE(BC7,BC8)</f>
        <v>0.17859382218995445</v>
      </c>
      <c r="BD10" s="62"/>
      <c r="BE10" s="658" t="s">
        <v>99</v>
      </c>
      <c r="BF10" s="658"/>
      <c r="BG10" s="59">
        <f>AVERAGE(BG7:BG9)</f>
        <v>0.71596441947565548</v>
      </c>
      <c r="BH10" s="604"/>
      <c r="BI10" s="685" t="s">
        <v>100</v>
      </c>
      <c r="BJ10" s="685"/>
      <c r="BK10" s="57">
        <f>AVERAGE(BK7,BK8)</f>
        <v>0.20496996897894529</v>
      </c>
      <c r="BL10" s="58"/>
      <c r="BM10" s="658" t="s">
        <v>99</v>
      </c>
      <c r="BN10" s="658"/>
      <c r="BO10" s="59">
        <f>AVERAGE(BO7:BO9)</f>
        <v>0.75971441947565543</v>
      </c>
      <c r="BP10" s="604"/>
      <c r="BQ10" s="686" t="s">
        <v>100</v>
      </c>
      <c r="BR10" s="686"/>
      <c r="BS10" s="61">
        <f>AVERAGE(BS7,BS8)</f>
        <v>0.24740116163949574</v>
      </c>
      <c r="BT10" s="62"/>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c r="ZQ10" s="20"/>
      <c r="ZR10" s="20"/>
      <c r="ZS10" s="20"/>
      <c r="ZT10" s="20"/>
      <c r="ZU10" s="20"/>
      <c r="ZV10" s="20"/>
      <c r="ZW10" s="20"/>
      <c r="ZX10" s="20"/>
      <c r="ZY10" s="20"/>
      <c r="ZZ10" s="20"/>
      <c r="AAA10" s="20"/>
      <c r="AAB10" s="20"/>
      <c r="AAC10" s="20"/>
      <c r="AAD10" s="20"/>
      <c r="AAE10" s="20"/>
      <c r="AAF10" s="20"/>
    </row>
    <row r="11" spans="1:708" s="69" customFormat="1" ht="54" customHeight="1" x14ac:dyDescent="0.25">
      <c r="A11" s="696" t="s">
        <v>43</v>
      </c>
      <c r="B11" s="696" t="s">
        <v>44</v>
      </c>
      <c r="C11" s="696" t="s">
        <v>45</v>
      </c>
      <c r="D11" s="762" t="s">
        <v>46</v>
      </c>
      <c r="E11" s="762" t="s">
        <v>47</v>
      </c>
      <c r="F11" s="762" t="s">
        <v>48</v>
      </c>
      <c r="G11" s="762" t="s">
        <v>49</v>
      </c>
      <c r="H11" s="762" t="s">
        <v>50</v>
      </c>
      <c r="I11" s="915" t="s">
        <v>51</v>
      </c>
      <c r="J11" s="792" t="s">
        <v>1296</v>
      </c>
      <c r="K11" s="792" t="s">
        <v>101</v>
      </c>
      <c r="L11" s="792" t="s">
        <v>54</v>
      </c>
      <c r="M11" s="792" t="s">
        <v>55</v>
      </c>
      <c r="N11" s="792" t="s">
        <v>56</v>
      </c>
      <c r="O11" s="792"/>
      <c r="P11" s="792">
        <v>80</v>
      </c>
      <c r="Q11" s="63" t="s">
        <v>57</v>
      </c>
      <c r="R11" s="63" t="s">
        <v>58</v>
      </c>
      <c r="S11" s="524" t="s">
        <v>56</v>
      </c>
      <c r="T11" s="524">
        <v>34</v>
      </c>
      <c r="U11" s="524">
        <v>45</v>
      </c>
      <c r="V11" s="905">
        <v>908658510</v>
      </c>
      <c r="W11" s="1009"/>
      <c r="X11" s="542" t="s">
        <v>102</v>
      </c>
      <c r="Y11" s="690">
        <v>3</v>
      </c>
      <c r="Z11" s="690">
        <f>+P11</f>
        <v>80</v>
      </c>
      <c r="AA11" s="700">
        <f>Y11/Z11</f>
        <v>3.7499999999999999E-2</v>
      </c>
      <c r="AB11" s="690" t="s">
        <v>103</v>
      </c>
      <c r="AC11" s="524">
        <v>3</v>
      </c>
      <c r="AD11" s="524">
        <f t="shared" ref="AD11:AD14" si="0">+U11</f>
        <v>45</v>
      </c>
      <c r="AE11" s="525">
        <f>AC11/AD11</f>
        <v>6.6666666666666666E-2</v>
      </c>
      <c r="AF11" s="524" t="s">
        <v>104</v>
      </c>
      <c r="AG11" s="689">
        <v>8</v>
      </c>
      <c r="AH11" s="689">
        <v>80</v>
      </c>
      <c r="AI11" s="692">
        <v>0.1</v>
      </c>
      <c r="AJ11" s="689" t="s">
        <v>105</v>
      </c>
      <c r="AK11" s="539">
        <v>3</v>
      </c>
      <c r="AL11" s="539">
        <v>45</v>
      </c>
      <c r="AM11" s="541">
        <v>6.6666666666666666E-2</v>
      </c>
      <c r="AN11" s="539" t="s">
        <v>106</v>
      </c>
      <c r="AO11" s="689">
        <v>11</v>
      </c>
      <c r="AP11" s="689">
        <f>+P11</f>
        <v>80</v>
      </c>
      <c r="AQ11" s="692">
        <f>AO11/AP11</f>
        <v>0.13750000000000001</v>
      </c>
      <c r="AR11" s="689" t="s">
        <v>107</v>
      </c>
      <c r="AS11" s="539">
        <v>3</v>
      </c>
      <c r="AT11" s="539">
        <f t="shared" ref="AT11:AT14" si="1">+U11</f>
        <v>45</v>
      </c>
      <c r="AU11" s="541">
        <f>AS11/AT11</f>
        <v>6.6666666666666666E-2</v>
      </c>
      <c r="AV11" s="539" t="s">
        <v>108</v>
      </c>
      <c r="AW11" s="689">
        <v>14</v>
      </c>
      <c r="AX11" s="689">
        <f>+P11</f>
        <v>80</v>
      </c>
      <c r="AY11" s="692">
        <f>AW11/AX11</f>
        <v>0.17499999999999999</v>
      </c>
      <c r="AZ11" s="689" t="s">
        <v>1310</v>
      </c>
      <c r="BA11" s="539">
        <v>3</v>
      </c>
      <c r="BB11" s="539">
        <f>+U11</f>
        <v>45</v>
      </c>
      <c r="BC11" s="541">
        <f>BA11/BB11</f>
        <v>6.6666666666666666E-2</v>
      </c>
      <c r="BD11" s="539" t="s">
        <v>1311</v>
      </c>
      <c r="BE11" s="689">
        <v>16</v>
      </c>
      <c r="BF11" s="689">
        <v>80</v>
      </c>
      <c r="BG11" s="692">
        <f>BE11/BF11</f>
        <v>0.2</v>
      </c>
      <c r="BH11" s="689" t="s">
        <v>1312</v>
      </c>
      <c r="BI11" s="539">
        <v>3</v>
      </c>
      <c r="BJ11" s="539">
        <v>45</v>
      </c>
      <c r="BK11" s="541">
        <f>BI11/BJ11</f>
        <v>6.6666666666666666E-2</v>
      </c>
      <c r="BL11" s="539" t="s">
        <v>1313</v>
      </c>
      <c r="BM11" s="689">
        <v>16</v>
      </c>
      <c r="BN11" s="689">
        <v>80</v>
      </c>
      <c r="BO11" s="692">
        <f>BM11/BN11</f>
        <v>0.2</v>
      </c>
      <c r="BP11" s="689" t="s">
        <v>1314</v>
      </c>
      <c r="BQ11" s="539">
        <v>3</v>
      </c>
      <c r="BR11" s="539">
        <v>45</v>
      </c>
      <c r="BS11" s="541">
        <f>BQ11/BR11</f>
        <v>6.6666666666666666E-2</v>
      </c>
      <c r="BT11" s="539" t="s">
        <v>1315</v>
      </c>
      <c r="BU11" s="68"/>
      <c r="BV11" s="68"/>
      <c r="BW11" s="68"/>
      <c r="BX11" s="68"/>
      <c r="BY11" s="68"/>
      <c r="BZ11" s="68"/>
      <c r="CA11" s="68"/>
      <c r="CB11" s="68"/>
      <c r="CC11" s="68"/>
      <c r="CD11" s="68"/>
      <c r="CE11" s="68"/>
      <c r="CF11" s="68"/>
      <c r="CG11" s="68"/>
      <c r="CH11" s="68"/>
      <c r="CI11" s="68"/>
      <c r="CJ11" s="68"/>
      <c r="CK11" s="68"/>
      <c r="CL11" s="68"/>
      <c r="CM11" s="68"/>
      <c r="CN11" s="68"/>
      <c r="CO11" s="68"/>
      <c r="CP11" s="68"/>
      <c r="CQ11" s="68"/>
      <c r="CR11" s="68"/>
      <c r="CS11" s="68"/>
      <c r="CT11" s="68"/>
      <c r="CU11" s="68"/>
      <c r="CV11" s="68"/>
      <c r="CW11" s="68"/>
      <c r="CX11" s="68"/>
      <c r="CY11" s="68"/>
      <c r="CZ11" s="68"/>
      <c r="DA11" s="68"/>
      <c r="DB11" s="68"/>
      <c r="DC11" s="68"/>
      <c r="DD11" s="68"/>
      <c r="DE11" s="68"/>
      <c r="DF11" s="68"/>
      <c r="DG11" s="68"/>
      <c r="DH11" s="68"/>
      <c r="DI11" s="68"/>
      <c r="DJ11" s="68"/>
      <c r="DK11" s="68"/>
      <c r="DL11" s="68"/>
      <c r="DM11" s="68"/>
      <c r="DN11" s="68"/>
      <c r="DO11" s="68"/>
      <c r="DP11" s="68"/>
      <c r="DQ11" s="68"/>
      <c r="DR11" s="68"/>
      <c r="DS11" s="68"/>
      <c r="DT11" s="68"/>
      <c r="DU11" s="68"/>
      <c r="DV11" s="68"/>
      <c r="DW11" s="68"/>
      <c r="DX11" s="68"/>
      <c r="DY11" s="68"/>
      <c r="DZ11" s="68"/>
      <c r="EA11" s="68"/>
      <c r="EB11" s="68"/>
      <c r="EC11" s="68"/>
      <c r="ED11" s="68"/>
      <c r="EE11" s="68"/>
      <c r="EF11" s="68"/>
      <c r="EG11" s="68"/>
      <c r="EH11" s="68"/>
      <c r="EI11" s="68"/>
      <c r="EJ11" s="68"/>
      <c r="EK11" s="68"/>
      <c r="EL11" s="68"/>
      <c r="EM11" s="68"/>
      <c r="EN11" s="68"/>
      <c r="EO11" s="68"/>
      <c r="EP11" s="68"/>
      <c r="EQ11" s="68"/>
      <c r="ER11" s="68"/>
      <c r="ES11" s="68"/>
      <c r="ET11" s="68"/>
      <c r="EU11" s="68"/>
      <c r="EV11" s="68"/>
      <c r="EW11" s="68"/>
      <c r="EX11" s="68"/>
      <c r="EY11" s="68"/>
      <c r="EZ11" s="68"/>
      <c r="FA11" s="68"/>
      <c r="FB11" s="68"/>
      <c r="FC11" s="68"/>
      <c r="FD11" s="68"/>
      <c r="FE11" s="68"/>
      <c r="FF11" s="68"/>
      <c r="FG11" s="68"/>
      <c r="FH11" s="68"/>
      <c r="FI11" s="68"/>
      <c r="FJ11" s="68"/>
      <c r="FK11" s="68"/>
      <c r="FL11" s="68"/>
      <c r="FM11" s="68"/>
      <c r="FN11" s="68"/>
      <c r="FO11" s="68"/>
      <c r="FP11" s="68"/>
      <c r="FQ11" s="68"/>
      <c r="FR11" s="68"/>
      <c r="FS11" s="68"/>
      <c r="FT11" s="68"/>
      <c r="FU11" s="68"/>
      <c r="FV11" s="68"/>
      <c r="FW11" s="68"/>
      <c r="FX11" s="68"/>
      <c r="FY11" s="68"/>
      <c r="FZ11" s="68"/>
      <c r="GA11" s="68"/>
      <c r="GB11" s="68"/>
      <c r="GC11" s="68"/>
      <c r="GD11" s="68"/>
      <c r="GE11" s="68"/>
      <c r="GF11" s="68"/>
      <c r="GG11" s="68"/>
      <c r="GH11" s="68"/>
      <c r="GI11" s="68"/>
      <c r="GJ11" s="68"/>
      <c r="GK11" s="68"/>
      <c r="GL11" s="68"/>
      <c r="GM11" s="68"/>
      <c r="GN11" s="68"/>
      <c r="GO11" s="68"/>
      <c r="GP11" s="68"/>
      <c r="GQ11" s="68"/>
      <c r="GR11" s="68"/>
      <c r="GS11" s="68"/>
      <c r="GT11" s="68"/>
      <c r="GU11" s="68"/>
      <c r="GV11" s="68"/>
      <c r="GW11" s="68"/>
      <c r="GX11" s="68"/>
      <c r="GY11" s="68"/>
      <c r="GZ11" s="68"/>
      <c r="HA11" s="68"/>
      <c r="HB11" s="68"/>
      <c r="HC11" s="68"/>
      <c r="HD11" s="68"/>
      <c r="HE11" s="68"/>
      <c r="HF11" s="68"/>
      <c r="HG11" s="68"/>
      <c r="HH11" s="68"/>
      <c r="HI11" s="68"/>
      <c r="HJ11" s="68"/>
      <c r="HK11" s="68"/>
      <c r="HL11" s="68"/>
      <c r="HM11" s="68"/>
      <c r="HN11" s="68"/>
      <c r="HO11" s="68"/>
      <c r="HP11" s="68"/>
      <c r="HQ11" s="68"/>
      <c r="HR11" s="68"/>
      <c r="HS11" s="68"/>
      <c r="HT11" s="68"/>
      <c r="HU11" s="68"/>
      <c r="HV11" s="68"/>
      <c r="HW11" s="68"/>
      <c r="HX11" s="68"/>
      <c r="HY11" s="68"/>
      <c r="HZ11" s="68"/>
      <c r="IA11" s="68"/>
      <c r="IB11" s="68"/>
      <c r="IC11" s="68"/>
      <c r="ID11" s="68"/>
      <c r="IE11" s="68"/>
      <c r="IF11" s="68"/>
      <c r="IG11" s="68"/>
      <c r="IH11" s="68"/>
      <c r="II11" s="68"/>
      <c r="IJ11" s="68"/>
      <c r="IK11" s="68"/>
      <c r="IL11" s="68"/>
      <c r="IM11" s="68"/>
      <c r="IN11" s="68"/>
      <c r="IO11" s="68"/>
      <c r="IP11" s="68"/>
      <c r="IQ11" s="68"/>
      <c r="IR11" s="68"/>
      <c r="IS11" s="68"/>
      <c r="IT11" s="68"/>
      <c r="IU11" s="68"/>
      <c r="IV11" s="68"/>
      <c r="IW11" s="68"/>
      <c r="IX11" s="68"/>
      <c r="IY11" s="68"/>
      <c r="IZ11" s="68"/>
      <c r="JA11" s="68"/>
      <c r="JB11" s="68"/>
      <c r="JC11" s="68"/>
      <c r="JD11" s="68"/>
      <c r="JE11" s="68"/>
      <c r="JF11" s="68"/>
      <c r="JG11" s="68"/>
      <c r="JH11" s="68"/>
      <c r="JI11" s="68"/>
      <c r="JJ11" s="68"/>
      <c r="JK11" s="68"/>
      <c r="JL11" s="68"/>
      <c r="JM11" s="68"/>
      <c r="JN11" s="68"/>
      <c r="JO11" s="68"/>
      <c r="JP11" s="68"/>
      <c r="JQ11" s="68"/>
      <c r="JR11" s="68"/>
      <c r="JS11" s="68"/>
      <c r="JT11" s="68"/>
      <c r="JU11" s="68"/>
      <c r="JV11" s="68"/>
      <c r="JW11" s="68"/>
      <c r="JX11" s="68"/>
      <c r="JY11" s="68"/>
      <c r="JZ11" s="68"/>
      <c r="KA11" s="68"/>
      <c r="KB11" s="68"/>
      <c r="KC11" s="68"/>
      <c r="KD11" s="68"/>
      <c r="KE11" s="68"/>
      <c r="KF11" s="68"/>
      <c r="KG11" s="68"/>
      <c r="KH11" s="68"/>
      <c r="KI11" s="68"/>
      <c r="KJ11" s="68"/>
      <c r="KK11" s="68"/>
      <c r="KL11" s="68"/>
      <c r="KM11" s="68"/>
      <c r="KN11" s="68"/>
      <c r="KO11" s="68"/>
      <c r="KP11" s="68"/>
      <c r="KQ11" s="68"/>
      <c r="KR11" s="68"/>
      <c r="KS11" s="68"/>
      <c r="KT11" s="68"/>
      <c r="KU11" s="68"/>
      <c r="KV11" s="68"/>
      <c r="KW11" s="68"/>
      <c r="KX11" s="68"/>
      <c r="KY11" s="68"/>
      <c r="KZ11" s="68"/>
      <c r="LA11" s="68"/>
      <c r="LB11" s="68"/>
      <c r="LC11" s="68"/>
      <c r="LD11" s="68"/>
      <c r="LE11" s="68"/>
      <c r="LF11" s="68"/>
      <c r="LG11" s="68"/>
      <c r="LH11" s="68"/>
      <c r="LI11" s="68"/>
      <c r="LJ11" s="68"/>
      <c r="LK11" s="68"/>
      <c r="LL11" s="68"/>
      <c r="LM11" s="68"/>
      <c r="LN11" s="68"/>
      <c r="LO11" s="68"/>
      <c r="LP11" s="68"/>
      <c r="LQ11" s="68"/>
      <c r="LR11" s="68"/>
      <c r="LS11" s="68"/>
      <c r="LT11" s="68"/>
      <c r="LU11" s="68"/>
      <c r="LV11" s="68"/>
      <c r="LW11" s="68"/>
      <c r="LX11" s="68"/>
      <c r="LY11" s="68"/>
      <c r="LZ11" s="68"/>
      <c r="MA11" s="68"/>
      <c r="MB11" s="68"/>
      <c r="MC11" s="68"/>
      <c r="MD11" s="68"/>
      <c r="ME11" s="68"/>
      <c r="MF11" s="68"/>
      <c r="MG11" s="68"/>
      <c r="MH11" s="68"/>
      <c r="MI11" s="68"/>
      <c r="MJ11" s="68"/>
      <c r="MK11" s="68"/>
      <c r="ML11" s="68"/>
      <c r="MM11" s="68"/>
      <c r="MN11" s="68"/>
      <c r="MO11" s="68"/>
      <c r="MP11" s="68"/>
      <c r="MQ11" s="68"/>
      <c r="MR11" s="68"/>
      <c r="MS11" s="68"/>
      <c r="MT11" s="68"/>
      <c r="MU11" s="68"/>
      <c r="MV11" s="68"/>
      <c r="MW11" s="68"/>
      <c r="MX11" s="68"/>
      <c r="MY11" s="68"/>
      <c r="MZ11" s="68"/>
      <c r="NA11" s="68"/>
      <c r="NB11" s="68"/>
      <c r="NC11" s="68"/>
      <c r="ND11" s="68"/>
      <c r="NE11" s="68"/>
      <c r="NF11" s="68"/>
      <c r="NG11" s="68"/>
      <c r="NH11" s="68"/>
      <c r="NI11" s="68"/>
      <c r="NJ11" s="68"/>
      <c r="NK11" s="68"/>
      <c r="NL11" s="68"/>
      <c r="NM11" s="68"/>
      <c r="NN11" s="68"/>
      <c r="NO11" s="68"/>
      <c r="NP11" s="68"/>
      <c r="NQ11" s="68"/>
      <c r="NR11" s="68"/>
      <c r="NS11" s="68"/>
      <c r="NT11" s="68"/>
      <c r="NU11" s="68"/>
      <c r="NV11" s="68"/>
      <c r="NW11" s="68"/>
      <c r="NX11" s="68"/>
      <c r="NY11" s="68"/>
      <c r="NZ11" s="68"/>
      <c r="OA11" s="68"/>
      <c r="OB11" s="68"/>
      <c r="OC11" s="68"/>
      <c r="OD11" s="68"/>
      <c r="OE11" s="68"/>
      <c r="OF11" s="68"/>
      <c r="OG11" s="68"/>
      <c r="OH11" s="68"/>
      <c r="OI11" s="68"/>
      <c r="OJ11" s="68"/>
      <c r="OK11" s="68"/>
      <c r="OL11" s="68"/>
      <c r="OM11" s="68"/>
      <c r="ON11" s="68"/>
      <c r="OO11" s="68"/>
      <c r="OP11" s="68"/>
      <c r="OQ11" s="68"/>
      <c r="OR11" s="68"/>
      <c r="OS11" s="68"/>
      <c r="OT11" s="68"/>
      <c r="OU11" s="68"/>
      <c r="OV11" s="68"/>
      <c r="OW11" s="68"/>
      <c r="OX11" s="68"/>
      <c r="OY11" s="68"/>
      <c r="OZ11" s="68"/>
      <c r="PA11" s="68"/>
      <c r="PB11" s="68"/>
      <c r="PC11" s="68"/>
      <c r="PD11" s="68"/>
      <c r="PE11" s="68"/>
      <c r="PF11" s="68"/>
      <c r="PG11" s="68"/>
      <c r="PH11" s="68"/>
      <c r="PI11" s="68"/>
      <c r="PJ11" s="68"/>
      <c r="PK11" s="68"/>
      <c r="PL11" s="68"/>
      <c r="PM11" s="68"/>
      <c r="PN11" s="68"/>
      <c r="PO11" s="68"/>
      <c r="PP11" s="68"/>
      <c r="PQ11" s="68"/>
      <c r="PR11" s="68"/>
      <c r="PS11" s="68"/>
      <c r="PT11" s="68"/>
      <c r="PU11" s="68"/>
      <c r="PV11" s="68"/>
      <c r="PW11" s="68"/>
      <c r="PX11" s="68"/>
      <c r="PY11" s="68"/>
      <c r="PZ11" s="68"/>
      <c r="QA11" s="68"/>
      <c r="QB11" s="68"/>
      <c r="QC11" s="68"/>
      <c r="QD11" s="68"/>
      <c r="QE11" s="68"/>
      <c r="QF11" s="68"/>
      <c r="QG11" s="68"/>
      <c r="QH11" s="68"/>
      <c r="QI11" s="68"/>
      <c r="QJ11" s="68"/>
      <c r="QK11" s="68"/>
      <c r="QL11" s="68"/>
      <c r="QM11" s="68"/>
      <c r="QN11" s="68"/>
      <c r="QO11" s="68"/>
      <c r="QP11" s="68"/>
      <c r="QQ11" s="68"/>
      <c r="QR11" s="68"/>
      <c r="QS11" s="68"/>
      <c r="QT11" s="68"/>
      <c r="QU11" s="68"/>
      <c r="QV11" s="68"/>
      <c r="QW11" s="68"/>
      <c r="QX11" s="68"/>
      <c r="QY11" s="68"/>
      <c r="QZ11" s="68"/>
      <c r="RA11" s="68"/>
      <c r="RB11" s="68"/>
      <c r="RC11" s="68"/>
      <c r="RD11" s="68"/>
      <c r="RE11" s="68"/>
      <c r="RF11" s="68"/>
      <c r="RG11" s="68"/>
      <c r="RH11" s="68"/>
      <c r="RI11" s="68"/>
      <c r="RJ11" s="68"/>
      <c r="RK11" s="68"/>
      <c r="RL11" s="68"/>
      <c r="RM11" s="68"/>
      <c r="RN11" s="68"/>
      <c r="RO11" s="68"/>
      <c r="RP11" s="68"/>
      <c r="RQ11" s="68"/>
      <c r="RR11" s="68"/>
      <c r="RS11" s="68"/>
      <c r="RT11" s="68"/>
      <c r="RU11" s="68"/>
      <c r="RV11" s="68"/>
      <c r="RW11" s="68"/>
      <c r="RX11" s="68"/>
      <c r="RY11" s="68"/>
      <c r="RZ11" s="68"/>
      <c r="SA11" s="68"/>
      <c r="SB11" s="68"/>
      <c r="SC11" s="68"/>
      <c r="SD11" s="68"/>
      <c r="SE11" s="68"/>
      <c r="SF11" s="68"/>
      <c r="SG11" s="68"/>
      <c r="SH11" s="68"/>
      <c r="SI11" s="68"/>
      <c r="SJ11" s="68"/>
      <c r="SK11" s="68"/>
      <c r="SL11" s="68"/>
      <c r="SM11" s="68"/>
      <c r="SN11" s="68"/>
      <c r="SO11" s="68"/>
      <c r="SP11" s="68"/>
      <c r="SQ11" s="68"/>
      <c r="SR11" s="68"/>
      <c r="SS11" s="68"/>
      <c r="ST11" s="68"/>
      <c r="SU11" s="68"/>
      <c r="SV11" s="68"/>
      <c r="SW11" s="68"/>
      <c r="SX11" s="68"/>
      <c r="SY11" s="68"/>
      <c r="SZ11" s="68"/>
      <c r="TA11" s="68"/>
      <c r="TB11" s="68"/>
      <c r="TC11" s="68"/>
      <c r="TD11" s="68"/>
      <c r="TE11" s="68"/>
      <c r="TF11" s="68"/>
      <c r="TG11" s="68"/>
      <c r="TH11" s="68"/>
      <c r="TI11" s="68"/>
      <c r="TJ11" s="68"/>
      <c r="TK11" s="68"/>
      <c r="TL11" s="68"/>
      <c r="TM11" s="68"/>
      <c r="TN11" s="68"/>
      <c r="TO11" s="68"/>
      <c r="TP11" s="68"/>
      <c r="TQ11" s="68"/>
      <c r="TR11" s="68"/>
      <c r="TS11" s="68"/>
      <c r="TT11" s="68"/>
      <c r="TU11" s="68"/>
      <c r="TV11" s="68"/>
      <c r="TW11" s="68"/>
      <c r="TX11" s="68"/>
      <c r="TY11" s="68"/>
      <c r="TZ11" s="68"/>
      <c r="UA11" s="68"/>
      <c r="UB11" s="68"/>
      <c r="UC11" s="68"/>
      <c r="UD11" s="68"/>
      <c r="UE11" s="68"/>
      <c r="UF11" s="68"/>
      <c r="UG11" s="68"/>
      <c r="UH11" s="68"/>
      <c r="UI11" s="68"/>
      <c r="UJ11" s="68"/>
      <c r="UK11" s="68"/>
      <c r="UL11" s="68"/>
      <c r="UM11" s="68"/>
      <c r="UN11" s="68"/>
      <c r="UO11" s="68"/>
      <c r="UP11" s="68"/>
      <c r="UQ11" s="68"/>
      <c r="UR11" s="68"/>
      <c r="US11" s="68"/>
      <c r="UT11" s="68"/>
      <c r="UU11" s="68"/>
      <c r="UV11" s="68"/>
      <c r="UW11" s="68"/>
      <c r="UX11" s="68"/>
      <c r="UY11" s="68"/>
      <c r="UZ11" s="68"/>
      <c r="VA11" s="68"/>
      <c r="VB11" s="68"/>
      <c r="VC11" s="68"/>
      <c r="VD11" s="68"/>
      <c r="VE11" s="68"/>
      <c r="VF11" s="68"/>
      <c r="VG11" s="68"/>
      <c r="VH11" s="68"/>
      <c r="VI11" s="68"/>
      <c r="VJ11" s="68"/>
      <c r="VK11" s="68"/>
      <c r="VL11" s="68"/>
      <c r="VM11" s="68"/>
      <c r="VN11" s="68"/>
      <c r="VO11" s="68"/>
      <c r="VP11" s="68"/>
      <c r="VQ11" s="68"/>
      <c r="VR11" s="68"/>
      <c r="VS11" s="68"/>
      <c r="VT11" s="68"/>
      <c r="VU11" s="68"/>
      <c r="VV11" s="68"/>
      <c r="VW11" s="68"/>
      <c r="VX11" s="68"/>
      <c r="VY11" s="68"/>
      <c r="VZ11" s="68"/>
      <c r="WA11" s="68"/>
      <c r="WB11" s="68"/>
      <c r="WC11" s="68"/>
      <c r="WD11" s="68"/>
      <c r="WE11" s="68"/>
      <c r="WF11" s="68"/>
      <c r="WG11" s="68"/>
      <c r="WH11" s="68"/>
      <c r="WI11" s="68"/>
      <c r="WJ11" s="68"/>
      <c r="WK11" s="68"/>
      <c r="WL11" s="68"/>
      <c r="WM11" s="68"/>
      <c r="WN11" s="68"/>
      <c r="WO11" s="68"/>
      <c r="WP11" s="68"/>
      <c r="WQ11" s="68"/>
      <c r="WR11" s="68"/>
      <c r="WS11" s="68"/>
      <c r="WT11" s="68"/>
      <c r="WU11" s="68"/>
      <c r="WV11" s="68"/>
      <c r="WW11" s="68"/>
      <c r="WX11" s="68"/>
      <c r="WY11" s="68"/>
      <c r="WZ11" s="68"/>
      <c r="XA11" s="68"/>
      <c r="XB11" s="68"/>
      <c r="XC11" s="68"/>
      <c r="XD11" s="68"/>
      <c r="XE11" s="68"/>
      <c r="XF11" s="68"/>
      <c r="XG11" s="68"/>
      <c r="XH11" s="68"/>
      <c r="XI11" s="68"/>
      <c r="XJ11" s="68"/>
      <c r="XK11" s="68"/>
      <c r="XL11" s="68"/>
      <c r="XM11" s="68"/>
      <c r="XN11" s="68"/>
      <c r="XO11" s="68"/>
      <c r="XP11" s="68"/>
      <c r="XQ11" s="68"/>
      <c r="XR11" s="68"/>
      <c r="XS11" s="68"/>
      <c r="XT11" s="68"/>
      <c r="XU11" s="68"/>
      <c r="XV11" s="68"/>
      <c r="XW11" s="68"/>
      <c r="XX11" s="68"/>
      <c r="XY11" s="68"/>
      <c r="XZ11" s="68"/>
      <c r="YA11" s="68"/>
      <c r="YB11" s="68"/>
      <c r="YC11" s="68"/>
      <c r="YD11" s="68"/>
      <c r="YE11" s="68"/>
      <c r="YF11" s="68"/>
      <c r="YG11" s="68"/>
      <c r="YH11" s="68"/>
      <c r="YI11" s="68"/>
      <c r="YJ11" s="68"/>
      <c r="YK11" s="68"/>
      <c r="YL11" s="68"/>
      <c r="YM11" s="68"/>
      <c r="YN11" s="68"/>
      <c r="YO11" s="68"/>
      <c r="YP11" s="68"/>
      <c r="YQ11" s="68"/>
      <c r="YR11" s="68"/>
      <c r="YS11" s="68"/>
      <c r="YT11" s="68"/>
      <c r="YU11" s="68"/>
      <c r="YV11" s="68"/>
      <c r="YW11" s="68"/>
      <c r="YX11" s="68"/>
      <c r="YY11" s="68"/>
      <c r="YZ11" s="68"/>
      <c r="ZA11" s="68"/>
      <c r="ZB11" s="68"/>
      <c r="ZC11" s="68"/>
      <c r="ZD11" s="68"/>
      <c r="ZE11" s="68"/>
      <c r="ZF11" s="68"/>
      <c r="ZG11" s="68"/>
      <c r="ZH11" s="68"/>
      <c r="ZI11" s="68"/>
      <c r="ZJ11" s="68"/>
      <c r="ZK11" s="68"/>
      <c r="ZL11" s="68"/>
      <c r="ZM11" s="68"/>
      <c r="ZN11" s="68"/>
      <c r="ZO11" s="68"/>
      <c r="ZP11" s="68"/>
      <c r="ZQ11" s="68"/>
      <c r="ZR11" s="68"/>
      <c r="ZS11" s="68"/>
      <c r="ZT11" s="68"/>
      <c r="ZU11" s="68"/>
      <c r="ZV11" s="68"/>
      <c r="ZW11" s="68"/>
      <c r="ZX11" s="68"/>
      <c r="ZY11" s="68"/>
      <c r="ZZ11" s="68"/>
      <c r="AAA11" s="68"/>
      <c r="AAB11" s="68"/>
      <c r="AAC11" s="68"/>
      <c r="AAD11" s="68"/>
      <c r="AAE11" s="68"/>
      <c r="AAF11" s="68"/>
    </row>
    <row r="12" spans="1:708" s="76" customFormat="1" ht="54" customHeight="1" x14ac:dyDescent="0.25">
      <c r="A12" s="716"/>
      <c r="B12" s="716"/>
      <c r="C12" s="716"/>
      <c r="D12" s="763"/>
      <c r="E12" s="763"/>
      <c r="F12" s="763"/>
      <c r="G12" s="763"/>
      <c r="H12" s="763"/>
      <c r="I12" s="916"/>
      <c r="J12" s="793"/>
      <c r="K12" s="793"/>
      <c r="L12" s="793"/>
      <c r="M12" s="793"/>
      <c r="N12" s="793"/>
      <c r="O12" s="793"/>
      <c r="P12" s="793"/>
      <c r="Q12" s="70" t="s">
        <v>66</v>
      </c>
      <c r="R12" s="70" t="s">
        <v>67</v>
      </c>
      <c r="S12" s="527" t="s">
        <v>56</v>
      </c>
      <c r="T12" s="527">
        <v>35</v>
      </c>
      <c r="U12" s="527">
        <v>60</v>
      </c>
      <c r="V12" s="906"/>
      <c r="W12" s="1009"/>
      <c r="X12" s="543" t="s">
        <v>102</v>
      </c>
      <c r="Y12" s="690"/>
      <c r="Z12" s="690"/>
      <c r="AA12" s="700"/>
      <c r="AB12" s="690"/>
      <c r="AC12" s="527">
        <v>4</v>
      </c>
      <c r="AD12" s="527">
        <f t="shared" si="0"/>
        <v>60</v>
      </c>
      <c r="AE12" s="526">
        <f>+AC12/AD12</f>
        <v>6.6666666666666666E-2</v>
      </c>
      <c r="AF12" s="527" t="s">
        <v>109</v>
      </c>
      <c r="AG12" s="689"/>
      <c r="AH12" s="689"/>
      <c r="AI12" s="692"/>
      <c r="AJ12" s="689"/>
      <c r="AK12" s="551">
        <v>7</v>
      </c>
      <c r="AL12" s="551">
        <v>60</v>
      </c>
      <c r="AM12" s="552">
        <v>0.11666666666666667</v>
      </c>
      <c r="AN12" s="551" t="s">
        <v>110</v>
      </c>
      <c r="AO12" s="689"/>
      <c r="AP12" s="689"/>
      <c r="AQ12" s="692"/>
      <c r="AR12" s="689"/>
      <c r="AS12" s="551">
        <v>9</v>
      </c>
      <c r="AT12" s="551">
        <f t="shared" si="1"/>
        <v>60</v>
      </c>
      <c r="AU12" s="552">
        <f>+AS12/AT12</f>
        <v>0.15</v>
      </c>
      <c r="AV12" s="551" t="s">
        <v>111</v>
      </c>
      <c r="AW12" s="689"/>
      <c r="AX12" s="689"/>
      <c r="AY12" s="692"/>
      <c r="AZ12" s="689"/>
      <c r="BA12" s="551">
        <v>11</v>
      </c>
      <c r="BB12" s="551">
        <f>+U12</f>
        <v>60</v>
      </c>
      <c r="BC12" s="552">
        <f>+BA12/BB12</f>
        <v>0.18333333333333332</v>
      </c>
      <c r="BD12" s="551" t="s">
        <v>1316</v>
      </c>
      <c r="BE12" s="689"/>
      <c r="BF12" s="689"/>
      <c r="BG12" s="692"/>
      <c r="BH12" s="689"/>
      <c r="BI12" s="551">
        <v>11</v>
      </c>
      <c r="BJ12" s="551">
        <v>60</v>
      </c>
      <c r="BK12" s="552">
        <f>+BI12/BJ12</f>
        <v>0.18333333333333332</v>
      </c>
      <c r="BL12" s="551" t="s">
        <v>1317</v>
      </c>
      <c r="BM12" s="689"/>
      <c r="BN12" s="689"/>
      <c r="BO12" s="692"/>
      <c r="BP12" s="689"/>
      <c r="BQ12" s="551">
        <v>11</v>
      </c>
      <c r="BR12" s="551">
        <v>60</v>
      </c>
      <c r="BS12" s="552">
        <f>+BQ12/BR12</f>
        <v>0.18333333333333332</v>
      </c>
      <c r="BT12" s="551" t="s">
        <v>1318</v>
      </c>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c r="DY12" s="68"/>
      <c r="DZ12" s="68"/>
      <c r="EA12" s="68"/>
      <c r="EB12" s="68"/>
      <c r="EC12" s="68"/>
      <c r="ED12" s="68"/>
      <c r="EE12" s="68"/>
      <c r="EF12" s="68"/>
      <c r="EG12" s="68"/>
      <c r="EH12" s="68"/>
      <c r="EI12" s="68"/>
      <c r="EJ12" s="68"/>
      <c r="EK12" s="68"/>
      <c r="EL12" s="68"/>
      <c r="EM12" s="68"/>
      <c r="EN12" s="68"/>
      <c r="EO12" s="68"/>
      <c r="EP12" s="68"/>
      <c r="EQ12" s="68"/>
      <c r="ER12" s="68"/>
      <c r="ES12" s="68"/>
      <c r="ET12" s="68"/>
      <c r="EU12" s="68"/>
      <c r="EV12" s="68"/>
      <c r="EW12" s="68"/>
      <c r="EX12" s="68"/>
      <c r="EY12" s="68"/>
      <c r="EZ12" s="68"/>
      <c r="FA12" s="68"/>
      <c r="FB12" s="68"/>
      <c r="FC12" s="68"/>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c r="HK12" s="68"/>
      <c r="HL12" s="68"/>
      <c r="HM12" s="68"/>
      <c r="HN12" s="68"/>
      <c r="HO12" s="68"/>
      <c r="HP12" s="68"/>
      <c r="HQ12" s="68"/>
      <c r="HR12" s="68"/>
      <c r="HS12" s="68"/>
      <c r="HT12" s="68"/>
      <c r="HU12" s="68"/>
      <c r="HV12" s="68"/>
      <c r="HW12" s="68"/>
      <c r="HX12" s="68"/>
      <c r="HY12" s="68"/>
      <c r="HZ12" s="68"/>
      <c r="IA12" s="68"/>
      <c r="IB12" s="68"/>
      <c r="IC12" s="68"/>
      <c r="ID12" s="68"/>
      <c r="IE12" s="68"/>
      <c r="IF12" s="68"/>
      <c r="IG12" s="68"/>
      <c r="IH12" s="68"/>
      <c r="II12" s="68"/>
      <c r="IJ12" s="68"/>
      <c r="IK12" s="68"/>
      <c r="IL12" s="68"/>
      <c r="IM12" s="68"/>
      <c r="IN12" s="68"/>
      <c r="IO12" s="68"/>
      <c r="IP12" s="68"/>
      <c r="IQ12" s="68"/>
      <c r="IR12" s="68"/>
      <c r="IS12" s="68"/>
      <c r="IT12" s="68"/>
      <c r="IU12" s="68"/>
      <c r="IV12" s="68"/>
      <c r="IW12" s="68"/>
      <c r="IX12" s="68"/>
      <c r="IY12" s="68"/>
      <c r="IZ12" s="68"/>
      <c r="JA12" s="68"/>
      <c r="JB12" s="68"/>
      <c r="JC12" s="68"/>
      <c r="JD12" s="68"/>
      <c r="JE12" s="68"/>
      <c r="JF12" s="68"/>
      <c r="JG12" s="68"/>
      <c r="JH12" s="68"/>
      <c r="JI12" s="68"/>
      <c r="JJ12" s="68"/>
      <c r="JK12" s="68"/>
      <c r="JL12" s="68"/>
      <c r="JM12" s="68"/>
      <c r="JN12" s="68"/>
      <c r="JO12" s="68"/>
      <c r="JP12" s="68"/>
      <c r="JQ12" s="68"/>
      <c r="JR12" s="68"/>
      <c r="JS12" s="68"/>
      <c r="JT12" s="68"/>
      <c r="JU12" s="68"/>
      <c r="JV12" s="68"/>
      <c r="JW12" s="68"/>
      <c r="JX12" s="68"/>
      <c r="JY12" s="68"/>
      <c r="JZ12" s="68"/>
      <c r="KA12" s="68"/>
      <c r="KB12" s="68"/>
      <c r="KC12" s="68"/>
      <c r="KD12" s="68"/>
      <c r="KE12" s="68"/>
      <c r="KF12" s="68"/>
      <c r="KG12" s="68"/>
      <c r="KH12" s="68"/>
      <c r="KI12" s="68"/>
      <c r="KJ12" s="68"/>
      <c r="KK12" s="68"/>
      <c r="KL12" s="68"/>
      <c r="KM12" s="68"/>
      <c r="KN12" s="68"/>
      <c r="KO12" s="68"/>
      <c r="KP12" s="68"/>
      <c r="KQ12" s="68"/>
      <c r="KR12" s="68"/>
      <c r="KS12" s="68"/>
      <c r="KT12" s="68"/>
      <c r="KU12" s="68"/>
      <c r="KV12" s="68"/>
      <c r="KW12" s="68"/>
      <c r="KX12" s="68"/>
      <c r="KY12" s="68"/>
      <c r="KZ12" s="68"/>
      <c r="LA12" s="68"/>
      <c r="LB12" s="68"/>
      <c r="LC12" s="68"/>
      <c r="LD12" s="68"/>
      <c r="LE12" s="68"/>
      <c r="LF12" s="68"/>
      <c r="LG12" s="68"/>
      <c r="LH12" s="68"/>
      <c r="LI12" s="68"/>
      <c r="LJ12" s="68"/>
      <c r="LK12" s="68"/>
      <c r="LL12" s="68"/>
      <c r="LM12" s="68"/>
      <c r="LN12" s="68"/>
      <c r="LO12" s="68"/>
      <c r="LP12" s="68"/>
      <c r="LQ12" s="68"/>
      <c r="LR12" s="68"/>
      <c r="LS12" s="68"/>
      <c r="LT12" s="68"/>
      <c r="LU12" s="68"/>
      <c r="LV12" s="68"/>
      <c r="LW12" s="68"/>
      <c r="LX12" s="68"/>
      <c r="LY12" s="68"/>
      <c r="LZ12" s="68"/>
      <c r="MA12" s="68"/>
      <c r="MB12" s="68"/>
      <c r="MC12" s="68"/>
      <c r="MD12" s="68"/>
      <c r="ME12" s="68"/>
      <c r="MF12" s="68"/>
      <c r="MG12" s="68"/>
      <c r="MH12" s="68"/>
      <c r="MI12" s="68"/>
      <c r="MJ12" s="68"/>
      <c r="MK12" s="68"/>
      <c r="ML12" s="68"/>
      <c r="MM12" s="68"/>
      <c r="MN12" s="68"/>
      <c r="MO12" s="68"/>
      <c r="MP12" s="68"/>
      <c r="MQ12" s="68"/>
      <c r="MR12" s="68"/>
      <c r="MS12" s="68"/>
      <c r="MT12" s="68"/>
      <c r="MU12" s="68"/>
      <c r="MV12" s="68"/>
      <c r="MW12" s="68"/>
      <c r="MX12" s="68"/>
      <c r="MY12" s="68"/>
      <c r="MZ12" s="68"/>
      <c r="NA12" s="68"/>
      <c r="NB12" s="68"/>
      <c r="NC12" s="68"/>
      <c r="ND12" s="68"/>
      <c r="NE12" s="68"/>
      <c r="NF12" s="68"/>
      <c r="NG12" s="68"/>
      <c r="NH12" s="68"/>
      <c r="NI12" s="68"/>
      <c r="NJ12" s="68"/>
      <c r="NK12" s="68"/>
      <c r="NL12" s="68"/>
      <c r="NM12" s="68"/>
      <c r="NN12" s="68"/>
      <c r="NO12" s="68"/>
      <c r="NP12" s="68"/>
      <c r="NQ12" s="68"/>
      <c r="NR12" s="68"/>
      <c r="NS12" s="68"/>
      <c r="NT12" s="68"/>
      <c r="NU12" s="68"/>
      <c r="NV12" s="68"/>
      <c r="NW12" s="68"/>
      <c r="NX12" s="68"/>
      <c r="NY12" s="68"/>
      <c r="NZ12" s="68"/>
      <c r="OA12" s="68"/>
      <c r="OB12" s="68"/>
      <c r="OC12" s="68"/>
      <c r="OD12" s="68"/>
      <c r="OE12" s="68"/>
      <c r="OF12" s="68"/>
      <c r="OG12" s="68"/>
      <c r="OH12" s="68"/>
      <c r="OI12" s="68"/>
      <c r="OJ12" s="68"/>
      <c r="OK12" s="68"/>
      <c r="OL12" s="68"/>
      <c r="OM12" s="68"/>
      <c r="ON12" s="68"/>
      <c r="OO12" s="68"/>
      <c r="OP12" s="68"/>
      <c r="OQ12" s="68"/>
      <c r="OR12" s="68"/>
      <c r="OS12" s="68"/>
      <c r="OT12" s="68"/>
      <c r="OU12" s="68"/>
      <c r="OV12" s="68"/>
      <c r="OW12" s="68"/>
      <c r="OX12" s="68"/>
      <c r="OY12" s="68"/>
      <c r="OZ12" s="68"/>
      <c r="PA12" s="68"/>
      <c r="PB12" s="68"/>
      <c r="PC12" s="68"/>
      <c r="PD12" s="68"/>
      <c r="PE12" s="68"/>
      <c r="PF12" s="68"/>
      <c r="PG12" s="68"/>
      <c r="PH12" s="68"/>
      <c r="PI12" s="68"/>
      <c r="PJ12" s="68"/>
      <c r="PK12" s="68"/>
      <c r="PL12" s="68"/>
      <c r="PM12" s="68"/>
      <c r="PN12" s="68"/>
      <c r="PO12" s="68"/>
      <c r="PP12" s="68"/>
      <c r="PQ12" s="68"/>
      <c r="PR12" s="68"/>
      <c r="PS12" s="68"/>
      <c r="PT12" s="68"/>
      <c r="PU12" s="68"/>
      <c r="PV12" s="68"/>
      <c r="PW12" s="68"/>
      <c r="PX12" s="68"/>
      <c r="PY12" s="68"/>
      <c r="PZ12" s="68"/>
      <c r="QA12" s="68"/>
      <c r="QB12" s="68"/>
      <c r="QC12" s="68"/>
      <c r="QD12" s="68"/>
      <c r="QE12" s="68"/>
      <c r="QF12" s="68"/>
      <c r="QG12" s="68"/>
      <c r="QH12" s="68"/>
      <c r="QI12" s="68"/>
      <c r="QJ12" s="68"/>
      <c r="QK12" s="68"/>
      <c r="QL12" s="68"/>
      <c r="QM12" s="68"/>
      <c r="QN12" s="68"/>
      <c r="QO12" s="68"/>
      <c r="QP12" s="68"/>
      <c r="QQ12" s="68"/>
      <c r="QR12" s="68"/>
      <c r="QS12" s="68"/>
      <c r="QT12" s="68"/>
      <c r="QU12" s="68"/>
      <c r="QV12" s="68"/>
      <c r="QW12" s="68"/>
      <c r="QX12" s="68"/>
      <c r="QY12" s="68"/>
      <c r="QZ12" s="68"/>
      <c r="RA12" s="68"/>
      <c r="RB12" s="68"/>
      <c r="RC12" s="68"/>
      <c r="RD12" s="68"/>
      <c r="RE12" s="68"/>
      <c r="RF12" s="68"/>
      <c r="RG12" s="68"/>
      <c r="RH12" s="68"/>
      <c r="RI12" s="68"/>
      <c r="RJ12" s="68"/>
      <c r="RK12" s="68"/>
      <c r="RL12" s="68"/>
      <c r="RM12" s="68"/>
      <c r="RN12" s="68"/>
      <c r="RO12" s="68"/>
      <c r="RP12" s="68"/>
      <c r="RQ12" s="68"/>
      <c r="RR12" s="68"/>
      <c r="RS12" s="68"/>
      <c r="RT12" s="68"/>
      <c r="RU12" s="68"/>
      <c r="RV12" s="68"/>
      <c r="RW12" s="68"/>
      <c r="RX12" s="68"/>
      <c r="RY12" s="68"/>
      <c r="RZ12" s="68"/>
      <c r="SA12" s="68"/>
      <c r="SB12" s="68"/>
      <c r="SC12" s="68"/>
      <c r="SD12" s="68"/>
      <c r="SE12" s="68"/>
      <c r="SF12" s="68"/>
      <c r="SG12" s="68"/>
      <c r="SH12" s="68"/>
      <c r="SI12" s="68"/>
      <c r="SJ12" s="68"/>
      <c r="SK12" s="68"/>
      <c r="SL12" s="68"/>
      <c r="SM12" s="68"/>
      <c r="SN12" s="68"/>
      <c r="SO12" s="68"/>
      <c r="SP12" s="68"/>
      <c r="SQ12" s="68"/>
      <c r="SR12" s="68"/>
      <c r="SS12" s="68"/>
      <c r="ST12" s="68"/>
      <c r="SU12" s="68"/>
      <c r="SV12" s="68"/>
      <c r="SW12" s="68"/>
      <c r="SX12" s="68"/>
      <c r="SY12" s="68"/>
      <c r="SZ12" s="68"/>
      <c r="TA12" s="68"/>
      <c r="TB12" s="68"/>
      <c r="TC12" s="68"/>
      <c r="TD12" s="68"/>
      <c r="TE12" s="68"/>
      <c r="TF12" s="68"/>
      <c r="TG12" s="68"/>
      <c r="TH12" s="68"/>
      <c r="TI12" s="68"/>
      <c r="TJ12" s="68"/>
      <c r="TK12" s="68"/>
      <c r="TL12" s="68"/>
      <c r="TM12" s="68"/>
      <c r="TN12" s="68"/>
      <c r="TO12" s="68"/>
      <c r="TP12" s="68"/>
      <c r="TQ12" s="68"/>
      <c r="TR12" s="68"/>
      <c r="TS12" s="68"/>
      <c r="TT12" s="68"/>
      <c r="TU12" s="68"/>
      <c r="TV12" s="68"/>
      <c r="TW12" s="68"/>
      <c r="TX12" s="68"/>
      <c r="TY12" s="68"/>
      <c r="TZ12" s="68"/>
      <c r="UA12" s="68"/>
      <c r="UB12" s="68"/>
      <c r="UC12" s="68"/>
      <c r="UD12" s="68"/>
      <c r="UE12" s="68"/>
      <c r="UF12" s="68"/>
      <c r="UG12" s="68"/>
      <c r="UH12" s="68"/>
      <c r="UI12" s="68"/>
      <c r="UJ12" s="68"/>
      <c r="UK12" s="68"/>
      <c r="UL12" s="68"/>
      <c r="UM12" s="68"/>
      <c r="UN12" s="68"/>
      <c r="UO12" s="68"/>
      <c r="UP12" s="68"/>
      <c r="UQ12" s="68"/>
      <c r="UR12" s="68"/>
      <c r="US12" s="68"/>
      <c r="UT12" s="68"/>
      <c r="UU12" s="68"/>
      <c r="UV12" s="68"/>
      <c r="UW12" s="68"/>
      <c r="UX12" s="68"/>
      <c r="UY12" s="68"/>
      <c r="UZ12" s="68"/>
      <c r="VA12" s="68"/>
      <c r="VB12" s="68"/>
      <c r="VC12" s="68"/>
      <c r="VD12" s="68"/>
      <c r="VE12" s="68"/>
      <c r="VF12" s="68"/>
      <c r="VG12" s="68"/>
      <c r="VH12" s="68"/>
      <c r="VI12" s="68"/>
      <c r="VJ12" s="68"/>
      <c r="VK12" s="68"/>
      <c r="VL12" s="68"/>
      <c r="VM12" s="68"/>
      <c r="VN12" s="68"/>
      <c r="VO12" s="68"/>
      <c r="VP12" s="68"/>
      <c r="VQ12" s="68"/>
      <c r="VR12" s="68"/>
      <c r="VS12" s="68"/>
      <c r="VT12" s="68"/>
      <c r="VU12" s="68"/>
      <c r="VV12" s="68"/>
      <c r="VW12" s="68"/>
      <c r="VX12" s="68"/>
      <c r="VY12" s="68"/>
      <c r="VZ12" s="68"/>
      <c r="WA12" s="68"/>
      <c r="WB12" s="68"/>
      <c r="WC12" s="68"/>
      <c r="WD12" s="68"/>
      <c r="WE12" s="68"/>
      <c r="WF12" s="68"/>
      <c r="WG12" s="68"/>
      <c r="WH12" s="68"/>
      <c r="WI12" s="68"/>
      <c r="WJ12" s="68"/>
      <c r="WK12" s="68"/>
      <c r="WL12" s="68"/>
      <c r="WM12" s="68"/>
      <c r="WN12" s="68"/>
      <c r="WO12" s="68"/>
      <c r="WP12" s="68"/>
      <c r="WQ12" s="68"/>
      <c r="WR12" s="68"/>
      <c r="WS12" s="68"/>
      <c r="WT12" s="68"/>
      <c r="WU12" s="68"/>
      <c r="WV12" s="68"/>
      <c r="WW12" s="68"/>
      <c r="WX12" s="68"/>
      <c r="WY12" s="68"/>
      <c r="WZ12" s="68"/>
      <c r="XA12" s="68"/>
      <c r="XB12" s="68"/>
      <c r="XC12" s="68"/>
      <c r="XD12" s="68"/>
      <c r="XE12" s="68"/>
      <c r="XF12" s="68"/>
      <c r="XG12" s="68"/>
      <c r="XH12" s="68"/>
      <c r="XI12" s="68"/>
      <c r="XJ12" s="68"/>
      <c r="XK12" s="68"/>
      <c r="XL12" s="68"/>
      <c r="XM12" s="68"/>
      <c r="XN12" s="68"/>
      <c r="XO12" s="68"/>
      <c r="XP12" s="68"/>
      <c r="XQ12" s="68"/>
      <c r="XR12" s="68"/>
      <c r="XS12" s="68"/>
      <c r="XT12" s="68"/>
      <c r="XU12" s="68"/>
      <c r="XV12" s="68"/>
      <c r="XW12" s="68"/>
      <c r="XX12" s="68"/>
      <c r="XY12" s="68"/>
      <c r="XZ12" s="68"/>
      <c r="YA12" s="68"/>
      <c r="YB12" s="68"/>
      <c r="YC12" s="68"/>
      <c r="YD12" s="68"/>
      <c r="YE12" s="68"/>
      <c r="YF12" s="68"/>
      <c r="YG12" s="68"/>
      <c r="YH12" s="68"/>
      <c r="YI12" s="68"/>
      <c r="YJ12" s="68"/>
      <c r="YK12" s="68"/>
      <c r="YL12" s="68"/>
      <c r="YM12" s="68"/>
      <c r="YN12" s="68"/>
      <c r="YO12" s="68"/>
      <c r="YP12" s="68"/>
      <c r="YQ12" s="68"/>
      <c r="YR12" s="68"/>
      <c r="YS12" s="68"/>
      <c r="YT12" s="68"/>
      <c r="YU12" s="68"/>
      <c r="YV12" s="68"/>
      <c r="YW12" s="68"/>
      <c r="YX12" s="68"/>
      <c r="YY12" s="68"/>
      <c r="YZ12" s="68"/>
      <c r="ZA12" s="68"/>
      <c r="ZB12" s="68"/>
      <c r="ZC12" s="68"/>
      <c r="ZD12" s="68"/>
      <c r="ZE12" s="68"/>
      <c r="ZF12" s="68"/>
      <c r="ZG12" s="68"/>
      <c r="ZH12" s="68"/>
      <c r="ZI12" s="68"/>
      <c r="ZJ12" s="68"/>
      <c r="ZK12" s="68"/>
      <c r="ZL12" s="68"/>
      <c r="ZM12" s="68"/>
      <c r="ZN12" s="68"/>
      <c r="ZO12" s="68"/>
      <c r="ZP12" s="68"/>
      <c r="ZQ12" s="68"/>
      <c r="ZR12" s="68"/>
      <c r="ZS12" s="68"/>
      <c r="ZT12" s="68"/>
      <c r="ZU12" s="68"/>
      <c r="ZV12" s="68"/>
      <c r="ZW12" s="68"/>
      <c r="ZX12" s="68"/>
      <c r="ZY12" s="68"/>
      <c r="ZZ12" s="68"/>
      <c r="AAA12" s="68"/>
      <c r="AAB12" s="68"/>
      <c r="AAC12" s="68"/>
      <c r="AAD12" s="68"/>
      <c r="AAE12" s="68"/>
      <c r="AAF12" s="68"/>
    </row>
    <row r="13" spans="1:708" s="69" customFormat="1" ht="54" customHeight="1" x14ac:dyDescent="0.25">
      <c r="A13" s="702" t="s">
        <v>43</v>
      </c>
      <c r="B13" s="702" t="s">
        <v>44</v>
      </c>
      <c r="C13" s="702" t="s">
        <v>45</v>
      </c>
      <c r="D13" s="702" t="s">
        <v>46</v>
      </c>
      <c r="E13" s="702" t="s">
        <v>71</v>
      </c>
      <c r="F13" s="702" t="s">
        <v>48</v>
      </c>
      <c r="G13" s="702" t="s">
        <v>49</v>
      </c>
      <c r="H13" s="702" t="s">
        <v>50</v>
      </c>
      <c r="I13" s="704" t="s">
        <v>51</v>
      </c>
      <c r="J13" s="698" t="s">
        <v>1296</v>
      </c>
      <c r="K13" s="698" t="s">
        <v>101</v>
      </c>
      <c r="L13" s="698" t="s">
        <v>72</v>
      </c>
      <c r="M13" s="698" t="s">
        <v>112</v>
      </c>
      <c r="N13" s="698" t="s">
        <v>74</v>
      </c>
      <c r="O13" s="698"/>
      <c r="P13" s="699">
        <v>0.89</v>
      </c>
      <c r="Q13" s="63" t="s">
        <v>113</v>
      </c>
      <c r="R13" s="63" t="s">
        <v>114</v>
      </c>
      <c r="S13" s="524" t="s">
        <v>74</v>
      </c>
      <c r="T13" s="524"/>
      <c r="U13" s="545">
        <v>0.89</v>
      </c>
      <c r="V13" s="906"/>
      <c r="W13" s="1009"/>
      <c r="X13" s="542" t="s">
        <v>102</v>
      </c>
      <c r="Y13" s="700">
        <f>(1/1)</f>
        <v>1</v>
      </c>
      <c r="Z13" s="701">
        <f>+P13</f>
        <v>0.89</v>
      </c>
      <c r="AA13" s="700">
        <f>Y13/Z13</f>
        <v>1.1235955056179776</v>
      </c>
      <c r="AB13" s="690" t="s">
        <v>115</v>
      </c>
      <c r="AC13" s="525">
        <f>(2/2)</f>
        <v>1</v>
      </c>
      <c r="AD13" s="545">
        <f t="shared" si="0"/>
        <v>0.89</v>
      </c>
      <c r="AE13" s="525">
        <f>+AC13/AD13</f>
        <v>1.1235955056179776</v>
      </c>
      <c r="AF13" s="524" t="s">
        <v>116</v>
      </c>
      <c r="AG13" s="692">
        <v>1</v>
      </c>
      <c r="AH13" s="691">
        <v>0.89</v>
      </c>
      <c r="AI13" s="692">
        <v>1.1235955056179776</v>
      </c>
      <c r="AJ13" s="689" t="s">
        <v>117</v>
      </c>
      <c r="AK13" s="541">
        <v>1</v>
      </c>
      <c r="AL13" s="540">
        <v>0.89</v>
      </c>
      <c r="AM13" s="541">
        <v>1.1235955056179776</v>
      </c>
      <c r="AN13" s="539" t="s">
        <v>118</v>
      </c>
      <c r="AO13" s="692">
        <f>(9/9)</f>
        <v>1</v>
      </c>
      <c r="AP13" s="691">
        <f>+P13</f>
        <v>0.89</v>
      </c>
      <c r="AQ13" s="692">
        <f>AO13/AP13</f>
        <v>1.1235955056179776</v>
      </c>
      <c r="AR13" s="689" t="s">
        <v>119</v>
      </c>
      <c r="AS13" s="541">
        <f>(3/3)</f>
        <v>1</v>
      </c>
      <c r="AT13" s="540">
        <f t="shared" si="1"/>
        <v>0.89</v>
      </c>
      <c r="AU13" s="541">
        <f>+AS13/AT13</f>
        <v>1.1235955056179776</v>
      </c>
      <c r="AV13" s="539" t="s">
        <v>120</v>
      </c>
      <c r="AW13" s="692">
        <f>(13/13)</f>
        <v>1</v>
      </c>
      <c r="AX13" s="691">
        <f>+P13</f>
        <v>0.89</v>
      </c>
      <c r="AY13" s="692">
        <f>AW13/AX13</f>
        <v>1.1235955056179776</v>
      </c>
      <c r="AZ13" s="689" t="s">
        <v>1319</v>
      </c>
      <c r="BA13" s="541">
        <f>(3/3)</f>
        <v>1</v>
      </c>
      <c r="BB13" s="540">
        <f>+U13</f>
        <v>0.89</v>
      </c>
      <c r="BC13" s="541">
        <f>+BA13/BB13</f>
        <v>1.1235955056179776</v>
      </c>
      <c r="BD13" s="539" t="s">
        <v>1320</v>
      </c>
      <c r="BE13" s="692">
        <f>(15/15)</f>
        <v>1</v>
      </c>
      <c r="BF13" s="691">
        <v>0.89</v>
      </c>
      <c r="BG13" s="692">
        <f>BE13/BF13</f>
        <v>1.1235955056179776</v>
      </c>
      <c r="BH13" s="689" t="s">
        <v>1321</v>
      </c>
      <c r="BI13" s="541">
        <f>(3/3)</f>
        <v>1</v>
      </c>
      <c r="BJ13" s="540">
        <v>0.89</v>
      </c>
      <c r="BK13" s="541">
        <f>+BI13/BJ13</f>
        <v>1.1235955056179776</v>
      </c>
      <c r="BL13" s="539" t="s">
        <v>1322</v>
      </c>
      <c r="BM13" s="692">
        <f>(16/16)</f>
        <v>1</v>
      </c>
      <c r="BN13" s="691">
        <v>0.89</v>
      </c>
      <c r="BO13" s="692">
        <f>BM13/BN13</f>
        <v>1.1235955056179776</v>
      </c>
      <c r="BP13" s="689" t="s">
        <v>1323</v>
      </c>
      <c r="BQ13" s="541">
        <f>(3/3)</f>
        <v>1</v>
      </c>
      <c r="BR13" s="540">
        <v>0.89</v>
      </c>
      <c r="BS13" s="541">
        <f>+BQ13/BR13</f>
        <v>1.1235955056179776</v>
      </c>
      <c r="BT13" s="539" t="s">
        <v>1324</v>
      </c>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c r="DL13" s="68"/>
      <c r="DM13" s="68"/>
      <c r="DN13" s="68"/>
      <c r="DO13" s="68"/>
      <c r="DP13" s="68"/>
      <c r="DQ13" s="68"/>
      <c r="DR13" s="68"/>
      <c r="DS13" s="68"/>
      <c r="DT13" s="68"/>
      <c r="DU13" s="68"/>
      <c r="DV13" s="68"/>
      <c r="DW13" s="68"/>
      <c r="DX13" s="68"/>
      <c r="DY13" s="68"/>
      <c r="DZ13" s="68"/>
      <c r="EA13" s="68"/>
      <c r="EB13" s="68"/>
      <c r="EC13" s="68"/>
      <c r="ED13" s="68"/>
      <c r="EE13" s="68"/>
      <c r="EF13" s="68"/>
      <c r="EG13" s="68"/>
      <c r="EH13" s="68"/>
      <c r="EI13" s="68"/>
      <c r="EJ13" s="68"/>
      <c r="EK13" s="68"/>
      <c r="EL13" s="68"/>
      <c r="EM13" s="68"/>
      <c r="EN13" s="68"/>
      <c r="EO13" s="68"/>
      <c r="EP13" s="68"/>
      <c r="EQ13" s="68"/>
      <c r="ER13" s="68"/>
      <c r="ES13" s="68"/>
      <c r="ET13" s="68"/>
      <c r="EU13" s="68"/>
      <c r="EV13" s="68"/>
      <c r="EW13" s="68"/>
      <c r="EX13" s="68"/>
      <c r="EY13" s="68"/>
      <c r="EZ13" s="68"/>
      <c r="FA13" s="68"/>
      <c r="FB13" s="68"/>
      <c r="FC13" s="68"/>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c r="HK13" s="68"/>
      <c r="HL13" s="68"/>
      <c r="HM13" s="68"/>
      <c r="HN13" s="68"/>
      <c r="HO13" s="68"/>
      <c r="HP13" s="68"/>
      <c r="HQ13" s="68"/>
      <c r="HR13" s="68"/>
      <c r="HS13" s="68"/>
      <c r="HT13" s="68"/>
      <c r="HU13" s="68"/>
      <c r="HV13" s="68"/>
      <c r="HW13" s="68"/>
      <c r="HX13" s="68"/>
      <c r="HY13" s="68"/>
      <c r="HZ13" s="68"/>
      <c r="IA13" s="68"/>
      <c r="IB13" s="68"/>
      <c r="IC13" s="68"/>
      <c r="ID13" s="68"/>
      <c r="IE13" s="68"/>
      <c r="IF13" s="68"/>
      <c r="IG13" s="68"/>
      <c r="IH13" s="68"/>
      <c r="II13" s="68"/>
      <c r="IJ13" s="68"/>
      <c r="IK13" s="68"/>
      <c r="IL13" s="68"/>
      <c r="IM13" s="68"/>
      <c r="IN13" s="68"/>
      <c r="IO13" s="68"/>
      <c r="IP13" s="68"/>
      <c r="IQ13" s="68"/>
      <c r="IR13" s="68"/>
      <c r="IS13" s="68"/>
      <c r="IT13" s="68"/>
      <c r="IU13" s="68"/>
      <c r="IV13" s="68"/>
      <c r="IW13" s="68"/>
      <c r="IX13" s="68"/>
      <c r="IY13" s="68"/>
      <c r="IZ13" s="68"/>
      <c r="JA13" s="68"/>
      <c r="JB13" s="68"/>
      <c r="JC13" s="68"/>
      <c r="JD13" s="68"/>
      <c r="JE13" s="68"/>
      <c r="JF13" s="68"/>
      <c r="JG13" s="68"/>
      <c r="JH13" s="68"/>
      <c r="JI13" s="68"/>
      <c r="JJ13" s="68"/>
      <c r="JK13" s="68"/>
      <c r="JL13" s="68"/>
      <c r="JM13" s="68"/>
      <c r="JN13" s="68"/>
      <c r="JO13" s="68"/>
      <c r="JP13" s="68"/>
      <c r="JQ13" s="68"/>
      <c r="JR13" s="68"/>
      <c r="JS13" s="68"/>
      <c r="JT13" s="68"/>
      <c r="JU13" s="68"/>
      <c r="JV13" s="68"/>
      <c r="JW13" s="68"/>
      <c r="JX13" s="68"/>
      <c r="JY13" s="68"/>
      <c r="JZ13" s="68"/>
      <c r="KA13" s="68"/>
      <c r="KB13" s="68"/>
      <c r="KC13" s="68"/>
      <c r="KD13" s="68"/>
      <c r="KE13" s="68"/>
      <c r="KF13" s="68"/>
      <c r="KG13" s="68"/>
      <c r="KH13" s="68"/>
      <c r="KI13" s="68"/>
      <c r="KJ13" s="68"/>
      <c r="KK13" s="68"/>
      <c r="KL13" s="68"/>
      <c r="KM13" s="68"/>
      <c r="KN13" s="68"/>
      <c r="KO13" s="68"/>
      <c r="KP13" s="68"/>
      <c r="KQ13" s="68"/>
      <c r="KR13" s="68"/>
      <c r="KS13" s="68"/>
      <c r="KT13" s="68"/>
      <c r="KU13" s="68"/>
      <c r="KV13" s="68"/>
      <c r="KW13" s="68"/>
      <c r="KX13" s="68"/>
      <c r="KY13" s="68"/>
      <c r="KZ13" s="68"/>
      <c r="LA13" s="68"/>
      <c r="LB13" s="68"/>
      <c r="LC13" s="68"/>
      <c r="LD13" s="68"/>
      <c r="LE13" s="68"/>
      <c r="LF13" s="68"/>
      <c r="LG13" s="68"/>
      <c r="LH13" s="68"/>
      <c r="LI13" s="68"/>
      <c r="LJ13" s="68"/>
      <c r="LK13" s="68"/>
      <c r="LL13" s="68"/>
      <c r="LM13" s="68"/>
      <c r="LN13" s="68"/>
      <c r="LO13" s="68"/>
      <c r="LP13" s="68"/>
      <c r="LQ13" s="68"/>
      <c r="LR13" s="68"/>
      <c r="LS13" s="68"/>
      <c r="LT13" s="68"/>
      <c r="LU13" s="68"/>
      <c r="LV13" s="68"/>
      <c r="LW13" s="68"/>
      <c r="LX13" s="68"/>
      <c r="LY13" s="68"/>
      <c r="LZ13" s="68"/>
      <c r="MA13" s="68"/>
      <c r="MB13" s="68"/>
      <c r="MC13" s="68"/>
      <c r="MD13" s="68"/>
      <c r="ME13" s="68"/>
      <c r="MF13" s="68"/>
      <c r="MG13" s="68"/>
      <c r="MH13" s="68"/>
      <c r="MI13" s="68"/>
      <c r="MJ13" s="68"/>
      <c r="MK13" s="68"/>
      <c r="ML13" s="68"/>
      <c r="MM13" s="68"/>
      <c r="MN13" s="68"/>
      <c r="MO13" s="68"/>
      <c r="MP13" s="68"/>
      <c r="MQ13" s="68"/>
      <c r="MR13" s="68"/>
      <c r="MS13" s="68"/>
      <c r="MT13" s="68"/>
      <c r="MU13" s="68"/>
      <c r="MV13" s="68"/>
      <c r="MW13" s="68"/>
      <c r="MX13" s="68"/>
      <c r="MY13" s="68"/>
      <c r="MZ13" s="68"/>
      <c r="NA13" s="68"/>
      <c r="NB13" s="68"/>
      <c r="NC13" s="68"/>
      <c r="ND13" s="68"/>
      <c r="NE13" s="68"/>
      <c r="NF13" s="68"/>
      <c r="NG13" s="68"/>
      <c r="NH13" s="68"/>
      <c r="NI13" s="68"/>
      <c r="NJ13" s="68"/>
      <c r="NK13" s="68"/>
      <c r="NL13" s="68"/>
      <c r="NM13" s="68"/>
      <c r="NN13" s="68"/>
      <c r="NO13" s="68"/>
      <c r="NP13" s="68"/>
      <c r="NQ13" s="68"/>
      <c r="NR13" s="68"/>
      <c r="NS13" s="68"/>
      <c r="NT13" s="68"/>
      <c r="NU13" s="68"/>
      <c r="NV13" s="68"/>
      <c r="NW13" s="68"/>
      <c r="NX13" s="68"/>
      <c r="NY13" s="68"/>
      <c r="NZ13" s="68"/>
      <c r="OA13" s="68"/>
      <c r="OB13" s="68"/>
      <c r="OC13" s="68"/>
      <c r="OD13" s="68"/>
      <c r="OE13" s="68"/>
      <c r="OF13" s="68"/>
      <c r="OG13" s="68"/>
      <c r="OH13" s="68"/>
      <c r="OI13" s="68"/>
      <c r="OJ13" s="68"/>
      <c r="OK13" s="68"/>
      <c r="OL13" s="68"/>
      <c r="OM13" s="68"/>
      <c r="ON13" s="68"/>
      <c r="OO13" s="68"/>
      <c r="OP13" s="68"/>
      <c r="OQ13" s="68"/>
      <c r="OR13" s="68"/>
      <c r="OS13" s="68"/>
      <c r="OT13" s="68"/>
      <c r="OU13" s="68"/>
      <c r="OV13" s="68"/>
      <c r="OW13" s="68"/>
      <c r="OX13" s="68"/>
      <c r="OY13" s="68"/>
      <c r="OZ13" s="68"/>
      <c r="PA13" s="68"/>
      <c r="PB13" s="68"/>
      <c r="PC13" s="68"/>
      <c r="PD13" s="68"/>
      <c r="PE13" s="68"/>
      <c r="PF13" s="68"/>
      <c r="PG13" s="68"/>
      <c r="PH13" s="68"/>
      <c r="PI13" s="68"/>
      <c r="PJ13" s="68"/>
      <c r="PK13" s="68"/>
      <c r="PL13" s="68"/>
      <c r="PM13" s="68"/>
      <c r="PN13" s="68"/>
      <c r="PO13" s="68"/>
      <c r="PP13" s="68"/>
      <c r="PQ13" s="68"/>
      <c r="PR13" s="68"/>
      <c r="PS13" s="68"/>
      <c r="PT13" s="68"/>
      <c r="PU13" s="68"/>
      <c r="PV13" s="68"/>
      <c r="PW13" s="68"/>
      <c r="PX13" s="68"/>
      <c r="PY13" s="68"/>
      <c r="PZ13" s="68"/>
      <c r="QA13" s="68"/>
      <c r="QB13" s="68"/>
      <c r="QC13" s="68"/>
      <c r="QD13" s="68"/>
      <c r="QE13" s="68"/>
      <c r="QF13" s="68"/>
      <c r="QG13" s="68"/>
      <c r="QH13" s="68"/>
      <c r="QI13" s="68"/>
      <c r="QJ13" s="68"/>
      <c r="QK13" s="68"/>
      <c r="QL13" s="68"/>
      <c r="QM13" s="68"/>
      <c r="QN13" s="68"/>
      <c r="QO13" s="68"/>
      <c r="QP13" s="68"/>
      <c r="QQ13" s="68"/>
      <c r="QR13" s="68"/>
      <c r="QS13" s="68"/>
      <c r="QT13" s="68"/>
      <c r="QU13" s="68"/>
      <c r="QV13" s="68"/>
      <c r="QW13" s="68"/>
      <c r="QX13" s="68"/>
      <c r="QY13" s="68"/>
      <c r="QZ13" s="68"/>
      <c r="RA13" s="68"/>
      <c r="RB13" s="68"/>
      <c r="RC13" s="68"/>
      <c r="RD13" s="68"/>
      <c r="RE13" s="68"/>
      <c r="RF13" s="68"/>
      <c r="RG13" s="68"/>
      <c r="RH13" s="68"/>
      <c r="RI13" s="68"/>
      <c r="RJ13" s="68"/>
      <c r="RK13" s="68"/>
      <c r="RL13" s="68"/>
      <c r="RM13" s="68"/>
      <c r="RN13" s="68"/>
      <c r="RO13" s="68"/>
      <c r="RP13" s="68"/>
      <c r="RQ13" s="68"/>
      <c r="RR13" s="68"/>
      <c r="RS13" s="68"/>
      <c r="RT13" s="68"/>
      <c r="RU13" s="68"/>
      <c r="RV13" s="68"/>
      <c r="RW13" s="68"/>
      <c r="RX13" s="68"/>
      <c r="RY13" s="68"/>
      <c r="RZ13" s="68"/>
      <c r="SA13" s="68"/>
      <c r="SB13" s="68"/>
      <c r="SC13" s="68"/>
      <c r="SD13" s="68"/>
      <c r="SE13" s="68"/>
      <c r="SF13" s="68"/>
      <c r="SG13" s="68"/>
      <c r="SH13" s="68"/>
      <c r="SI13" s="68"/>
      <c r="SJ13" s="68"/>
      <c r="SK13" s="68"/>
      <c r="SL13" s="68"/>
      <c r="SM13" s="68"/>
      <c r="SN13" s="68"/>
      <c r="SO13" s="68"/>
      <c r="SP13" s="68"/>
      <c r="SQ13" s="68"/>
      <c r="SR13" s="68"/>
      <c r="SS13" s="68"/>
      <c r="ST13" s="68"/>
      <c r="SU13" s="68"/>
      <c r="SV13" s="68"/>
      <c r="SW13" s="68"/>
      <c r="SX13" s="68"/>
      <c r="SY13" s="68"/>
      <c r="SZ13" s="68"/>
      <c r="TA13" s="68"/>
      <c r="TB13" s="68"/>
      <c r="TC13" s="68"/>
      <c r="TD13" s="68"/>
      <c r="TE13" s="68"/>
      <c r="TF13" s="68"/>
      <c r="TG13" s="68"/>
      <c r="TH13" s="68"/>
      <c r="TI13" s="68"/>
      <c r="TJ13" s="68"/>
      <c r="TK13" s="68"/>
      <c r="TL13" s="68"/>
      <c r="TM13" s="68"/>
      <c r="TN13" s="68"/>
      <c r="TO13" s="68"/>
      <c r="TP13" s="68"/>
      <c r="TQ13" s="68"/>
      <c r="TR13" s="68"/>
      <c r="TS13" s="68"/>
      <c r="TT13" s="68"/>
      <c r="TU13" s="68"/>
      <c r="TV13" s="68"/>
      <c r="TW13" s="68"/>
      <c r="TX13" s="68"/>
      <c r="TY13" s="68"/>
      <c r="TZ13" s="68"/>
      <c r="UA13" s="68"/>
      <c r="UB13" s="68"/>
      <c r="UC13" s="68"/>
      <c r="UD13" s="68"/>
      <c r="UE13" s="68"/>
      <c r="UF13" s="68"/>
      <c r="UG13" s="68"/>
      <c r="UH13" s="68"/>
      <c r="UI13" s="68"/>
      <c r="UJ13" s="68"/>
      <c r="UK13" s="68"/>
      <c r="UL13" s="68"/>
      <c r="UM13" s="68"/>
      <c r="UN13" s="68"/>
      <c r="UO13" s="68"/>
      <c r="UP13" s="68"/>
      <c r="UQ13" s="68"/>
      <c r="UR13" s="68"/>
      <c r="US13" s="68"/>
      <c r="UT13" s="68"/>
      <c r="UU13" s="68"/>
      <c r="UV13" s="68"/>
      <c r="UW13" s="68"/>
      <c r="UX13" s="68"/>
      <c r="UY13" s="68"/>
      <c r="UZ13" s="68"/>
      <c r="VA13" s="68"/>
      <c r="VB13" s="68"/>
      <c r="VC13" s="68"/>
      <c r="VD13" s="68"/>
      <c r="VE13" s="68"/>
      <c r="VF13" s="68"/>
      <c r="VG13" s="68"/>
      <c r="VH13" s="68"/>
      <c r="VI13" s="68"/>
      <c r="VJ13" s="68"/>
      <c r="VK13" s="68"/>
      <c r="VL13" s="68"/>
      <c r="VM13" s="68"/>
      <c r="VN13" s="68"/>
      <c r="VO13" s="68"/>
      <c r="VP13" s="68"/>
      <c r="VQ13" s="68"/>
      <c r="VR13" s="68"/>
      <c r="VS13" s="68"/>
      <c r="VT13" s="68"/>
      <c r="VU13" s="68"/>
      <c r="VV13" s="68"/>
      <c r="VW13" s="68"/>
      <c r="VX13" s="68"/>
      <c r="VY13" s="68"/>
      <c r="VZ13" s="68"/>
      <c r="WA13" s="68"/>
      <c r="WB13" s="68"/>
      <c r="WC13" s="68"/>
      <c r="WD13" s="68"/>
      <c r="WE13" s="68"/>
      <c r="WF13" s="68"/>
      <c r="WG13" s="68"/>
      <c r="WH13" s="68"/>
      <c r="WI13" s="68"/>
      <c r="WJ13" s="68"/>
      <c r="WK13" s="68"/>
      <c r="WL13" s="68"/>
      <c r="WM13" s="68"/>
      <c r="WN13" s="68"/>
      <c r="WO13" s="68"/>
      <c r="WP13" s="68"/>
      <c r="WQ13" s="68"/>
      <c r="WR13" s="68"/>
      <c r="WS13" s="68"/>
      <c r="WT13" s="68"/>
      <c r="WU13" s="68"/>
      <c r="WV13" s="68"/>
      <c r="WW13" s="68"/>
      <c r="WX13" s="68"/>
      <c r="WY13" s="68"/>
      <c r="WZ13" s="68"/>
      <c r="XA13" s="68"/>
      <c r="XB13" s="68"/>
      <c r="XC13" s="68"/>
      <c r="XD13" s="68"/>
      <c r="XE13" s="68"/>
      <c r="XF13" s="68"/>
      <c r="XG13" s="68"/>
      <c r="XH13" s="68"/>
      <c r="XI13" s="68"/>
      <c r="XJ13" s="68"/>
      <c r="XK13" s="68"/>
      <c r="XL13" s="68"/>
      <c r="XM13" s="68"/>
      <c r="XN13" s="68"/>
      <c r="XO13" s="68"/>
      <c r="XP13" s="68"/>
      <c r="XQ13" s="68"/>
      <c r="XR13" s="68"/>
      <c r="XS13" s="68"/>
      <c r="XT13" s="68"/>
      <c r="XU13" s="68"/>
      <c r="XV13" s="68"/>
      <c r="XW13" s="68"/>
      <c r="XX13" s="68"/>
      <c r="XY13" s="68"/>
      <c r="XZ13" s="68"/>
      <c r="YA13" s="68"/>
      <c r="YB13" s="68"/>
      <c r="YC13" s="68"/>
      <c r="YD13" s="68"/>
      <c r="YE13" s="68"/>
      <c r="YF13" s="68"/>
      <c r="YG13" s="68"/>
      <c r="YH13" s="68"/>
      <c r="YI13" s="68"/>
      <c r="YJ13" s="68"/>
      <c r="YK13" s="68"/>
      <c r="YL13" s="68"/>
      <c r="YM13" s="68"/>
      <c r="YN13" s="68"/>
      <c r="YO13" s="68"/>
      <c r="YP13" s="68"/>
      <c r="YQ13" s="68"/>
      <c r="YR13" s="68"/>
      <c r="YS13" s="68"/>
      <c r="YT13" s="68"/>
      <c r="YU13" s="68"/>
      <c r="YV13" s="68"/>
      <c r="YW13" s="68"/>
      <c r="YX13" s="68"/>
      <c r="YY13" s="68"/>
      <c r="YZ13" s="68"/>
      <c r="ZA13" s="68"/>
      <c r="ZB13" s="68"/>
      <c r="ZC13" s="68"/>
      <c r="ZD13" s="68"/>
      <c r="ZE13" s="68"/>
      <c r="ZF13" s="68"/>
      <c r="ZG13" s="68"/>
      <c r="ZH13" s="68"/>
      <c r="ZI13" s="68"/>
      <c r="ZJ13" s="68"/>
      <c r="ZK13" s="68"/>
      <c r="ZL13" s="68"/>
      <c r="ZM13" s="68"/>
      <c r="ZN13" s="68"/>
      <c r="ZO13" s="68"/>
      <c r="ZP13" s="68"/>
      <c r="ZQ13" s="68"/>
      <c r="ZR13" s="68"/>
      <c r="ZS13" s="68"/>
      <c r="ZT13" s="68"/>
      <c r="ZU13" s="68"/>
      <c r="ZV13" s="68"/>
      <c r="ZW13" s="68"/>
      <c r="ZX13" s="68"/>
      <c r="ZY13" s="68"/>
      <c r="ZZ13" s="68"/>
      <c r="AAA13" s="68"/>
      <c r="AAB13" s="68"/>
      <c r="AAC13" s="68"/>
      <c r="AAD13" s="68"/>
      <c r="AAE13" s="68"/>
      <c r="AAF13" s="68"/>
    </row>
    <row r="14" spans="1:708" s="76" customFormat="1" ht="54" customHeight="1" x14ac:dyDescent="0.25">
      <c r="A14" s="703"/>
      <c r="B14" s="703"/>
      <c r="C14" s="703"/>
      <c r="D14" s="703"/>
      <c r="E14" s="703"/>
      <c r="F14" s="703"/>
      <c r="G14" s="703"/>
      <c r="H14" s="703"/>
      <c r="I14" s="705"/>
      <c r="J14" s="698"/>
      <c r="K14" s="698"/>
      <c r="L14" s="698"/>
      <c r="M14" s="698"/>
      <c r="N14" s="698"/>
      <c r="O14" s="698"/>
      <c r="P14" s="699"/>
      <c r="Q14" s="70" t="s">
        <v>121</v>
      </c>
      <c r="R14" s="70" t="s">
        <v>122</v>
      </c>
      <c r="S14" s="527" t="s">
        <v>74</v>
      </c>
      <c r="T14" s="527"/>
      <c r="U14" s="81">
        <v>0.89</v>
      </c>
      <c r="V14" s="907"/>
      <c r="W14" s="1009"/>
      <c r="X14" s="543" t="s">
        <v>102</v>
      </c>
      <c r="Y14" s="700"/>
      <c r="Z14" s="690"/>
      <c r="AA14" s="700"/>
      <c r="AB14" s="690"/>
      <c r="AC14" s="526">
        <f>0/3</f>
        <v>0</v>
      </c>
      <c r="AD14" s="81">
        <f t="shared" si="0"/>
        <v>0.89</v>
      </c>
      <c r="AE14" s="526">
        <f>+AC14/AD14</f>
        <v>0</v>
      </c>
      <c r="AF14" s="527" t="s">
        <v>123</v>
      </c>
      <c r="AG14" s="692"/>
      <c r="AH14" s="689"/>
      <c r="AI14" s="692"/>
      <c r="AJ14" s="689"/>
      <c r="AK14" s="552">
        <v>0</v>
      </c>
      <c r="AL14" s="82">
        <v>0.89</v>
      </c>
      <c r="AM14" s="552">
        <v>0</v>
      </c>
      <c r="AN14" s="551" t="s">
        <v>124</v>
      </c>
      <c r="AO14" s="692"/>
      <c r="AP14" s="689"/>
      <c r="AQ14" s="692"/>
      <c r="AR14" s="689"/>
      <c r="AS14" s="552">
        <f>0/9</f>
        <v>0</v>
      </c>
      <c r="AT14" s="82">
        <f t="shared" si="1"/>
        <v>0.89</v>
      </c>
      <c r="AU14" s="552">
        <f>+AS14/AT14</f>
        <v>0</v>
      </c>
      <c r="AV14" s="551" t="s">
        <v>125</v>
      </c>
      <c r="AW14" s="692"/>
      <c r="AX14" s="689"/>
      <c r="AY14" s="692"/>
      <c r="AZ14" s="689"/>
      <c r="BA14" s="552">
        <f>(0/9)</f>
        <v>0</v>
      </c>
      <c r="BB14" s="82">
        <f>+U14</f>
        <v>0.89</v>
      </c>
      <c r="BC14" s="552">
        <f>+BA14/BB14</f>
        <v>0</v>
      </c>
      <c r="BD14" s="551" t="s">
        <v>1325</v>
      </c>
      <c r="BE14" s="692"/>
      <c r="BF14" s="689"/>
      <c r="BG14" s="692"/>
      <c r="BH14" s="689"/>
      <c r="BI14" s="552">
        <f>(0/9)</f>
        <v>0</v>
      </c>
      <c r="BJ14" s="82">
        <v>0.89</v>
      </c>
      <c r="BK14" s="552">
        <f>+BI14/BJ14</f>
        <v>0</v>
      </c>
      <c r="BL14" s="551" t="s">
        <v>1326</v>
      </c>
      <c r="BM14" s="692"/>
      <c r="BN14" s="689"/>
      <c r="BO14" s="692"/>
      <c r="BP14" s="689"/>
      <c r="BQ14" s="902"/>
      <c r="BR14" s="903"/>
      <c r="BS14" s="903"/>
      <c r="BT14" s="904"/>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c r="DL14" s="68"/>
      <c r="DM14" s="68"/>
      <c r="DN14" s="68"/>
      <c r="DO14" s="68"/>
      <c r="DP14" s="68"/>
      <c r="DQ14" s="68"/>
      <c r="DR14" s="68"/>
      <c r="DS14" s="68"/>
      <c r="DT14" s="68"/>
      <c r="DU14" s="68"/>
      <c r="DV14" s="68"/>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c r="EU14" s="68"/>
      <c r="EV14" s="68"/>
      <c r="EW14" s="68"/>
      <c r="EX14" s="68"/>
      <c r="EY14" s="68"/>
      <c r="EZ14" s="68"/>
      <c r="FA14" s="68"/>
      <c r="FB14" s="68"/>
      <c r="FC14" s="68"/>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c r="HY14" s="68"/>
      <c r="HZ14" s="68"/>
      <c r="IA14" s="68"/>
      <c r="IB14" s="68"/>
      <c r="IC14" s="68"/>
      <c r="ID14" s="68"/>
      <c r="IE14" s="68"/>
      <c r="IF14" s="68"/>
      <c r="IG14" s="68"/>
      <c r="IH14" s="68"/>
      <c r="II14" s="68"/>
      <c r="IJ14" s="68"/>
      <c r="IK14" s="68"/>
      <c r="IL14" s="68"/>
      <c r="IM14" s="68"/>
      <c r="IN14" s="68"/>
      <c r="IO14" s="68"/>
      <c r="IP14" s="68"/>
      <c r="IQ14" s="68"/>
      <c r="IR14" s="68"/>
      <c r="IS14" s="68"/>
      <c r="IT14" s="68"/>
      <c r="IU14" s="68"/>
      <c r="IV14" s="68"/>
      <c r="IW14" s="68"/>
      <c r="IX14" s="68"/>
      <c r="IY14" s="68"/>
      <c r="IZ14" s="68"/>
      <c r="JA14" s="68"/>
      <c r="JB14" s="68"/>
      <c r="JC14" s="68"/>
      <c r="JD14" s="68"/>
      <c r="JE14" s="68"/>
      <c r="JF14" s="68"/>
      <c r="JG14" s="68"/>
      <c r="JH14" s="68"/>
      <c r="JI14" s="68"/>
      <c r="JJ14" s="68"/>
      <c r="JK14" s="68"/>
      <c r="JL14" s="68"/>
      <c r="JM14" s="68"/>
      <c r="JN14" s="68"/>
      <c r="JO14" s="68"/>
      <c r="JP14" s="68"/>
      <c r="JQ14" s="68"/>
      <c r="JR14" s="68"/>
      <c r="JS14" s="68"/>
      <c r="JT14" s="68"/>
      <c r="JU14" s="68"/>
      <c r="JV14" s="68"/>
      <c r="JW14" s="68"/>
      <c r="JX14" s="68"/>
      <c r="JY14" s="68"/>
      <c r="JZ14" s="68"/>
      <c r="KA14" s="68"/>
      <c r="KB14" s="68"/>
      <c r="KC14" s="68"/>
      <c r="KD14" s="68"/>
      <c r="KE14" s="68"/>
      <c r="KF14" s="68"/>
      <c r="KG14" s="68"/>
      <c r="KH14" s="68"/>
      <c r="KI14" s="68"/>
      <c r="KJ14" s="68"/>
      <c r="KK14" s="68"/>
      <c r="KL14" s="68"/>
      <c r="KM14" s="68"/>
      <c r="KN14" s="68"/>
      <c r="KO14" s="68"/>
      <c r="KP14" s="68"/>
      <c r="KQ14" s="68"/>
      <c r="KR14" s="68"/>
      <c r="KS14" s="68"/>
      <c r="KT14" s="68"/>
      <c r="KU14" s="68"/>
      <c r="KV14" s="68"/>
      <c r="KW14" s="68"/>
      <c r="KX14" s="68"/>
      <c r="KY14" s="68"/>
      <c r="KZ14" s="68"/>
      <c r="LA14" s="68"/>
      <c r="LB14" s="68"/>
      <c r="LC14" s="68"/>
      <c r="LD14" s="68"/>
      <c r="LE14" s="68"/>
      <c r="LF14" s="68"/>
      <c r="LG14" s="68"/>
      <c r="LH14" s="68"/>
      <c r="LI14" s="68"/>
      <c r="LJ14" s="68"/>
      <c r="LK14" s="68"/>
      <c r="LL14" s="68"/>
      <c r="LM14" s="68"/>
      <c r="LN14" s="68"/>
      <c r="LO14" s="68"/>
      <c r="LP14" s="68"/>
      <c r="LQ14" s="68"/>
      <c r="LR14" s="68"/>
      <c r="LS14" s="68"/>
      <c r="LT14" s="68"/>
      <c r="LU14" s="68"/>
      <c r="LV14" s="68"/>
      <c r="LW14" s="68"/>
      <c r="LX14" s="68"/>
      <c r="LY14" s="68"/>
      <c r="LZ14" s="68"/>
      <c r="MA14" s="68"/>
      <c r="MB14" s="68"/>
      <c r="MC14" s="68"/>
      <c r="MD14" s="68"/>
      <c r="ME14" s="68"/>
      <c r="MF14" s="68"/>
      <c r="MG14" s="68"/>
      <c r="MH14" s="68"/>
      <c r="MI14" s="68"/>
      <c r="MJ14" s="68"/>
      <c r="MK14" s="68"/>
      <c r="ML14" s="68"/>
      <c r="MM14" s="68"/>
      <c r="MN14" s="68"/>
      <c r="MO14" s="68"/>
      <c r="MP14" s="68"/>
      <c r="MQ14" s="68"/>
      <c r="MR14" s="68"/>
      <c r="MS14" s="68"/>
      <c r="MT14" s="68"/>
      <c r="MU14" s="68"/>
      <c r="MV14" s="68"/>
      <c r="MW14" s="68"/>
      <c r="MX14" s="68"/>
      <c r="MY14" s="68"/>
      <c r="MZ14" s="68"/>
      <c r="NA14" s="68"/>
      <c r="NB14" s="68"/>
      <c r="NC14" s="68"/>
      <c r="ND14" s="68"/>
      <c r="NE14" s="68"/>
      <c r="NF14" s="68"/>
      <c r="NG14" s="68"/>
      <c r="NH14" s="68"/>
      <c r="NI14" s="68"/>
      <c r="NJ14" s="68"/>
      <c r="NK14" s="68"/>
      <c r="NL14" s="68"/>
      <c r="NM14" s="68"/>
      <c r="NN14" s="68"/>
      <c r="NO14" s="68"/>
      <c r="NP14" s="68"/>
      <c r="NQ14" s="68"/>
      <c r="NR14" s="68"/>
      <c r="NS14" s="68"/>
      <c r="NT14" s="68"/>
      <c r="NU14" s="68"/>
      <c r="NV14" s="68"/>
      <c r="NW14" s="68"/>
      <c r="NX14" s="68"/>
      <c r="NY14" s="68"/>
      <c r="NZ14" s="68"/>
      <c r="OA14" s="68"/>
      <c r="OB14" s="68"/>
      <c r="OC14" s="68"/>
      <c r="OD14" s="68"/>
      <c r="OE14" s="68"/>
      <c r="OF14" s="68"/>
      <c r="OG14" s="68"/>
      <c r="OH14" s="68"/>
      <c r="OI14" s="68"/>
      <c r="OJ14" s="68"/>
      <c r="OK14" s="68"/>
      <c r="OL14" s="68"/>
      <c r="OM14" s="68"/>
      <c r="ON14" s="68"/>
      <c r="OO14" s="68"/>
      <c r="OP14" s="68"/>
      <c r="OQ14" s="68"/>
      <c r="OR14" s="68"/>
      <c r="OS14" s="68"/>
      <c r="OT14" s="68"/>
      <c r="OU14" s="68"/>
      <c r="OV14" s="68"/>
      <c r="OW14" s="68"/>
      <c r="OX14" s="68"/>
      <c r="OY14" s="68"/>
      <c r="OZ14" s="68"/>
      <c r="PA14" s="68"/>
      <c r="PB14" s="68"/>
      <c r="PC14" s="68"/>
      <c r="PD14" s="68"/>
      <c r="PE14" s="68"/>
      <c r="PF14" s="68"/>
      <c r="PG14" s="68"/>
      <c r="PH14" s="68"/>
      <c r="PI14" s="68"/>
      <c r="PJ14" s="68"/>
      <c r="PK14" s="68"/>
      <c r="PL14" s="68"/>
      <c r="PM14" s="68"/>
      <c r="PN14" s="68"/>
      <c r="PO14" s="68"/>
      <c r="PP14" s="68"/>
      <c r="PQ14" s="68"/>
      <c r="PR14" s="68"/>
      <c r="PS14" s="68"/>
      <c r="PT14" s="68"/>
      <c r="PU14" s="68"/>
      <c r="PV14" s="68"/>
      <c r="PW14" s="68"/>
      <c r="PX14" s="68"/>
      <c r="PY14" s="68"/>
      <c r="PZ14" s="68"/>
      <c r="QA14" s="68"/>
      <c r="QB14" s="68"/>
      <c r="QC14" s="68"/>
      <c r="QD14" s="68"/>
      <c r="QE14" s="68"/>
      <c r="QF14" s="68"/>
      <c r="QG14" s="68"/>
      <c r="QH14" s="68"/>
      <c r="QI14" s="68"/>
      <c r="QJ14" s="68"/>
      <c r="QK14" s="68"/>
      <c r="QL14" s="68"/>
      <c r="QM14" s="68"/>
      <c r="QN14" s="68"/>
      <c r="QO14" s="68"/>
      <c r="QP14" s="68"/>
      <c r="QQ14" s="68"/>
      <c r="QR14" s="68"/>
      <c r="QS14" s="68"/>
      <c r="QT14" s="68"/>
      <c r="QU14" s="68"/>
      <c r="QV14" s="68"/>
      <c r="QW14" s="68"/>
      <c r="QX14" s="68"/>
      <c r="QY14" s="68"/>
      <c r="QZ14" s="68"/>
      <c r="RA14" s="68"/>
      <c r="RB14" s="68"/>
      <c r="RC14" s="68"/>
      <c r="RD14" s="68"/>
      <c r="RE14" s="68"/>
      <c r="RF14" s="68"/>
      <c r="RG14" s="68"/>
      <c r="RH14" s="68"/>
      <c r="RI14" s="68"/>
      <c r="RJ14" s="68"/>
      <c r="RK14" s="68"/>
      <c r="RL14" s="68"/>
      <c r="RM14" s="68"/>
      <c r="RN14" s="68"/>
      <c r="RO14" s="68"/>
      <c r="RP14" s="68"/>
      <c r="RQ14" s="68"/>
      <c r="RR14" s="68"/>
      <c r="RS14" s="68"/>
      <c r="RT14" s="68"/>
      <c r="RU14" s="68"/>
      <c r="RV14" s="68"/>
      <c r="RW14" s="68"/>
      <c r="RX14" s="68"/>
      <c r="RY14" s="68"/>
      <c r="RZ14" s="68"/>
      <c r="SA14" s="68"/>
      <c r="SB14" s="68"/>
      <c r="SC14" s="68"/>
      <c r="SD14" s="68"/>
      <c r="SE14" s="68"/>
      <c r="SF14" s="68"/>
      <c r="SG14" s="68"/>
      <c r="SH14" s="68"/>
      <c r="SI14" s="68"/>
      <c r="SJ14" s="68"/>
      <c r="SK14" s="68"/>
      <c r="SL14" s="68"/>
      <c r="SM14" s="68"/>
      <c r="SN14" s="68"/>
      <c r="SO14" s="68"/>
      <c r="SP14" s="68"/>
      <c r="SQ14" s="68"/>
      <c r="SR14" s="68"/>
      <c r="SS14" s="68"/>
      <c r="ST14" s="68"/>
      <c r="SU14" s="68"/>
      <c r="SV14" s="68"/>
      <c r="SW14" s="68"/>
      <c r="SX14" s="68"/>
      <c r="SY14" s="68"/>
      <c r="SZ14" s="68"/>
      <c r="TA14" s="68"/>
      <c r="TB14" s="68"/>
      <c r="TC14" s="68"/>
      <c r="TD14" s="68"/>
      <c r="TE14" s="68"/>
      <c r="TF14" s="68"/>
      <c r="TG14" s="68"/>
      <c r="TH14" s="68"/>
      <c r="TI14" s="68"/>
      <c r="TJ14" s="68"/>
      <c r="TK14" s="68"/>
      <c r="TL14" s="68"/>
      <c r="TM14" s="68"/>
      <c r="TN14" s="68"/>
      <c r="TO14" s="68"/>
      <c r="TP14" s="68"/>
      <c r="TQ14" s="68"/>
      <c r="TR14" s="68"/>
      <c r="TS14" s="68"/>
      <c r="TT14" s="68"/>
      <c r="TU14" s="68"/>
      <c r="TV14" s="68"/>
      <c r="TW14" s="68"/>
      <c r="TX14" s="68"/>
      <c r="TY14" s="68"/>
      <c r="TZ14" s="68"/>
      <c r="UA14" s="68"/>
      <c r="UB14" s="68"/>
      <c r="UC14" s="68"/>
      <c r="UD14" s="68"/>
      <c r="UE14" s="68"/>
      <c r="UF14" s="68"/>
      <c r="UG14" s="68"/>
      <c r="UH14" s="68"/>
      <c r="UI14" s="68"/>
      <c r="UJ14" s="68"/>
      <c r="UK14" s="68"/>
      <c r="UL14" s="68"/>
      <c r="UM14" s="68"/>
      <c r="UN14" s="68"/>
      <c r="UO14" s="68"/>
      <c r="UP14" s="68"/>
      <c r="UQ14" s="68"/>
      <c r="UR14" s="68"/>
      <c r="US14" s="68"/>
      <c r="UT14" s="68"/>
      <c r="UU14" s="68"/>
      <c r="UV14" s="68"/>
      <c r="UW14" s="68"/>
      <c r="UX14" s="68"/>
      <c r="UY14" s="68"/>
      <c r="UZ14" s="68"/>
      <c r="VA14" s="68"/>
      <c r="VB14" s="68"/>
      <c r="VC14" s="68"/>
      <c r="VD14" s="68"/>
      <c r="VE14" s="68"/>
      <c r="VF14" s="68"/>
      <c r="VG14" s="68"/>
      <c r="VH14" s="68"/>
      <c r="VI14" s="68"/>
      <c r="VJ14" s="68"/>
      <c r="VK14" s="68"/>
      <c r="VL14" s="68"/>
      <c r="VM14" s="68"/>
      <c r="VN14" s="68"/>
      <c r="VO14" s="68"/>
      <c r="VP14" s="68"/>
      <c r="VQ14" s="68"/>
      <c r="VR14" s="68"/>
      <c r="VS14" s="68"/>
      <c r="VT14" s="68"/>
      <c r="VU14" s="68"/>
      <c r="VV14" s="68"/>
      <c r="VW14" s="68"/>
      <c r="VX14" s="68"/>
      <c r="VY14" s="68"/>
      <c r="VZ14" s="68"/>
      <c r="WA14" s="68"/>
      <c r="WB14" s="68"/>
      <c r="WC14" s="68"/>
      <c r="WD14" s="68"/>
      <c r="WE14" s="68"/>
      <c r="WF14" s="68"/>
      <c r="WG14" s="68"/>
      <c r="WH14" s="68"/>
      <c r="WI14" s="68"/>
      <c r="WJ14" s="68"/>
      <c r="WK14" s="68"/>
      <c r="WL14" s="68"/>
      <c r="WM14" s="68"/>
      <c r="WN14" s="68"/>
      <c r="WO14" s="68"/>
      <c r="WP14" s="68"/>
      <c r="WQ14" s="68"/>
      <c r="WR14" s="68"/>
      <c r="WS14" s="68"/>
      <c r="WT14" s="68"/>
      <c r="WU14" s="68"/>
      <c r="WV14" s="68"/>
      <c r="WW14" s="68"/>
      <c r="WX14" s="68"/>
      <c r="WY14" s="68"/>
      <c r="WZ14" s="68"/>
      <c r="XA14" s="68"/>
      <c r="XB14" s="68"/>
      <c r="XC14" s="68"/>
      <c r="XD14" s="68"/>
      <c r="XE14" s="68"/>
      <c r="XF14" s="68"/>
      <c r="XG14" s="68"/>
      <c r="XH14" s="68"/>
      <c r="XI14" s="68"/>
      <c r="XJ14" s="68"/>
      <c r="XK14" s="68"/>
      <c r="XL14" s="68"/>
      <c r="XM14" s="68"/>
      <c r="XN14" s="68"/>
      <c r="XO14" s="68"/>
      <c r="XP14" s="68"/>
      <c r="XQ14" s="68"/>
      <c r="XR14" s="68"/>
      <c r="XS14" s="68"/>
      <c r="XT14" s="68"/>
      <c r="XU14" s="68"/>
      <c r="XV14" s="68"/>
      <c r="XW14" s="68"/>
      <c r="XX14" s="68"/>
      <c r="XY14" s="68"/>
      <c r="XZ14" s="68"/>
      <c r="YA14" s="68"/>
      <c r="YB14" s="68"/>
      <c r="YC14" s="68"/>
      <c r="YD14" s="68"/>
      <c r="YE14" s="68"/>
      <c r="YF14" s="68"/>
      <c r="YG14" s="68"/>
      <c r="YH14" s="68"/>
      <c r="YI14" s="68"/>
      <c r="YJ14" s="68"/>
      <c r="YK14" s="68"/>
      <c r="YL14" s="68"/>
      <c r="YM14" s="68"/>
      <c r="YN14" s="68"/>
      <c r="YO14" s="68"/>
      <c r="YP14" s="68"/>
      <c r="YQ14" s="68"/>
      <c r="YR14" s="68"/>
      <c r="YS14" s="68"/>
      <c r="YT14" s="68"/>
      <c r="YU14" s="68"/>
      <c r="YV14" s="68"/>
      <c r="YW14" s="68"/>
      <c r="YX14" s="68"/>
      <c r="YY14" s="68"/>
      <c r="YZ14" s="68"/>
      <c r="ZA14" s="68"/>
      <c r="ZB14" s="68"/>
      <c r="ZC14" s="68"/>
      <c r="ZD14" s="68"/>
      <c r="ZE14" s="68"/>
      <c r="ZF14" s="68"/>
      <c r="ZG14" s="68"/>
      <c r="ZH14" s="68"/>
      <c r="ZI14" s="68"/>
      <c r="ZJ14" s="68"/>
      <c r="ZK14" s="68"/>
      <c r="ZL14" s="68"/>
      <c r="ZM14" s="68"/>
      <c r="ZN14" s="68"/>
      <c r="ZO14" s="68"/>
      <c r="ZP14" s="68"/>
      <c r="ZQ14" s="68"/>
      <c r="ZR14" s="68"/>
      <c r="ZS14" s="68"/>
      <c r="ZT14" s="68"/>
      <c r="ZU14" s="68"/>
      <c r="ZV14" s="68"/>
      <c r="ZW14" s="68"/>
      <c r="ZX14" s="68"/>
      <c r="ZY14" s="68"/>
      <c r="ZZ14" s="68"/>
      <c r="AAA14" s="68"/>
      <c r="AAB14" s="68"/>
      <c r="AAC14" s="68"/>
      <c r="AAD14" s="68"/>
      <c r="AAE14" s="68"/>
      <c r="AAF14" s="68"/>
    </row>
    <row r="15" spans="1:708" s="21" customFormat="1" ht="70.5" customHeight="1" x14ac:dyDescent="0.25">
      <c r="A15" s="52"/>
      <c r="B15" s="52"/>
      <c r="C15" s="52"/>
      <c r="D15" s="52"/>
      <c r="E15" s="52"/>
      <c r="F15" s="52"/>
      <c r="G15" s="52"/>
      <c r="H15" s="52"/>
      <c r="I15" s="52"/>
      <c r="J15" s="52"/>
      <c r="K15" s="52"/>
      <c r="L15" s="52"/>
      <c r="M15" s="52"/>
      <c r="N15" s="52"/>
      <c r="O15" s="52"/>
      <c r="P15" s="53"/>
      <c r="Q15" s="52"/>
      <c r="R15" s="52"/>
      <c r="S15" s="53"/>
      <c r="T15" s="52"/>
      <c r="U15" s="52"/>
      <c r="V15" s="54"/>
      <c r="W15" s="1009"/>
      <c r="X15" s="52"/>
      <c r="Y15" s="657" t="s">
        <v>99</v>
      </c>
      <c r="Z15" s="657"/>
      <c r="AA15" s="55">
        <f>AVERAGE(AA11:AA14)</f>
        <v>0.58054775280898885</v>
      </c>
      <c r="AB15" s="56"/>
      <c r="AC15" s="657" t="s">
        <v>100</v>
      </c>
      <c r="AD15" s="657"/>
      <c r="AE15" s="55">
        <f>AVERAGE(AE11:AE14)</f>
        <v>0.31423220973782773</v>
      </c>
      <c r="AF15" s="58"/>
      <c r="AG15" s="658" t="s">
        <v>99</v>
      </c>
      <c r="AH15" s="658"/>
      <c r="AI15" s="55">
        <f>AVERAGE(AI11:AI14)</f>
        <v>0.61179775280898885</v>
      </c>
      <c r="AJ15" s="60"/>
      <c r="AK15" s="658" t="s">
        <v>100</v>
      </c>
      <c r="AL15" s="658"/>
      <c r="AM15" s="55">
        <f>AVERAGE(AM11:AM14)</f>
        <v>0.32673220973782774</v>
      </c>
      <c r="AN15" s="62"/>
      <c r="AO15" s="657" t="s">
        <v>99</v>
      </c>
      <c r="AP15" s="657"/>
      <c r="AQ15" s="55">
        <f>AVERAGE(AQ11:AQ14)</f>
        <v>0.63054775280898878</v>
      </c>
      <c r="AR15" s="56"/>
      <c r="AS15" s="657" t="s">
        <v>100</v>
      </c>
      <c r="AT15" s="657"/>
      <c r="AU15" s="55">
        <f>AVERAGE(AU11:AU14)</f>
        <v>0.3350655430711611</v>
      </c>
      <c r="AV15" s="58"/>
      <c r="AW15" s="658" t="s">
        <v>99</v>
      </c>
      <c r="AX15" s="658"/>
      <c r="AY15" s="59">
        <f>AVERAGE(AY11:AY14)</f>
        <v>0.64929775280898883</v>
      </c>
      <c r="AZ15" s="60"/>
      <c r="BA15" s="658" t="s">
        <v>100</v>
      </c>
      <c r="BB15" s="658"/>
      <c r="BC15" s="59">
        <f>AVERAGE(BC11:BC14)</f>
        <v>0.3433988764044944</v>
      </c>
      <c r="BD15" s="62"/>
      <c r="BE15" s="658" t="s">
        <v>99</v>
      </c>
      <c r="BF15" s="658"/>
      <c r="BG15" s="59">
        <f>AVERAGE(BG11:BG14)</f>
        <v>0.66179775280898878</v>
      </c>
      <c r="BH15" s="60"/>
      <c r="BI15" s="657" t="s">
        <v>100</v>
      </c>
      <c r="BJ15" s="657"/>
      <c r="BK15" s="55">
        <f>AVERAGE(BK11:BK14)</f>
        <v>0.3433988764044944</v>
      </c>
      <c r="BL15" s="58"/>
      <c r="BM15" s="658" t="s">
        <v>99</v>
      </c>
      <c r="BN15" s="658"/>
      <c r="BO15" s="59">
        <f>AVERAGE(BO11:BO14)</f>
        <v>0.66179775280898878</v>
      </c>
      <c r="BP15" s="60"/>
      <c r="BQ15" s="658" t="s">
        <v>100</v>
      </c>
      <c r="BR15" s="658"/>
      <c r="BS15" s="59">
        <f>AVERAGE(BS11:BS14)</f>
        <v>0.45786516853932585</v>
      </c>
      <c r="BT15" s="62"/>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row>
    <row r="16" spans="1:708" ht="70.5" customHeight="1" x14ac:dyDescent="0.25">
      <c r="A16" s="696" t="s">
        <v>43</v>
      </c>
      <c r="B16" s="696" t="s">
        <v>44</v>
      </c>
      <c r="C16" s="696" t="s">
        <v>45</v>
      </c>
      <c r="D16" s="696" t="s">
        <v>46</v>
      </c>
      <c r="E16" s="696" t="s">
        <v>47</v>
      </c>
      <c r="F16" s="696" t="s">
        <v>48</v>
      </c>
      <c r="G16" s="696" t="s">
        <v>49</v>
      </c>
      <c r="H16" s="696" t="s">
        <v>50</v>
      </c>
      <c r="I16" s="696" t="s">
        <v>51</v>
      </c>
      <c r="J16" s="696" t="s">
        <v>1296</v>
      </c>
      <c r="K16" s="696" t="s">
        <v>143</v>
      </c>
      <c r="L16" s="696" t="s">
        <v>54</v>
      </c>
      <c r="M16" s="696" t="s">
        <v>55</v>
      </c>
      <c r="N16" s="696" t="s">
        <v>56</v>
      </c>
      <c r="O16" s="696"/>
      <c r="P16" s="690">
        <v>57</v>
      </c>
      <c r="Q16" s="63" t="s">
        <v>57</v>
      </c>
      <c r="R16" s="63" t="s">
        <v>58</v>
      </c>
      <c r="S16" s="524" t="s">
        <v>56</v>
      </c>
      <c r="T16" s="524"/>
      <c r="U16" s="524">
        <v>46</v>
      </c>
      <c r="V16" s="905">
        <v>408100784</v>
      </c>
      <c r="W16" s="1009"/>
      <c r="X16" s="542" t="s">
        <v>102</v>
      </c>
      <c r="Y16" s="690">
        <v>2</v>
      </c>
      <c r="Z16" s="690">
        <f>+P16</f>
        <v>57</v>
      </c>
      <c r="AA16" s="700">
        <f>+Y16/Z16</f>
        <v>3.5087719298245612E-2</v>
      </c>
      <c r="AB16" s="690" t="s">
        <v>145</v>
      </c>
      <c r="AC16" s="524">
        <v>1</v>
      </c>
      <c r="AD16" s="524">
        <f t="shared" ref="AD16:AD19" si="2">+U16</f>
        <v>46</v>
      </c>
      <c r="AE16" s="525">
        <f>+AC16/AD16</f>
        <v>2.1739130434782608E-2</v>
      </c>
      <c r="AF16" s="524" t="s">
        <v>146</v>
      </c>
      <c r="AG16" s="689">
        <v>4</v>
      </c>
      <c r="AH16" s="689">
        <v>57</v>
      </c>
      <c r="AI16" s="692">
        <v>7.0175438596491224E-2</v>
      </c>
      <c r="AJ16" s="689" t="s">
        <v>147</v>
      </c>
      <c r="AK16" s="539">
        <v>7</v>
      </c>
      <c r="AL16" s="539">
        <v>46</v>
      </c>
      <c r="AM16" s="541">
        <v>0.15217391304347827</v>
      </c>
      <c r="AN16" s="539" t="s">
        <v>148</v>
      </c>
      <c r="AO16" s="689">
        <v>7</v>
      </c>
      <c r="AP16" s="689">
        <f>+P16</f>
        <v>57</v>
      </c>
      <c r="AQ16" s="692">
        <f>+AO16/AP16</f>
        <v>0.12280701754385964</v>
      </c>
      <c r="AR16" s="689" t="s">
        <v>149</v>
      </c>
      <c r="AS16" s="539">
        <v>8</v>
      </c>
      <c r="AT16" s="539">
        <f t="shared" ref="AT16:AT19" si="3">+U16</f>
        <v>46</v>
      </c>
      <c r="AU16" s="541">
        <f>+AS16/AT16</f>
        <v>0.17391304347826086</v>
      </c>
      <c r="AV16" s="539" t="s">
        <v>150</v>
      </c>
      <c r="AW16" s="689">
        <v>8</v>
      </c>
      <c r="AX16" s="689">
        <f>+P16</f>
        <v>57</v>
      </c>
      <c r="AY16" s="692">
        <f>+AW16/AX16</f>
        <v>0.14035087719298245</v>
      </c>
      <c r="AZ16" s="689" t="s">
        <v>1327</v>
      </c>
      <c r="BA16" s="539">
        <v>8</v>
      </c>
      <c r="BB16" s="539">
        <f>+U16</f>
        <v>46</v>
      </c>
      <c r="BC16" s="541">
        <f>+BA16/BB16</f>
        <v>0.17391304347826086</v>
      </c>
      <c r="BD16" s="539" t="s">
        <v>1328</v>
      </c>
      <c r="BE16" s="689">
        <v>10</v>
      </c>
      <c r="BF16" s="689">
        <v>57</v>
      </c>
      <c r="BG16" s="692">
        <f>+BE16/BF16</f>
        <v>0.17543859649122806</v>
      </c>
      <c r="BH16" s="689" t="s">
        <v>1329</v>
      </c>
      <c r="BI16" s="539">
        <v>8</v>
      </c>
      <c r="BJ16" s="539">
        <v>46</v>
      </c>
      <c r="BK16" s="541">
        <f>+BI16/BJ16</f>
        <v>0.17391304347826086</v>
      </c>
      <c r="BL16" s="539" t="s">
        <v>1330</v>
      </c>
      <c r="BM16" s="689">
        <v>12</v>
      </c>
      <c r="BN16" s="689">
        <v>57</v>
      </c>
      <c r="BO16" s="692">
        <f>+BM16/BN16</f>
        <v>0.21052631578947367</v>
      </c>
      <c r="BP16" s="689" t="s">
        <v>1331</v>
      </c>
      <c r="BQ16" s="539">
        <v>8</v>
      </c>
      <c r="BR16" s="539">
        <v>46</v>
      </c>
      <c r="BS16" s="541">
        <f>+BQ16/BR16</f>
        <v>0.17391304347826086</v>
      </c>
      <c r="BT16" s="539" t="s">
        <v>1332</v>
      </c>
    </row>
    <row r="17" spans="1:708" ht="70.5" customHeight="1" x14ac:dyDescent="0.25">
      <c r="A17" s="716"/>
      <c r="B17" s="716"/>
      <c r="C17" s="716"/>
      <c r="D17" s="716"/>
      <c r="E17" s="716"/>
      <c r="F17" s="716"/>
      <c r="G17" s="716"/>
      <c r="H17" s="716"/>
      <c r="I17" s="716"/>
      <c r="J17" s="716"/>
      <c r="K17" s="716"/>
      <c r="L17" s="716"/>
      <c r="M17" s="716"/>
      <c r="N17" s="716"/>
      <c r="O17" s="716"/>
      <c r="P17" s="690"/>
      <c r="Q17" s="70" t="s">
        <v>66</v>
      </c>
      <c r="R17" s="70" t="s">
        <v>67</v>
      </c>
      <c r="S17" s="527" t="s">
        <v>56</v>
      </c>
      <c r="T17" s="527"/>
      <c r="U17" s="527">
        <v>59</v>
      </c>
      <c r="V17" s="906"/>
      <c r="W17" s="1009"/>
      <c r="X17" s="543" t="s">
        <v>102</v>
      </c>
      <c r="Y17" s="690"/>
      <c r="Z17" s="690"/>
      <c r="AA17" s="700"/>
      <c r="AB17" s="690"/>
      <c r="AC17" s="527">
        <v>0</v>
      </c>
      <c r="AD17" s="527">
        <f t="shared" si="2"/>
        <v>59</v>
      </c>
      <c r="AE17" s="526">
        <f>+AC17/AD17</f>
        <v>0</v>
      </c>
      <c r="AF17" s="527" t="s">
        <v>151</v>
      </c>
      <c r="AG17" s="689"/>
      <c r="AH17" s="689"/>
      <c r="AI17" s="692"/>
      <c r="AJ17" s="689"/>
      <c r="AK17" s="551">
        <v>3</v>
      </c>
      <c r="AL17" s="551">
        <v>59</v>
      </c>
      <c r="AM17" s="552">
        <v>5.0847457627118647E-2</v>
      </c>
      <c r="AN17" s="551" t="s">
        <v>152</v>
      </c>
      <c r="AO17" s="689"/>
      <c r="AP17" s="689"/>
      <c r="AQ17" s="692"/>
      <c r="AR17" s="689"/>
      <c r="AS17" s="551">
        <v>6</v>
      </c>
      <c r="AT17" s="551">
        <f t="shared" si="3"/>
        <v>59</v>
      </c>
      <c r="AU17" s="552">
        <f>+AS17/AT17</f>
        <v>0.10169491525423729</v>
      </c>
      <c r="AV17" s="551" t="s">
        <v>153</v>
      </c>
      <c r="AW17" s="689"/>
      <c r="AX17" s="689"/>
      <c r="AY17" s="692"/>
      <c r="AZ17" s="689"/>
      <c r="BA17" s="551">
        <v>7</v>
      </c>
      <c r="BB17" s="551">
        <f>+U17</f>
        <v>59</v>
      </c>
      <c r="BC17" s="552">
        <f>+BA17/BB17</f>
        <v>0.11864406779661017</v>
      </c>
      <c r="BD17" s="551" t="s">
        <v>1333</v>
      </c>
      <c r="BE17" s="689"/>
      <c r="BF17" s="689"/>
      <c r="BG17" s="692"/>
      <c r="BH17" s="689"/>
      <c r="BI17" s="551">
        <v>10</v>
      </c>
      <c r="BJ17" s="551">
        <v>59</v>
      </c>
      <c r="BK17" s="552">
        <f>+BI17/BJ17</f>
        <v>0.16949152542372881</v>
      </c>
      <c r="BL17" s="551" t="s">
        <v>1334</v>
      </c>
      <c r="BM17" s="689"/>
      <c r="BN17" s="689"/>
      <c r="BO17" s="692"/>
      <c r="BP17" s="689"/>
      <c r="BQ17" s="551">
        <v>10</v>
      </c>
      <c r="BR17" s="551">
        <v>59</v>
      </c>
      <c r="BS17" s="552">
        <f>+BQ17/BR17</f>
        <v>0.16949152542372881</v>
      </c>
      <c r="BT17" s="551" t="s">
        <v>1335</v>
      </c>
    </row>
    <row r="18" spans="1:708" ht="69.75" customHeight="1" x14ac:dyDescent="0.25">
      <c r="A18" s="702" t="s">
        <v>43</v>
      </c>
      <c r="B18" s="702" t="s">
        <v>44</v>
      </c>
      <c r="C18" s="702" t="s">
        <v>45</v>
      </c>
      <c r="D18" s="702" t="s">
        <v>46</v>
      </c>
      <c r="E18" s="702" t="s">
        <v>71</v>
      </c>
      <c r="F18" s="702" t="s">
        <v>48</v>
      </c>
      <c r="G18" s="702" t="s">
        <v>49</v>
      </c>
      <c r="H18" s="702" t="s">
        <v>50</v>
      </c>
      <c r="I18" s="702" t="s">
        <v>51</v>
      </c>
      <c r="J18" s="702" t="s">
        <v>1296</v>
      </c>
      <c r="K18" s="702" t="s">
        <v>143</v>
      </c>
      <c r="L18" s="702" t="s">
        <v>72</v>
      </c>
      <c r="M18" s="702" t="s">
        <v>112</v>
      </c>
      <c r="N18" s="702" t="s">
        <v>74</v>
      </c>
      <c r="O18" s="702"/>
      <c r="P18" s="699">
        <v>0.89</v>
      </c>
      <c r="Q18" s="63" t="s">
        <v>113</v>
      </c>
      <c r="R18" s="63" t="s">
        <v>114</v>
      </c>
      <c r="S18" s="524" t="s">
        <v>74</v>
      </c>
      <c r="T18" s="524"/>
      <c r="U18" s="545">
        <v>0.89</v>
      </c>
      <c r="V18" s="906"/>
      <c r="W18" s="1009"/>
      <c r="X18" s="542" t="s">
        <v>102</v>
      </c>
      <c r="Y18" s="700">
        <f>3/3</f>
        <v>1</v>
      </c>
      <c r="Z18" s="701">
        <f>+P18</f>
        <v>0.89</v>
      </c>
      <c r="AA18" s="701">
        <f>Y18/Z18</f>
        <v>1.1235955056179776</v>
      </c>
      <c r="AB18" s="690" t="s">
        <v>154</v>
      </c>
      <c r="AC18" s="525">
        <f>1/1</f>
        <v>1</v>
      </c>
      <c r="AD18" s="545">
        <f t="shared" si="2"/>
        <v>0.89</v>
      </c>
      <c r="AE18" s="525">
        <f>+AC18/AD18</f>
        <v>1.1235955056179776</v>
      </c>
      <c r="AF18" s="524" t="s">
        <v>155</v>
      </c>
      <c r="AG18" s="692">
        <v>1</v>
      </c>
      <c r="AH18" s="691">
        <v>0.89</v>
      </c>
      <c r="AI18" s="691">
        <v>1.1235955056179776</v>
      </c>
      <c r="AJ18" s="689" t="s">
        <v>156</v>
      </c>
      <c r="AK18" s="541">
        <v>1</v>
      </c>
      <c r="AL18" s="540">
        <v>0.89</v>
      </c>
      <c r="AM18" s="541">
        <v>1.1235955056179776</v>
      </c>
      <c r="AN18" s="539" t="s">
        <v>157</v>
      </c>
      <c r="AO18" s="692">
        <f>7/7</f>
        <v>1</v>
      </c>
      <c r="AP18" s="691">
        <f>+P18</f>
        <v>0.89</v>
      </c>
      <c r="AQ18" s="691">
        <f>AO18/AP18</f>
        <v>1.1235955056179776</v>
      </c>
      <c r="AR18" s="689" t="s">
        <v>158</v>
      </c>
      <c r="AS18" s="541">
        <f>8/8</f>
        <v>1</v>
      </c>
      <c r="AT18" s="540">
        <f t="shared" si="3"/>
        <v>0.89</v>
      </c>
      <c r="AU18" s="541">
        <f>+AS18/AT18</f>
        <v>1.1235955056179776</v>
      </c>
      <c r="AV18" s="539" t="s">
        <v>159</v>
      </c>
      <c r="AW18" s="692">
        <f>(10/10)</f>
        <v>1</v>
      </c>
      <c r="AX18" s="691">
        <f>+P18</f>
        <v>0.89</v>
      </c>
      <c r="AY18" s="691">
        <f>AW18/AX18</f>
        <v>1.1235955056179776</v>
      </c>
      <c r="AZ18" s="689" t="s">
        <v>1336</v>
      </c>
      <c r="BA18" s="541">
        <f>(8/8)</f>
        <v>1</v>
      </c>
      <c r="BB18" s="540">
        <f>+U18</f>
        <v>0.89</v>
      </c>
      <c r="BC18" s="541">
        <f>+BA18/BB18</f>
        <v>1.1235955056179776</v>
      </c>
      <c r="BD18" s="539" t="s">
        <v>1337</v>
      </c>
      <c r="BE18" s="692">
        <f>(11/11)</f>
        <v>1</v>
      </c>
      <c r="BF18" s="691">
        <v>0.89</v>
      </c>
      <c r="BG18" s="691">
        <f>BE18/BF18</f>
        <v>1.1235955056179776</v>
      </c>
      <c r="BH18" s="689" t="s">
        <v>1338</v>
      </c>
      <c r="BI18" s="541">
        <f>(8/8)</f>
        <v>1</v>
      </c>
      <c r="BJ18" s="540">
        <v>0.89</v>
      </c>
      <c r="BK18" s="541">
        <f>+BI18/BJ18</f>
        <v>1.1235955056179776</v>
      </c>
      <c r="BL18" s="539" t="s">
        <v>1339</v>
      </c>
      <c r="BM18" s="692">
        <f>(13/13)</f>
        <v>1</v>
      </c>
      <c r="BN18" s="691">
        <v>0.89</v>
      </c>
      <c r="BO18" s="691">
        <f>BM18/BN18</f>
        <v>1.1235955056179776</v>
      </c>
      <c r="BP18" s="689" t="s">
        <v>1340</v>
      </c>
      <c r="BQ18" s="541">
        <f>(8/8)</f>
        <v>1</v>
      </c>
      <c r="BR18" s="540">
        <v>0.89</v>
      </c>
      <c r="BS18" s="541">
        <f>+BQ18/BR18</f>
        <v>1.1235955056179776</v>
      </c>
      <c r="BT18" s="539" t="s">
        <v>1341</v>
      </c>
    </row>
    <row r="19" spans="1:708" ht="70.5" customHeight="1" x14ac:dyDescent="0.25">
      <c r="A19" s="703"/>
      <c r="B19" s="703"/>
      <c r="C19" s="703"/>
      <c r="D19" s="703"/>
      <c r="E19" s="703"/>
      <c r="F19" s="703"/>
      <c r="G19" s="703"/>
      <c r="H19" s="703"/>
      <c r="I19" s="703"/>
      <c r="J19" s="703"/>
      <c r="K19" s="703"/>
      <c r="L19" s="703"/>
      <c r="M19" s="703"/>
      <c r="N19" s="703"/>
      <c r="O19" s="703"/>
      <c r="P19" s="699"/>
      <c r="Q19" s="70" t="s">
        <v>121</v>
      </c>
      <c r="R19" s="70" t="s">
        <v>122</v>
      </c>
      <c r="S19" s="527" t="s">
        <v>74</v>
      </c>
      <c r="T19" s="527"/>
      <c r="U19" s="81">
        <v>0.89</v>
      </c>
      <c r="V19" s="907"/>
      <c r="W19" s="1009"/>
      <c r="X19" s="543" t="s">
        <v>102</v>
      </c>
      <c r="Y19" s="700"/>
      <c r="Z19" s="690"/>
      <c r="AA19" s="690"/>
      <c r="AB19" s="690"/>
      <c r="AC19" s="526">
        <f>0/1</f>
        <v>0</v>
      </c>
      <c r="AD19" s="81">
        <f t="shared" si="2"/>
        <v>0.89</v>
      </c>
      <c r="AE19" s="526">
        <f>+AC19/AD19</f>
        <v>0</v>
      </c>
      <c r="AF19" s="527" t="s">
        <v>160</v>
      </c>
      <c r="AG19" s="692"/>
      <c r="AH19" s="689"/>
      <c r="AI19" s="689"/>
      <c r="AJ19" s="689"/>
      <c r="AK19" s="552">
        <v>0.25</v>
      </c>
      <c r="AL19" s="82">
        <v>0.89</v>
      </c>
      <c r="AM19" s="552">
        <v>0.2808988764044944</v>
      </c>
      <c r="AN19" s="551" t="s">
        <v>161</v>
      </c>
      <c r="AO19" s="692"/>
      <c r="AP19" s="689"/>
      <c r="AQ19" s="689"/>
      <c r="AR19" s="689"/>
      <c r="AS19" s="552">
        <f>1/7</f>
        <v>0.14285714285714285</v>
      </c>
      <c r="AT19" s="82">
        <f t="shared" si="3"/>
        <v>0.89</v>
      </c>
      <c r="AU19" s="552">
        <f>+AS19/AT19</f>
        <v>0.16051364365971107</v>
      </c>
      <c r="AV19" s="551" t="s">
        <v>162</v>
      </c>
      <c r="AW19" s="692"/>
      <c r="AX19" s="689"/>
      <c r="AY19" s="689"/>
      <c r="AZ19" s="689"/>
      <c r="BA19" s="552">
        <f>(1/7)</f>
        <v>0.14285714285714285</v>
      </c>
      <c r="BB19" s="82">
        <f>+U19</f>
        <v>0.89</v>
      </c>
      <c r="BC19" s="552">
        <f>+BA19/BB19</f>
        <v>0.16051364365971107</v>
      </c>
      <c r="BD19" s="551" t="s">
        <v>1342</v>
      </c>
      <c r="BE19" s="692"/>
      <c r="BF19" s="689"/>
      <c r="BG19" s="689"/>
      <c r="BH19" s="689"/>
      <c r="BI19" s="552">
        <f>(1/10)</f>
        <v>0.1</v>
      </c>
      <c r="BJ19" s="82">
        <v>0.89</v>
      </c>
      <c r="BK19" s="552">
        <f>+BI19/BJ19</f>
        <v>0.11235955056179776</v>
      </c>
      <c r="BL19" s="551" t="s">
        <v>1343</v>
      </c>
      <c r="BM19" s="692"/>
      <c r="BN19" s="689"/>
      <c r="BO19" s="689"/>
      <c r="BP19" s="689"/>
      <c r="BQ19" s="902"/>
      <c r="BR19" s="903"/>
      <c r="BS19" s="903"/>
      <c r="BT19" s="904"/>
    </row>
    <row r="20" spans="1:708" s="21" customFormat="1" ht="70.5" customHeight="1" x14ac:dyDescent="0.25">
      <c r="A20" s="52"/>
      <c r="B20" s="52"/>
      <c r="C20" s="52"/>
      <c r="D20" s="52"/>
      <c r="E20" s="52"/>
      <c r="F20" s="52"/>
      <c r="G20" s="52"/>
      <c r="H20" s="52"/>
      <c r="I20" s="52"/>
      <c r="J20" s="52"/>
      <c r="K20" s="52"/>
      <c r="L20" s="52"/>
      <c r="M20" s="52"/>
      <c r="N20" s="52"/>
      <c r="O20" s="52"/>
      <c r="P20" s="53"/>
      <c r="Q20" s="52"/>
      <c r="R20" s="52"/>
      <c r="S20" s="53"/>
      <c r="T20" s="52"/>
      <c r="U20" s="52"/>
      <c r="V20" s="54"/>
      <c r="W20" s="1009"/>
      <c r="X20" s="52"/>
      <c r="Y20" s="657" t="s">
        <v>99</v>
      </c>
      <c r="Z20" s="657"/>
      <c r="AA20" s="55">
        <f>AVERAGE(AA16:AA19)</f>
        <v>0.57934161245811167</v>
      </c>
      <c r="AB20" s="56"/>
      <c r="AC20" s="657" t="s">
        <v>100</v>
      </c>
      <c r="AD20" s="657"/>
      <c r="AE20" s="55">
        <f>AVERAGE(AE16:AE19)</f>
        <v>0.28633365901319008</v>
      </c>
      <c r="AF20" s="58"/>
      <c r="AG20" s="658" t="s">
        <v>99</v>
      </c>
      <c r="AH20" s="658"/>
      <c r="AI20" s="55">
        <f>AVERAGE(AI16:AI19)</f>
        <v>0.59688547210723442</v>
      </c>
      <c r="AJ20" s="60"/>
      <c r="AK20" s="658" t="s">
        <v>100</v>
      </c>
      <c r="AL20" s="658"/>
      <c r="AM20" s="55">
        <f>AVERAGE(AM16:AM19)</f>
        <v>0.40187893817326725</v>
      </c>
      <c r="AN20" s="62"/>
      <c r="AO20" s="657" t="s">
        <v>99</v>
      </c>
      <c r="AP20" s="657"/>
      <c r="AQ20" s="55">
        <f>AVERAGE(AQ16:AQ19)</f>
        <v>0.6232012615809186</v>
      </c>
      <c r="AR20" s="56"/>
      <c r="AS20" s="657" t="s">
        <v>100</v>
      </c>
      <c r="AT20" s="657"/>
      <c r="AU20" s="55">
        <f>AVERAGE(AU16:AU19)</f>
        <v>0.3899292770025467</v>
      </c>
      <c r="AV20" s="58"/>
      <c r="AW20" s="658" t="s">
        <v>99</v>
      </c>
      <c r="AX20" s="658"/>
      <c r="AY20" s="59">
        <f>AVERAGE(AY16:AY19)</f>
        <v>0.63197319140548003</v>
      </c>
      <c r="AZ20" s="60"/>
      <c r="BA20" s="658" t="s">
        <v>100</v>
      </c>
      <c r="BB20" s="658"/>
      <c r="BC20" s="59">
        <f>AVERAGE(BC16:BC19)</f>
        <v>0.39416656513813991</v>
      </c>
      <c r="BD20" s="62"/>
      <c r="BE20" s="658" t="s">
        <v>99</v>
      </c>
      <c r="BF20" s="658"/>
      <c r="BG20" s="59">
        <f>AVERAGE(BG16:BG19)</f>
        <v>0.64951705105460289</v>
      </c>
      <c r="BH20" s="60"/>
      <c r="BI20" s="657" t="s">
        <v>100</v>
      </c>
      <c r="BJ20" s="657"/>
      <c r="BK20" s="55">
        <f>AVERAGE(BK16:BK19)</f>
        <v>0.39483990627044124</v>
      </c>
      <c r="BL20" s="58"/>
      <c r="BM20" s="658" t="s">
        <v>99</v>
      </c>
      <c r="BN20" s="658"/>
      <c r="BO20" s="59">
        <f>AVERAGE(BO16:BO19)</f>
        <v>0.66706091070372564</v>
      </c>
      <c r="BP20" s="60"/>
      <c r="BQ20" s="658" t="s">
        <v>100</v>
      </c>
      <c r="BR20" s="658"/>
      <c r="BS20" s="59">
        <f>AVERAGE(BS16:BS19)</f>
        <v>0.48900002483998906</v>
      </c>
      <c r="BT20" s="62"/>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c r="JW20" s="20"/>
      <c r="JX20" s="20"/>
      <c r="JY20" s="20"/>
      <c r="JZ20" s="20"/>
      <c r="KA20" s="20"/>
      <c r="KB20" s="20"/>
      <c r="KC20" s="20"/>
      <c r="KD20" s="20"/>
      <c r="KE20" s="20"/>
      <c r="KF20" s="20"/>
      <c r="KG20" s="20"/>
      <c r="KH20" s="20"/>
      <c r="KI20" s="20"/>
      <c r="KJ20" s="20"/>
      <c r="KK20" s="20"/>
      <c r="KL20" s="20"/>
      <c r="KM20" s="20"/>
      <c r="KN20" s="20"/>
      <c r="KO20" s="20"/>
      <c r="KP20" s="20"/>
      <c r="KQ20" s="20"/>
      <c r="KR20" s="20"/>
      <c r="KS20" s="20"/>
      <c r="KT20" s="20"/>
      <c r="KU20" s="20"/>
      <c r="KV20" s="20"/>
      <c r="KW20" s="20"/>
      <c r="KX20" s="20"/>
      <c r="KY20" s="20"/>
      <c r="KZ20" s="20"/>
      <c r="LA20" s="20"/>
      <c r="LB20" s="20"/>
      <c r="LC20" s="20"/>
      <c r="LD20" s="20"/>
      <c r="LE20" s="20"/>
      <c r="LF20" s="20"/>
      <c r="LG20" s="20"/>
      <c r="LH20" s="20"/>
      <c r="LI20" s="20"/>
      <c r="LJ20" s="20"/>
      <c r="LK20" s="20"/>
      <c r="LL20" s="20"/>
      <c r="LM20" s="20"/>
      <c r="LN20" s="20"/>
      <c r="LO20" s="20"/>
      <c r="LP20" s="20"/>
      <c r="LQ20" s="20"/>
      <c r="LR20" s="20"/>
      <c r="LS20" s="20"/>
      <c r="LT20" s="20"/>
      <c r="LU20" s="20"/>
      <c r="LV20" s="20"/>
      <c r="LW20" s="20"/>
      <c r="LX20" s="20"/>
      <c r="LY20" s="20"/>
      <c r="LZ20" s="20"/>
      <c r="MA20" s="20"/>
      <c r="MB20" s="20"/>
      <c r="MC20" s="20"/>
      <c r="MD20" s="20"/>
      <c r="ME20" s="20"/>
      <c r="MF20" s="20"/>
      <c r="MG20" s="20"/>
      <c r="MH20" s="20"/>
      <c r="MI20" s="20"/>
      <c r="MJ20" s="20"/>
      <c r="MK20" s="20"/>
      <c r="ML20" s="20"/>
      <c r="MM20" s="20"/>
      <c r="MN20" s="20"/>
      <c r="MO20" s="20"/>
      <c r="MP20" s="20"/>
      <c r="MQ20" s="20"/>
      <c r="MR20" s="20"/>
      <c r="MS20" s="20"/>
      <c r="MT20" s="20"/>
      <c r="MU20" s="20"/>
      <c r="MV20" s="20"/>
      <c r="MW20" s="20"/>
      <c r="MX20" s="20"/>
      <c r="MY20" s="20"/>
      <c r="MZ20" s="20"/>
      <c r="NA20" s="20"/>
      <c r="NB20" s="20"/>
      <c r="NC20" s="20"/>
      <c r="ND20" s="20"/>
      <c r="NE20" s="20"/>
      <c r="NF20" s="20"/>
      <c r="NG20" s="20"/>
      <c r="NH20" s="20"/>
      <c r="NI20" s="20"/>
      <c r="NJ20" s="20"/>
      <c r="NK20" s="20"/>
      <c r="NL20" s="20"/>
      <c r="NM20" s="20"/>
      <c r="NN20" s="20"/>
      <c r="NO20" s="20"/>
      <c r="NP20" s="20"/>
      <c r="NQ20" s="20"/>
      <c r="NR20" s="20"/>
      <c r="NS20" s="20"/>
      <c r="NT20" s="20"/>
      <c r="NU20" s="20"/>
      <c r="NV20" s="20"/>
      <c r="NW20" s="20"/>
      <c r="NX20" s="20"/>
      <c r="NY20" s="20"/>
      <c r="NZ20" s="20"/>
      <c r="OA20" s="20"/>
      <c r="OB20" s="20"/>
      <c r="OC20" s="20"/>
      <c r="OD20" s="20"/>
      <c r="OE20" s="20"/>
      <c r="OF20" s="20"/>
      <c r="OG20" s="20"/>
      <c r="OH20" s="20"/>
      <c r="OI20" s="20"/>
      <c r="OJ20" s="20"/>
      <c r="OK20" s="20"/>
      <c r="OL20" s="20"/>
      <c r="OM20" s="20"/>
      <c r="ON20" s="20"/>
      <c r="OO20" s="20"/>
      <c r="OP20" s="20"/>
      <c r="OQ20" s="20"/>
      <c r="OR20" s="20"/>
      <c r="OS20" s="20"/>
      <c r="OT20" s="20"/>
      <c r="OU20" s="20"/>
      <c r="OV20" s="20"/>
      <c r="OW20" s="20"/>
      <c r="OX20" s="20"/>
      <c r="OY20" s="20"/>
      <c r="OZ20" s="20"/>
      <c r="PA20" s="20"/>
      <c r="PB20" s="20"/>
      <c r="PC20" s="20"/>
      <c r="PD20" s="20"/>
      <c r="PE20" s="20"/>
      <c r="PF20" s="20"/>
      <c r="PG20" s="20"/>
      <c r="PH20" s="20"/>
      <c r="PI20" s="20"/>
      <c r="PJ20" s="20"/>
      <c r="PK20" s="20"/>
      <c r="PL20" s="20"/>
      <c r="PM20" s="20"/>
      <c r="PN20" s="20"/>
      <c r="PO20" s="20"/>
      <c r="PP20" s="20"/>
      <c r="PQ20" s="20"/>
      <c r="PR20" s="20"/>
      <c r="PS20" s="20"/>
      <c r="PT20" s="20"/>
      <c r="PU20" s="20"/>
      <c r="PV20" s="20"/>
      <c r="PW20" s="20"/>
      <c r="PX20" s="20"/>
      <c r="PY20" s="20"/>
      <c r="PZ20" s="20"/>
      <c r="QA20" s="20"/>
      <c r="QB20" s="20"/>
      <c r="QC20" s="20"/>
      <c r="QD20" s="20"/>
      <c r="QE20" s="20"/>
      <c r="QF20" s="20"/>
      <c r="QG20" s="20"/>
      <c r="QH20" s="20"/>
      <c r="QI20" s="20"/>
      <c r="QJ20" s="20"/>
      <c r="QK20" s="20"/>
      <c r="QL20" s="20"/>
      <c r="QM20" s="20"/>
      <c r="QN20" s="20"/>
      <c r="QO20" s="20"/>
      <c r="QP20" s="20"/>
      <c r="QQ20" s="20"/>
      <c r="QR20" s="20"/>
      <c r="QS20" s="20"/>
      <c r="QT20" s="20"/>
      <c r="QU20" s="20"/>
      <c r="QV20" s="20"/>
      <c r="QW20" s="20"/>
      <c r="QX20" s="20"/>
      <c r="QY20" s="20"/>
      <c r="QZ20" s="20"/>
      <c r="RA20" s="20"/>
      <c r="RB20" s="20"/>
      <c r="RC20" s="20"/>
      <c r="RD20" s="20"/>
      <c r="RE20" s="20"/>
      <c r="RF20" s="20"/>
      <c r="RG20" s="20"/>
      <c r="RH20" s="20"/>
      <c r="RI20" s="20"/>
      <c r="RJ20" s="20"/>
      <c r="RK20" s="20"/>
      <c r="RL20" s="20"/>
      <c r="RM20" s="20"/>
      <c r="RN20" s="20"/>
      <c r="RO20" s="20"/>
      <c r="RP20" s="20"/>
      <c r="RQ20" s="20"/>
      <c r="RR20" s="20"/>
      <c r="RS20" s="20"/>
      <c r="RT20" s="20"/>
      <c r="RU20" s="20"/>
      <c r="RV20" s="20"/>
      <c r="RW20" s="20"/>
      <c r="RX20" s="20"/>
      <c r="RY20" s="20"/>
      <c r="RZ20" s="20"/>
      <c r="SA20" s="20"/>
      <c r="SB20" s="20"/>
      <c r="SC20" s="20"/>
      <c r="SD20" s="20"/>
      <c r="SE20" s="20"/>
      <c r="SF20" s="20"/>
      <c r="SG20" s="20"/>
      <c r="SH20" s="20"/>
      <c r="SI20" s="20"/>
      <c r="SJ20" s="20"/>
      <c r="SK20" s="20"/>
      <c r="SL20" s="20"/>
      <c r="SM20" s="20"/>
      <c r="SN20" s="20"/>
      <c r="SO20" s="20"/>
      <c r="SP20" s="20"/>
      <c r="SQ20" s="20"/>
      <c r="SR20" s="20"/>
      <c r="SS20" s="20"/>
      <c r="ST20" s="20"/>
      <c r="SU20" s="20"/>
      <c r="SV20" s="20"/>
      <c r="SW20" s="20"/>
      <c r="SX20" s="20"/>
      <c r="SY20" s="20"/>
      <c r="SZ20" s="20"/>
      <c r="TA20" s="20"/>
      <c r="TB20" s="20"/>
      <c r="TC20" s="20"/>
      <c r="TD20" s="20"/>
      <c r="TE20" s="20"/>
      <c r="TF20" s="20"/>
      <c r="TG20" s="20"/>
      <c r="TH20" s="20"/>
      <c r="TI20" s="20"/>
      <c r="TJ20" s="20"/>
      <c r="TK20" s="20"/>
      <c r="TL20" s="20"/>
      <c r="TM20" s="20"/>
      <c r="TN20" s="20"/>
      <c r="TO20" s="20"/>
      <c r="TP20" s="20"/>
      <c r="TQ20" s="20"/>
      <c r="TR20" s="20"/>
      <c r="TS20" s="20"/>
      <c r="TT20" s="20"/>
      <c r="TU20" s="20"/>
      <c r="TV20" s="20"/>
      <c r="TW20" s="20"/>
      <c r="TX20" s="20"/>
      <c r="TY20" s="20"/>
      <c r="TZ20" s="20"/>
      <c r="UA20" s="20"/>
      <c r="UB20" s="20"/>
      <c r="UC20" s="20"/>
      <c r="UD20" s="20"/>
      <c r="UE20" s="20"/>
      <c r="UF20" s="20"/>
      <c r="UG20" s="20"/>
      <c r="UH20" s="20"/>
      <c r="UI20" s="20"/>
      <c r="UJ20" s="20"/>
      <c r="UK20" s="20"/>
      <c r="UL20" s="20"/>
      <c r="UM20" s="20"/>
      <c r="UN20" s="20"/>
      <c r="UO20" s="20"/>
      <c r="UP20" s="20"/>
      <c r="UQ20" s="20"/>
      <c r="UR20" s="20"/>
      <c r="US20" s="20"/>
      <c r="UT20" s="20"/>
      <c r="UU20" s="20"/>
      <c r="UV20" s="20"/>
      <c r="UW20" s="20"/>
      <c r="UX20" s="20"/>
      <c r="UY20" s="20"/>
      <c r="UZ20" s="20"/>
      <c r="VA20" s="20"/>
      <c r="VB20" s="20"/>
      <c r="VC20" s="20"/>
      <c r="VD20" s="20"/>
      <c r="VE20" s="20"/>
      <c r="VF20" s="20"/>
      <c r="VG20" s="20"/>
      <c r="VH20" s="20"/>
      <c r="VI20" s="20"/>
      <c r="VJ20" s="20"/>
      <c r="VK20" s="20"/>
      <c r="VL20" s="20"/>
      <c r="VM20" s="20"/>
      <c r="VN20" s="20"/>
      <c r="VO20" s="20"/>
      <c r="VP20" s="20"/>
      <c r="VQ20" s="20"/>
      <c r="VR20" s="20"/>
      <c r="VS20" s="20"/>
      <c r="VT20" s="20"/>
      <c r="VU20" s="20"/>
      <c r="VV20" s="20"/>
      <c r="VW20" s="20"/>
      <c r="VX20" s="20"/>
      <c r="VY20" s="20"/>
      <c r="VZ20" s="20"/>
      <c r="WA20" s="20"/>
      <c r="WB20" s="20"/>
      <c r="WC20" s="20"/>
      <c r="WD20" s="20"/>
      <c r="WE20" s="20"/>
      <c r="WF20" s="20"/>
      <c r="WG20" s="20"/>
      <c r="WH20" s="20"/>
      <c r="WI20" s="20"/>
      <c r="WJ20" s="20"/>
      <c r="WK20" s="20"/>
      <c r="WL20" s="20"/>
      <c r="WM20" s="20"/>
      <c r="WN20" s="20"/>
      <c r="WO20" s="20"/>
      <c r="WP20" s="20"/>
      <c r="WQ20" s="20"/>
      <c r="WR20" s="20"/>
      <c r="WS20" s="20"/>
      <c r="WT20" s="20"/>
      <c r="WU20" s="20"/>
      <c r="WV20" s="20"/>
      <c r="WW20" s="20"/>
      <c r="WX20" s="20"/>
      <c r="WY20" s="20"/>
      <c r="WZ20" s="20"/>
      <c r="XA20" s="20"/>
      <c r="XB20" s="20"/>
      <c r="XC20" s="20"/>
      <c r="XD20" s="20"/>
      <c r="XE20" s="20"/>
      <c r="XF20" s="20"/>
      <c r="XG20" s="20"/>
      <c r="XH20" s="20"/>
      <c r="XI20" s="20"/>
      <c r="XJ20" s="20"/>
      <c r="XK20" s="20"/>
      <c r="XL20" s="20"/>
      <c r="XM20" s="20"/>
      <c r="XN20" s="20"/>
      <c r="XO20" s="20"/>
      <c r="XP20" s="20"/>
      <c r="XQ20" s="20"/>
      <c r="XR20" s="20"/>
      <c r="XS20" s="20"/>
      <c r="XT20" s="20"/>
      <c r="XU20" s="20"/>
      <c r="XV20" s="20"/>
      <c r="XW20" s="20"/>
      <c r="XX20" s="20"/>
      <c r="XY20" s="20"/>
      <c r="XZ20" s="20"/>
      <c r="YA20" s="20"/>
      <c r="YB20" s="20"/>
      <c r="YC20" s="20"/>
      <c r="YD20" s="20"/>
      <c r="YE20" s="20"/>
      <c r="YF20" s="20"/>
      <c r="YG20" s="20"/>
      <c r="YH20" s="20"/>
      <c r="YI20" s="20"/>
      <c r="YJ20" s="20"/>
      <c r="YK20" s="20"/>
      <c r="YL20" s="20"/>
      <c r="YM20" s="20"/>
      <c r="YN20" s="20"/>
      <c r="YO20" s="20"/>
      <c r="YP20" s="20"/>
      <c r="YQ20" s="20"/>
      <c r="YR20" s="20"/>
      <c r="YS20" s="20"/>
      <c r="YT20" s="20"/>
      <c r="YU20" s="20"/>
      <c r="YV20" s="20"/>
      <c r="YW20" s="20"/>
      <c r="YX20" s="20"/>
      <c r="YY20" s="20"/>
      <c r="YZ20" s="20"/>
      <c r="ZA20" s="20"/>
      <c r="ZB20" s="20"/>
      <c r="ZC20" s="20"/>
      <c r="ZD20" s="20"/>
      <c r="ZE20" s="20"/>
      <c r="ZF20" s="20"/>
      <c r="ZG20" s="20"/>
      <c r="ZH20" s="20"/>
      <c r="ZI20" s="20"/>
      <c r="ZJ20" s="20"/>
      <c r="ZK20" s="20"/>
      <c r="ZL20" s="20"/>
      <c r="ZM20" s="20"/>
      <c r="ZN20" s="20"/>
      <c r="ZO20" s="20"/>
      <c r="ZP20" s="20"/>
      <c r="ZQ20" s="20"/>
      <c r="ZR20" s="20"/>
      <c r="ZS20" s="20"/>
      <c r="ZT20" s="20"/>
      <c r="ZU20" s="20"/>
      <c r="ZV20" s="20"/>
      <c r="ZW20" s="20"/>
      <c r="ZX20" s="20"/>
      <c r="ZY20" s="20"/>
      <c r="ZZ20" s="20"/>
      <c r="AAA20" s="20"/>
      <c r="AAB20" s="20"/>
      <c r="AAC20" s="20"/>
      <c r="AAD20" s="20"/>
      <c r="AAE20" s="20"/>
      <c r="AAF20" s="20"/>
    </row>
    <row r="21" spans="1:708" ht="61.5" customHeight="1" x14ac:dyDescent="0.25">
      <c r="A21" s="696" t="s">
        <v>43</v>
      </c>
      <c r="B21" s="696" t="s">
        <v>44</v>
      </c>
      <c r="C21" s="696" t="s">
        <v>45</v>
      </c>
      <c r="D21" s="696" t="s">
        <v>46</v>
      </c>
      <c r="E21" s="696" t="s">
        <v>47</v>
      </c>
      <c r="F21" s="696" t="s">
        <v>48</v>
      </c>
      <c r="G21" s="696" t="s">
        <v>49</v>
      </c>
      <c r="H21" s="696" t="s">
        <v>50</v>
      </c>
      <c r="I21" s="696" t="s">
        <v>51</v>
      </c>
      <c r="J21" s="696" t="s">
        <v>1296</v>
      </c>
      <c r="K21" s="696" t="s">
        <v>1344</v>
      </c>
      <c r="L21" s="696" t="s">
        <v>54</v>
      </c>
      <c r="M21" s="696" t="s">
        <v>55</v>
      </c>
      <c r="N21" s="696" t="s">
        <v>56</v>
      </c>
      <c r="O21" s="696"/>
      <c r="P21" s="696">
        <v>47</v>
      </c>
      <c r="Q21" s="63" t="s">
        <v>57</v>
      </c>
      <c r="R21" s="63" t="s">
        <v>58</v>
      </c>
      <c r="S21" s="524" t="s">
        <v>56</v>
      </c>
      <c r="T21" s="524"/>
      <c r="U21" s="524">
        <v>27</v>
      </c>
      <c r="V21" s="905">
        <v>308957672</v>
      </c>
      <c r="W21" s="1009"/>
      <c r="X21" s="524" t="s">
        <v>1345</v>
      </c>
      <c r="Y21" s="690">
        <v>3</v>
      </c>
      <c r="Z21" s="690">
        <f>+P21</f>
        <v>47</v>
      </c>
      <c r="AA21" s="700">
        <f>+Y21/Z21</f>
        <v>6.3829787234042548E-2</v>
      </c>
      <c r="AB21" s="690" t="s">
        <v>177</v>
      </c>
      <c r="AC21" s="524">
        <v>0</v>
      </c>
      <c r="AD21" s="524">
        <f t="shared" ref="AD21:AD24" si="4">+U21</f>
        <v>27</v>
      </c>
      <c r="AE21" s="525">
        <f t="shared" ref="AE21:AE24" si="5">+AC21/AD21</f>
        <v>0</v>
      </c>
      <c r="AF21" s="524" t="s">
        <v>178</v>
      </c>
      <c r="AG21" s="689">
        <v>7</v>
      </c>
      <c r="AH21" s="689">
        <v>47</v>
      </c>
      <c r="AI21" s="692">
        <v>0.14893617021276595</v>
      </c>
      <c r="AJ21" s="689" t="s">
        <v>179</v>
      </c>
      <c r="AK21" s="539">
        <v>2</v>
      </c>
      <c r="AL21" s="539">
        <v>27</v>
      </c>
      <c r="AM21" s="541">
        <v>7.407407407407407E-2</v>
      </c>
      <c r="AN21" s="539" t="s">
        <v>180</v>
      </c>
      <c r="AO21" s="689">
        <v>9</v>
      </c>
      <c r="AP21" s="689">
        <f>+P21</f>
        <v>47</v>
      </c>
      <c r="AQ21" s="692">
        <f>+AO21/AP21</f>
        <v>0.19148936170212766</v>
      </c>
      <c r="AR21" s="689" t="s">
        <v>181</v>
      </c>
      <c r="AS21" s="539">
        <v>3</v>
      </c>
      <c r="AT21" s="539">
        <f t="shared" ref="AT21:AT24" si="6">+U21</f>
        <v>27</v>
      </c>
      <c r="AU21" s="541">
        <f t="shared" ref="AU21:AU24" si="7">+AS21/AT21</f>
        <v>0.1111111111111111</v>
      </c>
      <c r="AV21" s="539" t="s">
        <v>182</v>
      </c>
      <c r="AW21" s="689">
        <v>9</v>
      </c>
      <c r="AX21" s="689">
        <f>+P21</f>
        <v>47</v>
      </c>
      <c r="AY21" s="692">
        <f>+AW21/AX21</f>
        <v>0.19148936170212766</v>
      </c>
      <c r="AZ21" s="689" t="s">
        <v>1346</v>
      </c>
      <c r="BA21" s="539">
        <v>3</v>
      </c>
      <c r="BB21" s="539">
        <f>+U21</f>
        <v>27</v>
      </c>
      <c r="BC21" s="541">
        <f t="shared" ref="BC21:BC24" si="8">+BA21/BB21</f>
        <v>0.1111111111111111</v>
      </c>
      <c r="BD21" s="539" t="s">
        <v>1347</v>
      </c>
      <c r="BE21" s="689">
        <v>10</v>
      </c>
      <c r="BF21" s="689">
        <v>47</v>
      </c>
      <c r="BG21" s="692">
        <f>+BE21/BF21</f>
        <v>0.21276595744680851</v>
      </c>
      <c r="BH21" s="689" t="s">
        <v>1348</v>
      </c>
      <c r="BI21" s="539">
        <v>3</v>
      </c>
      <c r="BJ21" s="539">
        <v>27</v>
      </c>
      <c r="BK21" s="541">
        <f t="shared" ref="BK21:BK24" si="9">+BI21/BJ21</f>
        <v>0.1111111111111111</v>
      </c>
      <c r="BL21" s="539" t="s">
        <v>1349</v>
      </c>
      <c r="BM21" s="689">
        <v>11</v>
      </c>
      <c r="BN21" s="689">
        <v>47</v>
      </c>
      <c r="BO21" s="692">
        <f>+BM21/BN21</f>
        <v>0.23404255319148937</v>
      </c>
      <c r="BP21" s="689" t="s">
        <v>1350</v>
      </c>
      <c r="BQ21" s="539">
        <v>3</v>
      </c>
      <c r="BR21" s="539">
        <v>27</v>
      </c>
      <c r="BS21" s="541">
        <f t="shared" ref="BS21:BS23" si="10">+BQ21/BR21</f>
        <v>0.1111111111111111</v>
      </c>
      <c r="BT21" s="539" t="s">
        <v>1351</v>
      </c>
    </row>
    <row r="22" spans="1:708" ht="61.5" customHeight="1" x14ac:dyDescent="0.25">
      <c r="A22" s="716"/>
      <c r="B22" s="716"/>
      <c r="C22" s="716"/>
      <c r="D22" s="716"/>
      <c r="E22" s="716"/>
      <c r="F22" s="716"/>
      <c r="G22" s="716"/>
      <c r="H22" s="716"/>
      <c r="I22" s="716"/>
      <c r="J22" s="716"/>
      <c r="K22" s="716"/>
      <c r="L22" s="716"/>
      <c r="M22" s="716"/>
      <c r="N22" s="716"/>
      <c r="O22" s="716"/>
      <c r="P22" s="716"/>
      <c r="Q22" s="70" t="s">
        <v>66</v>
      </c>
      <c r="R22" s="70" t="s">
        <v>67</v>
      </c>
      <c r="S22" s="527" t="s">
        <v>56</v>
      </c>
      <c r="T22" s="527"/>
      <c r="U22" s="527">
        <v>37</v>
      </c>
      <c r="V22" s="906"/>
      <c r="W22" s="1009"/>
      <c r="X22" s="527" t="s">
        <v>1352</v>
      </c>
      <c r="Y22" s="690"/>
      <c r="Z22" s="690"/>
      <c r="AA22" s="700"/>
      <c r="AB22" s="690"/>
      <c r="AC22" s="527">
        <v>3</v>
      </c>
      <c r="AD22" s="527">
        <f t="shared" si="4"/>
        <v>37</v>
      </c>
      <c r="AE22" s="526">
        <f t="shared" si="5"/>
        <v>8.1081081081081086E-2</v>
      </c>
      <c r="AF22" s="527" t="s">
        <v>183</v>
      </c>
      <c r="AG22" s="689"/>
      <c r="AH22" s="689"/>
      <c r="AI22" s="692"/>
      <c r="AJ22" s="689"/>
      <c r="AK22" s="551">
        <v>7</v>
      </c>
      <c r="AL22" s="551">
        <v>37</v>
      </c>
      <c r="AM22" s="552">
        <v>0.1891891891891892</v>
      </c>
      <c r="AN22" s="551" t="s">
        <v>184</v>
      </c>
      <c r="AO22" s="689"/>
      <c r="AP22" s="689"/>
      <c r="AQ22" s="692"/>
      <c r="AR22" s="689"/>
      <c r="AS22" s="551">
        <v>8</v>
      </c>
      <c r="AT22" s="551">
        <f t="shared" si="6"/>
        <v>37</v>
      </c>
      <c r="AU22" s="552">
        <f t="shared" si="7"/>
        <v>0.21621621621621623</v>
      </c>
      <c r="AV22" s="551" t="s">
        <v>185</v>
      </c>
      <c r="AW22" s="689"/>
      <c r="AX22" s="689"/>
      <c r="AY22" s="692"/>
      <c r="AZ22" s="689"/>
      <c r="BA22" s="551">
        <v>8</v>
      </c>
      <c r="BB22" s="551">
        <f>+U22</f>
        <v>37</v>
      </c>
      <c r="BC22" s="552">
        <f t="shared" si="8"/>
        <v>0.21621621621621623</v>
      </c>
      <c r="BD22" s="551" t="s">
        <v>1353</v>
      </c>
      <c r="BE22" s="689"/>
      <c r="BF22" s="689"/>
      <c r="BG22" s="692"/>
      <c r="BH22" s="689"/>
      <c r="BI22" s="551">
        <v>9</v>
      </c>
      <c r="BJ22" s="551">
        <v>37</v>
      </c>
      <c r="BK22" s="552">
        <f t="shared" si="9"/>
        <v>0.24324324324324326</v>
      </c>
      <c r="BL22" s="551" t="s">
        <v>1354</v>
      </c>
      <c r="BM22" s="689"/>
      <c r="BN22" s="689"/>
      <c r="BO22" s="692"/>
      <c r="BP22" s="689"/>
      <c r="BQ22" s="551">
        <v>12</v>
      </c>
      <c r="BR22" s="551">
        <v>37</v>
      </c>
      <c r="BS22" s="552">
        <f t="shared" si="10"/>
        <v>0.32432432432432434</v>
      </c>
      <c r="BT22" s="551" t="s">
        <v>1355</v>
      </c>
    </row>
    <row r="23" spans="1:708" ht="70.5" customHeight="1" x14ac:dyDescent="0.25">
      <c r="A23" s="702" t="s">
        <v>43</v>
      </c>
      <c r="B23" s="702" t="s">
        <v>44</v>
      </c>
      <c r="C23" s="702" t="s">
        <v>45</v>
      </c>
      <c r="D23" s="702" t="s">
        <v>46</v>
      </c>
      <c r="E23" s="702" t="s">
        <v>71</v>
      </c>
      <c r="F23" s="702" t="s">
        <v>48</v>
      </c>
      <c r="G23" s="702" t="s">
        <v>49</v>
      </c>
      <c r="H23" s="702" t="s">
        <v>50</v>
      </c>
      <c r="I23" s="702" t="s">
        <v>51</v>
      </c>
      <c r="J23" s="702" t="s">
        <v>1296</v>
      </c>
      <c r="K23" s="702" t="s">
        <v>1344</v>
      </c>
      <c r="L23" s="702" t="s">
        <v>72</v>
      </c>
      <c r="M23" s="702" t="s">
        <v>112</v>
      </c>
      <c r="N23" s="702" t="s">
        <v>74</v>
      </c>
      <c r="O23" s="702"/>
      <c r="P23" s="913">
        <v>0.89</v>
      </c>
      <c r="Q23" s="63" t="s">
        <v>113</v>
      </c>
      <c r="R23" s="63" t="s">
        <v>114</v>
      </c>
      <c r="S23" s="524" t="s">
        <v>74</v>
      </c>
      <c r="T23" s="524"/>
      <c r="U23" s="545">
        <v>0.89</v>
      </c>
      <c r="V23" s="906"/>
      <c r="W23" s="1009"/>
      <c r="X23" s="524" t="s">
        <v>1352</v>
      </c>
      <c r="Y23" s="700">
        <f>3/3</f>
        <v>1</v>
      </c>
      <c r="Z23" s="701">
        <f>+P23</f>
        <v>0.89</v>
      </c>
      <c r="AA23" s="700">
        <f>+Y23/Z23</f>
        <v>1.1235955056179776</v>
      </c>
      <c r="AB23" s="690" t="s">
        <v>186</v>
      </c>
      <c r="AC23" s="525">
        <v>0</v>
      </c>
      <c r="AD23" s="545">
        <f t="shared" si="4"/>
        <v>0.89</v>
      </c>
      <c r="AE23" s="525">
        <f t="shared" si="5"/>
        <v>0</v>
      </c>
      <c r="AF23" s="524" t="s">
        <v>187</v>
      </c>
      <c r="AG23" s="692">
        <v>1</v>
      </c>
      <c r="AH23" s="691">
        <v>0.89</v>
      </c>
      <c r="AI23" s="692">
        <v>1.1235955056179776</v>
      </c>
      <c r="AJ23" s="689" t="s">
        <v>188</v>
      </c>
      <c r="AK23" s="541">
        <v>1</v>
      </c>
      <c r="AL23" s="540">
        <v>0.89</v>
      </c>
      <c r="AM23" s="541">
        <v>1.1235955056179776</v>
      </c>
      <c r="AN23" s="539" t="s">
        <v>189</v>
      </c>
      <c r="AO23" s="692">
        <f>7/7</f>
        <v>1</v>
      </c>
      <c r="AP23" s="691">
        <f>+P23</f>
        <v>0.89</v>
      </c>
      <c r="AQ23" s="692">
        <f>+AO23/AP23</f>
        <v>1.1235955056179776</v>
      </c>
      <c r="AR23" s="689" t="s">
        <v>190</v>
      </c>
      <c r="AS23" s="541">
        <f>+(2/2)</f>
        <v>1</v>
      </c>
      <c r="AT23" s="540">
        <f t="shared" si="6"/>
        <v>0.89</v>
      </c>
      <c r="AU23" s="541">
        <f t="shared" si="7"/>
        <v>1.1235955056179776</v>
      </c>
      <c r="AV23" s="539" t="s">
        <v>191</v>
      </c>
      <c r="AW23" s="692">
        <f>(7/7)</f>
        <v>1</v>
      </c>
      <c r="AX23" s="691">
        <f>+P23</f>
        <v>0.89</v>
      </c>
      <c r="AY23" s="692">
        <f>+AW23/AX23</f>
        <v>1.1235955056179776</v>
      </c>
      <c r="AZ23" s="689" t="s">
        <v>1356</v>
      </c>
      <c r="BA23" s="541">
        <f>(2/2)</f>
        <v>1</v>
      </c>
      <c r="BB23" s="540">
        <f>+U23</f>
        <v>0.89</v>
      </c>
      <c r="BC23" s="541">
        <f t="shared" si="8"/>
        <v>1.1235955056179776</v>
      </c>
      <c r="BD23" s="539" t="s">
        <v>1357</v>
      </c>
      <c r="BE23" s="692">
        <f>(8/8)</f>
        <v>1</v>
      </c>
      <c r="BF23" s="691">
        <v>0.89</v>
      </c>
      <c r="BG23" s="692">
        <f>+BE23/BF23</f>
        <v>1.1235955056179776</v>
      </c>
      <c r="BH23" s="689" t="s">
        <v>1358</v>
      </c>
      <c r="BI23" s="541">
        <f>(2/2)</f>
        <v>1</v>
      </c>
      <c r="BJ23" s="540">
        <v>0.89</v>
      </c>
      <c r="BK23" s="541">
        <f t="shared" si="9"/>
        <v>1.1235955056179776</v>
      </c>
      <c r="BL23" s="539" t="s">
        <v>1359</v>
      </c>
      <c r="BM23" s="692">
        <f>(9/9)</f>
        <v>1</v>
      </c>
      <c r="BN23" s="691">
        <v>0.89</v>
      </c>
      <c r="BO23" s="692">
        <f>+BM23/BN23</f>
        <v>1.1235955056179776</v>
      </c>
      <c r="BP23" s="689" t="s">
        <v>1360</v>
      </c>
      <c r="BQ23" s="541">
        <f>(2/2)</f>
        <v>1</v>
      </c>
      <c r="BR23" s="540">
        <v>0.89</v>
      </c>
      <c r="BS23" s="541">
        <f t="shared" si="10"/>
        <v>1.1235955056179776</v>
      </c>
      <c r="BT23" s="539" t="s">
        <v>1361</v>
      </c>
    </row>
    <row r="24" spans="1:708" ht="70.5" customHeight="1" x14ac:dyDescent="0.25">
      <c r="A24" s="703"/>
      <c r="B24" s="703"/>
      <c r="C24" s="703"/>
      <c r="D24" s="703"/>
      <c r="E24" s="703"/>
      <c r="F24" s="703"/>
      <c r="G24" s="703"/>
      <c r="H24" s="703"/>
      <c r="I24" s="703"/>
      <c r="J24" s="703"/>
      <c r="K24" s="703"/>
      <c r="L24" s="703"/>
      <c r="M24" s="703"/>
      <c r="N24" s="703"/>
      <c r="O24" s="703"/>
      <c r="P24" s="914"/>
      <c r="Q24" s="70" t="s">
        <v>121</v>
      </c>
      <c r="R24" s="70" t="s">
        <v>122</v>
      </c>
      <c r="S24" s="527" t="s">
        <v>74</v>
      </c>
      <c r="T24" s="527"/>
      <c r="U24" s="81">
        <v>0.89</v>
      </c>
      <c r="V24" s="907"/>
      <c r="W24" s="1009"/>
      <c r="X24" s="527" t="s">
        <v>1352</v>
      </c>
      <c r="Y24" s="700"/>
      <c r="Z24" s="690"/>
      <c r="AA24" s="700"/>
      <c r="AB24" s="690"/>
      <c r="AC24" s="526">
        <f>(1/6)</f>
        <v>0.16666666666666666</v>
      </c>
      <c r="AD24" s="81">
        <f t="shared" si="4"/>
        <v>0.89</v>
      </c>
      <c r="AE24" s="526">
        <f t="shared" si="5"/>
        <v>0.18726591760299624</v>
      </c>
      <c r="AF24" s="527" t="s">
        <v>192</v>
      </c>
      <c r="AG24" s="692"/>
      <c r="AH24" s="689"/>
      <c r="AI24" s="692"/>
      <c r="AJ24" s="689"/>
      <c r="AK24" s="552">
        <v>0.14285714285714285</v>
      </c>
      <c r="AL24" s="82">
        <v>0.89</v>
      </c>
      <c r="AM24" s="552">
        <v>0.16051364365971107</v>
      </c>
      <c r="AN24" s="551" t="s">
        <v>193</v>
      </c>
      <c r="AO24" s="692"/>
      <c r="AP24" s="689"/>
      <c r="AQ24" s="692"/>
      <c r="AR24" s="689"/>
      <c r="AS24" s="552">
        <f>(0/7)</f>
        <v>0</v>
      </c>
      <c r="AT24" s="82">
        <f t="shared" si="6"/>
        <v>0.89</v>
      </c>
      <c r="AU24" s="552">
        <f t="shared" si="7"/>
        <v>0</v>
      </c>
      <c r="AV24" s="551" t="s">
        <v>194</v>
      </c>
      <c r="AW24" s="692"/>
      <c r="AX24" s="689"/>
      <c r="AY24" s="692"/>
      <c r="AZ24" s="689"/>
      <c r="BA24" s="552">
        <f>(0/7)</f>
        <v>0</v>
      </c>
      <c r="BB24" s="82">
        <f>+U24</f>
        <v>0.89</v>
      </c>
      <c r="BC24" s="552">
        <f t="shared" si="8"/>
        <v>0</v>
      </c>
      <c r="BD24" s="551" t="s">
        <v>1362</v>
      </c>
      <c r="BE24" s="692"/>
      <c r="BF24" s="689"/>
      <c r="BG24" s="692"/>
      <c r="BH24" s="689"/>
      <c r="BI24" s="552">
        <f>(0/7)</f>
        <v>0</v>
      </c>
      <c r="BJ24" s="82">
        <v>0.89</v>
      </c>
      <c r="BK24" s="552">
        <f t="shared" si="9"/>
        <v>0</v>
      </c>
      <c r="BL24" s="551" t="s">
        <v>1363</v>
      </c>
      <c r="BM24" s="692"/>
      <c r="BN24" s="689"/>
      <c r="BO24" s="692"/>
      <c r="BP24" s="689"/>
      <c r="BQ24" s="902"/>
      <c r="BR24" s="903"/>
      <c r="BS24" s="903"/>
      <c r="BT24" s="904"/>
    </row>
    <row r="25" spans="1:708" s="21" customFormat="1" ht="62.25" customHeight="1" x14ac:dyDescent="0.25">
      <c r="A25" s="52"/>
      <c r="B25" s="52"/>
      <c r="C25" s="52"/>
      <c r="D25" s="52"/>
      <c r="E25" s="52"/>
      <c r="F25" s="52"/>
      <c r="G25" s="52"/>
      <c r="H25" s="52"/>
      <c r="I25" s="52"/>
      <c r="J25" s="52"/>
      <c r="K25" s="52"/>
      <c r="L25" s="52"/>
      <c r="M25" s="52"/>
      <c r="N25" s="52"/>
      <c r="O25" s="52"/>
      <c r="P25" s="53"/>
      <c r="Q25" s="52"/>
      <c r="R25" s="52"/>
      <c r="S25" s="53"/>
      <c r="T25" s="52"/>
      <c r="U25" s="52"/>
      <c r="V25" s="54"/>
      <c r="W25" s="1009"/>
      <c r="X25" s="52"/>
      <c r="Y25" s="657" t="s">
        <v>99</v>
      </c>
      <c r="Z25" s="657"/>
      <c r="AA25" s="55">
        <f>AVERAGE(AA21:AA24)</f>
        <v>0.59371264642601007</v>
      </c>
      <c r="AB25" s="56"/>
      <c r="AC25" s="657" t="s">
        <v>100</v>
      </c>
      <c r="AD25" s="657"/>
      <c r="AE25" s="55">
        <f>AVERAGE(AE21:AE24)</f>
        <v>6.7086749671019325E-2</v>
      </c>
      <c r="AF25" s="58"/>
      <c r="AG25" s="658" t="s">
        <v>99</v>
      </c>
      <c r="AH25" s="658"/>
      <c r="AI25" s="55">
        <f>AVERAGE(AI21:AI24)</f>
        <v>0.63626583791537183</v>
      </c>
      <c r="AJ25" s="60"/>
      <c r="AK25" s="658" t="s">
        <v>100</v>
      </c>
      <c r="AL25" s="658"/>
      <c r="AM25" s="55">
        <f>AVERAGE(AM21:AM24)</f>
        <v>0.38684310313523795</v>
      </c>
      <c r="AN25" s="62"/>
      <c r="AO25" s="657" t="s">
        <v>99</v>
      </c>
      <c r="AP25" s="657"/>
      <c r="AQ25" s="55">
        <f>AVERAGE(AQ21:AQ24)</f>
        <v>0.65754243366005261</v>
      </c>
      <c r="AR25" s="56"/>
      <c r="AS25" s="657" t="s">
        <v>100</v>
      </c>
      <c r="AT25" s="657"/>
      <c r="AU25" s="55">
        <f>AVERAGE(AU21:AU24)</f>
        <v>0.36273070823632625</v>
      </c>
      <c r="AV25" s="58"/>
      <c r="AW25" s="658" t="s">
        <v>99</v>
      </c>
      <c r="AX25" s="658"/>
      <c r="AY25" s="59">
        <f>AVERAGE(AY21:AY24)</f>
        <v>0.65754243366005261</v>
      </c>
      <c r="AZ25" s="60"/>
      <c r="BA25" s="658" t="s">
        <v>100</v>
      </c>
      <c r="BB25" s="658"/>
      <c r="BC25" s="59">
        <f>AVERAGE(BC21:BC24)</f>
        <v>0.36273070823632625</v>
      </c>
      <c r="BD25" s="62"/>
      <c r="BE25" s="658" t="s">
        <v>99</v>
      </c>
      <c r="BF25" s="658"/>
      <c r="BG25" s="59">
        <f>AVERAGE(BG21:BG24)</f>
        <v>0.6681807315323931</v>
      </c>
      <c r="BH25" s="60"/>
      <c r="BI25" s="657" t="s">
        <v>100</v>
      </c>
      <c r="BJ25" s="657"/>
      <c r="BK25" s="55">
        <f>AVERAGE(BK21:BK24)</f>
        <v>0.36948746499308299</v>
      </c>
      <c r="BL25" s="58"/>
      <c r="BM25" s="658" t="s">
        <v>99</v>
      </c>
      <c r="BN25" s="658"/>
      <c r="BO25" s="59">
        <f>AVERAGE(BO21:BO24)</f>
        <v>0.67881902940473349</v>
      </c>
      <c r="BP25" s="60"/>
      <c r="BQ25" s="658" t="s">
        <v>100</v>
      </c>
      <c r="BR25" s="658"/>
      <c r="BS25" s="59">
        <f>AVERAGE(BS21:BS24)</f>
        <v>0.51967698035113774</v>
      </c>
      <c r="BT25" s="62"/>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c r="IH25" s="20"/>
      <c r="II25" s="20"/>
      <c r="IJ25" s="20"/>
      <c r="IK25" s="20"/>
      <c r="IL25" s="20"/>
      <c r="IM25" s="20"/>
      <c r="IN25" s="20"/>
      <c r="IO25" s="20"/>
      <c r="IP25" s="20"/>
      <c r="IQ25" s="20"/>
      <c r="IR25" s="20"/>
      <c r="IS25" s="20"/>
      <c r="IT25" s="20"/>
      <c r="IU25" s="20"/>
      <c r="IV25" s="20"/>
      <c r="IW25" s="20"/>
      <c r="IX25" s="20"/>
      <c r="IY25" s="20"/>
      <c r="IZ25" s="20"/>
      <c r="JA25" s="20"/>
      <c r="JB25" s="20"/>
      <c r="JC25" s="20"/>
      <c r="JD25" s="20"/>
      <c r="JE25" s="20"/>
      <c r="JF25" s="20"/>
      <c r="JG25" s="20"/>
      <c r="JH25" s="20"/>
      <c r="JI25" s="20"/>
      <c r="JJ25" s="20"/>
      <c r="JK25" s="20"/>
      <c r="JL25" s="20"/>
      <c r="JM25" s="20"/>
      <c r="JN25" s="20"/>
      <c r="JO25" s="20"/>
      <c r="JP25" s="20"/>
      <c r="JQ25" s="20"/>
      <c r="JR25" s="20"/>
      <c r="JS25" s="20"/>
      <c r="JT25" s="20"/>
      <c r="JU25" s="20"/>
      <c r="JV25" s="20"/>
      <c r="JW25" s="20"/>
      <c r="JX25" s="20"/>
      <c r="JY25" s="20"/>
      <c r="JZ25" s="20"/>
      <c r="KA25" s="20"/>
      <c r="KB25" s="20"/>
      <c r="KC25" s="20"/>
      <c r="KD25" s="20"/>
      <c r="KE25" s="20"/>
      <c r="KF25" s="20"/>
      <c r="KG25" s="20"/>
      <c r="KH25" s="20"/>
      <c r="KI25" s="20"/>
      <c r="KJ25" s="20"/>
      <c r="KK25" s="20"/>
      <c r="KL25" s="20"/>
      <c r="KM25" s="20"/>
      <c r="KN25" s="20"/>
      <c r="KO25" s="20"/>
      <c r="KP25" s="20"/>
      <c r="KQ25" s="20"/>
      <c r="KR25" s="20"/>
      <c r="KS25" s="20"/>
      <c r="KT25" s="20"/>
      <c r="KU25" s="20"/>
      <c r="KV25" s="20"/>
      <c r="KW25" s="20"/>
      <c r="KX25" s="20"/>
      <c r="KY25" s="20"/>
      <c r="KZ25" s="20"/>
      <c r="LA25" s="20"/>
      <c r="LB25" s="20"/>
      <c r="LC25" s="20"/>
      <c r="LD25" s="20"/>
      <c r="LE25" s="20"/>
      <c r="LF25" s="20"/>
      <c r="LG25" s="20"/>
      <c r="LH25" s="20"/>
      <c r="LI25" s="20"/>
      <c r="LJ25" s="20"/>
      <c r="LK25" s="20"/>
      <c r="LL25" s="20"/>
      <c r="LM25" s="20"/>
      <c r="LN25" s="20"/>
      <c r="LO25" s="20"/>
      <c r="LP25" s="20"/>
      <c r="LQ25" s="20"/>
      <c r="LR25" s="20"/>
      <c r="LS25" s="20"/>
      <c r="LT25" s="20"/>
      <c r="LU25" s="20"/>
      <c r="LV25" s="20"/>
      <c r="LW25" s="20"/>
      <c r="LX25" s="20"/>
      <c r="LY25" s="20"/>
      <c r="LZ25" s="20"/>
      <c r="MA25" s="20"/>
      <c r="MB25" s="20"/>
      <c r="MC25" s="20"/>
      <c r="MD25" s="20"/>
      <c r="ME25" s="20"/>
      <c r="MF25" s="20"/>
      <c r="MG25" s="20"/>
      <c r="MH25" s="20"/>
      <c r="MI25" s="20"/>
      <c r="MJ25" s="20"/>
      <c r="MK25" s="20"/>
      <c r="ML25" s="20"/>
      <c r="MM25" s="20"/>
      <c r="MN25" s="20"/>
      <c r="MO25" s="20"/>
      <c r="MP25" s="20"/>
      <c r="MQ25" s="20"/>
      <c r="MR25" s="20"/>
      <c r="MS25" s="20"/>
      <c r="MT25" s="20"/>
      <c r="MU25" s="20"/>
      <c r="MV25" s="20"/>
      <c r="MW25" s="20"/>
      <c r="MX25" s="20"/>
      <c r="MY25" s="20"/>
      <c r="MZ25" s="20"/>
      <c r="NA25" s="20"/>
      <c r="NB25" s="20"/>
      <c r="NC25" s="20"/>
      <c r="ND25" s="20"/>
      <c r="NE25" s="20"/>
      <c r="NF25" s="20"/>
      <c r="NG25" s="20"/>
      <c r="NH25" s="20"/>
      <c r="NI25" s="20"/>
      <c r="NJ25" s="20"/>
      <c r="NK25" s="20"/>
      <c r="NL25" s="20"/>
      <c r="NM25" s="20"/>
      <c r="NN25" s="20"/>
      <c r="NO25" s="20"/>
      <c r="NP25" s="20"/>
      <c r="NQ25" s="20"/>
      <c r="NR25" s="20"/>
      <c r="NS25" s="20"/>
      <c r="NT25" s="20"/>
      <c r="NU25" s="20"/>
      <c r="NV25" s="20"/>
      <c r="NW25" s="20"/>
      <c r="NX25" s="20"/>
      <c r="NY25" s="20"/>
      <c r="NZ25" s="20"/>
      <c r="OA25" s="20"/>
      <c r="OB25" s="20"/>
      <c r="OC25" s="20"/>
      <c r="OD25" s="20"/>
      <c r="OE25" s="20"/>
      <c r="OF25" s="20"/>
      <c r="OG25" s="20"/>
      <c r="OH25" s="20"/>
      <c r="OI25" s="20"/>
      <c r="OJ25" s="20"/>
      <c r="OK25" s="20"/>
      <c r="OL25" s="20"/>
      <c r="OM25" s="20"/>
      <c r="ON25" s="20"/>
      <c r="OO25" s="20"/>
      <c r="OP25" s="20"/>
      <c r="OQ25" s="20"/>
      <c r="OR25" s="20"/>
      <c r="OS25" s="20"/>
      <c r="OT25" s="20"/>
      <c r="OU25" s="20"/>
      <c r="OV25" s="20"/>
      <c r="OW25" s="20"/>
      <c r="OX25" s="20"/>
      <c r="OY25" s="20"/>
      <c r="OZ25" s="20"/>
      <c r="PA25" s="20"/>
      <c r="PB25" s="20"/>
      <c r="PC25" s="20"/>
      <c r="PD25" s="20"/>
      <c r="PE25" s="20"/>
      <c r="PF25" s="20"/>
      <c r="PG25" s="20"/>
      <c r="PH25" s="20"/>
      <c r="PI25" s="20"/>
      <c r="PJ25" s="20"/>
      <c r="PK25" s="20"/>
      <c r="PL25" s="20"/>
      <c r="PM25" s="20"/>
      <c r="PN25" s="20"/>
      <c r="PO25" s="20"/>
      <c r="PP25" s="20"/>
      <c r="PQ25" s="20"/>
      <c r="PR25" s="20"/>
      <c r="PS25" s="20"/>
      <c r="PT25" s="20"/>
      <c r="PU25" s="20"/>
      <c r="PV25" s="20"/>
      <c r="PW25" s="20"/>
      <c r="PX25" s="20"/>
      <c r="PY25" s="20"/>
      <c r="PZ25" s="20"/>
      <c r="QA25" s="20"/>
      <c r="QB25" s="20"/>
      <c r="QC25" s="20"/>
      <c r="QD25" s="20"/>
      <c r="QE25" s="20"/>
      <c r="QF25" s="20"/>
      <c r="QG25" s="20"/>
      <c r="QH25" s="20"/>
      <c r="QI25" s="20"/>
      <c r="QJ25" s="20"/>
      <c r="QK25" s="20"/>
      <c r="QL25" s="20"/>
      <c r="QM25" s="20"/>
      <c r="QN25" s="20"/>
      <c r="QO25" s="20"/>
      <c r="QP25" s="20"/>
      <c r="QQ25" s="20"/>
      <c r="QR25" s="20"/>
      <c r="QS25" s="20"/>
      <c r="QT25" s="20"/>
      <c r="QU25" s="20"/>
      <c r="QV25" s="20"/>
      <c r="QW25" s="20"/>
      <c r="QX25" s="20"/>
      <c r="QY25" s="20"/>
      <c r="QZ25" s="20"/>
      <c r="RA25" s="20"/>
      <c r="RB25" s="20"/>
      <c r="RC25" s="20"/>
      <c r="RD25" s="20"/>
      <c r="RE25" s="20"/>
      <c r="RF25" s="20"/>
      <c r="RG25" s="20"/>
      <c r="RH25" s="20"/>
      <c r="RI25" s="20"/>
      <c r="RJ25" s="20"/>
      <c r="RK25" s="20"/>
      <c r="RL25" s="20"/>
      <c r="RM25" s="20"/>
      <c r="RN25" s="20"/>
      <c r="RO25" s="20"/>
      <c r="RP25" s="20"/>
      <c r="RQ25" s="20"/>
      <c r="RR25" s="20"/>
      <c r="RS25" s="20"/>
      <c r="RT25" s="20"/>
      <c r="RU25" s="20"/>
      <c r="RV25" s="20"/>
      <c r="RW25" s="20"/>
      <c r="RX25" s="20"/>
      <c r="RY25" s="20"/>
      <c r="RZ25" s="20"/>
      <c r="SA25" s="20"/>
      <c r="SB25" s="20"/>
      <c r="SC25" s="20"/>
      <c r="SD25" s="20"/>
      <c r="SE25" s="20"/>
      <c r="SF25" s="20"/>
      <c r="SG25" s="20"/>
      <c r="SH25" s="20"/>
      <c r="SI25" s="20"/>
      <c r="SJ25" s="20"/>
      <c r="SK25" s="20"/>
      <c r="SL25" s="20"/>
      <c r="SM25" s="20"/>
      <c r="SN25" s="20"/>
      <c r="SO25" s="20"/>
      <c r="SP25" s="20"/>
      <c r="SQ25" s="20"/>
      <c r="SR25" s="20"/>
      <c r="SS25" s="20"/>
      <c r="ST25" s="20"/>
      <c r="SU25" s="20"/>
      <c r="SV25" s="20"/>
      <c r="SW25" s="20"/>
      <c r="SX25" s="20"/>
      <c r="SY25" s="20"/>
      <c r="SZ25" s="20"/>
      <c r="TA25" s="20"/>
      <c r="TB25" s="20"/>
      <c r="TC25" s="20"/>
      <c r="TD25" s="20"/>
      <c r="TE25" s="20"/>
      <c r="TF25" s="20"/>
      <c r="TG25" s="20"/>
      <c r="TH25" s="20"/>
      <c r="TI25" s="20"/>
      <c r="TJ25" s="20"/>
      <c r="TK25" s="20"/>
      <c r="TL25" s="20"/>
      <c r="TM25" s="20"/>
      <c r="TN25" s="20"/>
      <c r="TO25" s="20"/>
      <c r="TP25" s="20"/>
      <c r="TQ25" s="20"/>
      <c r="TR25" s="20"/>
      <c r="TS25" s="20"/>
      <c r="TT25" s="20"/>
      <c r="TU25" s="20"/>
      <c r="TV25" s="20"/>
      <c r="TW25" s="20"/>
      <c r="TX25" s="20"/>
      <c r="TY25" s="20"/>
      <c r="TZ25" s="20"/>
      <c r="UA25" s="20"/>
      <c r="UB25" s="20"/>
      <c r="UC25" s="20"/>
      <c r="UD25" s="20"/>
      <c r="UE25" s="20"/>
      <c r="UF25" s="20"/>
      <c r="UG25" s="20"/>
      <c r="UH25" s="20"/>
      <c r="UI25" s="20"/>
      <c r="UJ25" s="20"/>
      <c r="UK25" s="20"/>
      <c r="UL25" s="20"/>
      <c r="UM25" s="20"/>
      <c r="UN25" s="20"/>
      <c r="UO25" s="20"/>
      <c r="UP25" s="20"/>
      <c r="UQ25" s="20"/>
      <c r="UR25" s="20"/>
      <c r="US25" s="20"/>
      <c r="UT25" s="20"/>
      <c r="UU25" s="20"/>
      <c r="UV25" s="20"/>
      <c r="UW25" s="20"/>
      <c r="UX25" s="20"/>
      <c r="UY25" s="20"/>
      <c r="UZ25" s="20"/>
      <c r="VA25" s="20"/>
      <c r="VB25" s="20"/>
      <c r="VC25" s="20"/>
      <c r="VD25" s="20"/>
      <c r="VE25" s="20"/>
      <c r="VF25" s="20"/>
      <c r="VG25" s="20"/>
      <c r="VH25" s="20"/>
      <c r="VI25" s="20"/>
      <c r="VJ25" s="20"/>
      <c r="VK25" s="20"/>
      <c r="VL25" s="20"/>
      <c r="VM25" s="20"/>
      <c r="VN25" s="20"/>
      <c r="VO25" s="20"/>
      <c r="VP25" s="20"/>
      <c r="VQ25" s="20"/>
      <c r="VR25" s="20"/>
      <c r="VS25" s="20"/>
      <c r="VT25" s="20"/>
      <c r="VU25" s="20"/>
      <c r="VV25" s="20"/>
      <c r="VW25" s="20"/>
      <c r="VX25" s="20"/>
      <c r="VY25" s="20"/>
      <c r="VZ25" s="20"/>
      <c r="WA25" s="20"/>
      <c r="WB25" s="20"/>
      <c r="WC25" s="20"/>
      <c r="WD25" s="20"/>
      <c r="WE25" s="20"/>
      <c r="WF25" s="20"/>
      <c r="WG25" s="20"/>
      <c r="WH25" s="20"/>
      <c r="WI25" s="20"/>
      <c r="WJ25" s="20"/>
      <c r="WK25" s="20"/>
      <c r="WL25" s="20"/>
      <c r="WM25" s="20"/>
      <c r="WN25" s="20"/>
      <c r="WO25" s="20"/>
      <c r="WP25" s="20"/>
      <c r="WQ25" s="20"/>
      <c r="WR25" s="20"/>
      <c r="WS25" s="20"/>
      <c r="WT25" s="20"/>
      <c r="WU25" s="20"/>
      <c r="WV25" s="20"/>
      <c r="WW25" s="20"/>
      <c r="WX25" s="20"/>
      <c r="WY25" s="20"/>
      <c r="WZ25" s="20"/>
      <c r="XA25" s="20"/>
      <c r="XB25" s="20"/>
      <c r="XC25" s="20"/>
      <c r="XD25" s="20"/>
      <c r="XE25" s="20"/>
      <c r="XF25" s="20"/>
      <c r="XG25" s="20"/>
      <c r="XH25" s="20"/>
      <c r="XI25" s="20"/>
      <c r="XJ25" s="20"/>
      <c r="XK25" s="20"/>
      <c r="XL25" s="20"/>
      <c r="XM25" s="20"/>
      <c r="XN25" s="20"/>
      <c r="XO25" s="20"/>
      <c r="XP25" s="20"/>
      <c r="XQ25" s="20"/>
      <c r="XR25" s="20"/>
      <c r="XS25" s="20"/>
      <c r="XT25" s="20"/>
      <c r="XU25" s="20"/>
      <c r="XV25" s="20"/>
      <c r="XW25" s="20"/>
      <c r="XX25" s="20"/>
      <c r="XY25" s="20"/>
      <c r="XZ25" s="20"/>
      <c r="YA25" s="20"/>
      <c r="YB25" s="20"/>
      <c r="YC25" s="20"/>
      <c r="YD25" s="20"/>
      <c r="YE25" s="20"/>
      <c r="YF25" s="20"/>
      <c r="YG25" s="20"/>
      <c r="YH25" s="20"/>
      <c r="YI25" s="20"/>
      <c r="YJ25" s="20"/>
      <c r="YK25" s="20"/>
      <c r="YL25" s="20"/>
      <c r="YM25" s="20"/>
      <c r="YN25" s="20"/>
      <c r="YO25" s="20"/>
      <c r="YP25" s="20"/>
      <c r="YQ25" s="20"/>
      <c r="YR25" s="20"/>
      <c r="YS25" s="20"/>
      <c r="YT25" s="20"/>
      <c r="YU25" s="20"/>
      <c r="YV25" s="20"/>
      <c r="YW25" s="20"/>
      <c r="YX25" s="20"/>
      <c r="YY25" s="20"/>
      <c r="YZ25" s="20"/>
      <c r="ZA25" s="20"/>
      <c r="ZB25" s="20"/>
      <c r="ZC25" s="20"/>
      <c r="ZD25" s="20"/>
      <c r="ZE25" s="20"/>
      <c r="ZF25" s="20"/>
      <c r="ZG25" s="20"/>
      <c r="ZH25" s="20"/>
      <c r="ZI25" s="20"/>
      <c r="ZJ25" s="20"/>
      <c r="ZK25" s="20"/>
      <c r="ZL25" s="20"/>
      <c r="ZM25" s="20"/>
      <c r="ZN25" s="20"/>
      <c r="ZO25" s="20"/>
      <c r="ZP25" s="20"/>
      <c r="ZQ25" s="20"/>
      <c r="ZR25" s="20"/>
      <c r="ZS25" s="20"/>
      <c r="ZT25" s="20"/>
      <c r="ZU25" s="20"/>
      <c r="ZV25" s="20"/>
      <c r="ZW25" s="20"/>
      <c r="ZX25" s="20"/>
      <c r="ZY25" s="20"/>
      <c r="ZZ25" s="20"/>
      <c r="AAA25" s="20"/>
      <c r="AAB25" s="20"/>
      <c r="AAC25" s="20"/>
      <c r="AAD25" s="20"/>
      <c r="AAE25" s="20"/>
      <c r="AAF25" s="20"/>
    </row>
    <row r="26" spans="1:708" ht="67.5" customHeight="1" x14ac:dyDescent="0.25">
      <c r="A26" s="696" t="s">
        <v>43</v>
      </c>
      <c r="B26" s="696" t="s">
        <v>44</v>
      </c>
      <c r="C26" s="696" t="s">
        <v>45</v>
      </c>
      <c r="D26" s="696" t="s">
        <v>46</v>
      </c>
      <c r="E26" s="696" t="s">
        <v>47</v>
      </c>
      <c r="F26" s="696" t="s">
        <v>48</v>
      </c>
      <c r="G26" s="696" t="s">
        <v>49</v>
      </c>
      <c r="H26" s="696" t="s">
        <v>50</v>
      </c>
      <c r="I26" s="696" t="s">
        <v>51</v>
      </c>
      <c r="J26" s="696" t="s">
        <v>1296</v>
      </c>
      <c r="K26" s="696" t="s">
        <v>206</v>
      </c>
      <c r="L26" s="696" t="s">
        <v>54</v>
      </c>
      <c r="M26" s="696" t="s">
        <v>55</v>
      </c>
      <c r="N26" s="696" t="s">
        <v>56</v>
      </c>
      <c r="O26" s="696"/>
      <c r="P26" s="696">
        <v>20</v>
      </c>
      <c r="Q26" s="63" t="s">
        <v>57</v>
      </c>
      <c r="R26" s="63" t="s">
        <v>58</v>
      </c>
      <c r="S26" s="524" t="s">
        <v>56</v>
      </c>
      <c r="T26" s="524"/>
      <c r="U26" s="524">
        <v>15</v>
      </c>
      <c r="V26" s="905">
        <v>296872344</v>
      </c>
      <c r="W26" s="1009"/>
      <c r="X26" s="524" t="s">
        <v>207</v>
      </c>
      <c r="Y26" s="690">
        <v>3</v>
      </c>
      <c r="Z26" s="690">
        <f>+P26</f>
        <v>20</v>
      </c>
      <c r="AA26" s="700">
        <f>+Y26/Z26</f>
        <v>0.15</v>
      </c>
      <c r="AB26" s="690" t="s">
        <v>208</v>
      </c>
      <c r="AC26" s="524">
        <v>0</v>
      </c>
      <c r="AD26" s="524">
        <f t="shared" ref="AD26:AD29" si="11">+U26</f>
        <v>15</v>
      </c>
      <c r="AE26" s="525">
        <f>AC26/AD26</f>
        <v>0</v>
      </c>
      <c r="AF26" s="524" t="s">
        <v>178</v>
      </c>
      <c r="AG26" s="689">
        <v>3</v>
      </c>
      <c r="AH26" s="689">
        <v>20</v>
      </c>
      <c r="AI26" s="692">
        <v>0.15</v>
      </c>
      <c r="AJ26" s="689" t="s">
        <v>209</v>
      </c>
      <c r="AK26" s="539">
        <v>3</v>
      </c>
      <c r="AL26" s="539">
        <v>15</v>
      </c>
      <c r="AM26" s="541">
        <v>0.2</v>
      </c>
      <c r="AN26" s="539" t="s">
        <v>210</v>
      </c>
      <c r="AO26" s="689">
        <v>6</v>
      </c>
      <c r="AP26" s="689">
        <f>+P26</f>
        <v>20</v>
      </c>
      <c r="AQ26" s="692">
        <f>+AO26/AP26</f>
        <v>0.3</v>
      </c>
      <c r="AR26" s="689" t="s">
        <v>211</v>
      </c>
      <c r="AS26" s="539">
        <v>4</v>
      </c>
      <c r="AT26" s="539">
        <f t="shared" ref="AT26:AT29" si="12">+U26</f>
        <v>15</v>
      </c>
      <c r="AU26" s="541">
        <f>AS26/AT26</f>
        <v>0.26666666666666666</v>
      </c>
      <c r="AV26" s="539" t="s">
        <v>212</v>
      </c>
      <c r="AW26" s="689">
        <v>6</v>
      </c>
      <c r="AX26" s="689">
        <f>+P26</f>
        <v>20</v>
      </c>
      <c r="AY26" s="692">
        <f>+AW26/AX26</f>
        <v>0.3</v>
      </c>
      <c r="AZ26" s="689" t="s">
        <v>1364</v>
      </c>
      <c r="BA26" s="539">
        <v>4</v>
      </c>
      <c r="BB26" s="539">
        <f>+U26</f>
        <v>15</v>
      </c>
      <c r="BC26" s="541">
        <f>BA26/BB26</f>
        <v>0.26666666666666666</v>
      </c>
      <c r="BD26" s="539" t="s">
        <v>1365</v>
      </c>
      <c r="BE26" s="689">
        <v>6</v>
      </c>
      <c r="BF26" s="689">
        <v>20</v>
      </c>
      <c r="BG26" s="692">
        <f>+BE26/BF26</f>
        <v>0.3</v>
      </c>
      <c r="BH26" s="689" t="s">
        <v>1366</v>
      </c>
      <c r="BI26" s="539">
        <v>4</v>
      </c>
      <c r="BJ26" s="539">
        <v>15</v>
      </c>
      <c r="BK26" s="541">
        <f>BI26/BJ26</f>
        <v>0.26666666666666666</v>
      </c>
      <c r="BL26" s="539" t="s">
        <v>1367</v>
      </c>
      <c r="BM26" s="689">
        <v>6</v>
      </c>
      <c r="BN26" s="689">
        <v>20</v>
      </c>
      <c r="BO26" s="692">
        <f>+BM26/BN26</f>
        <v>0.3</v>
      </c>
      <c r="BP26" s="689" t="s">
        <v>1368</v>
      </c>
      <c r="BQ26" s="539">
        <v>4</v>
      </c>
      <c r="BR26" s="539">
        <v>15</v>
      </c>
      <c r="BS26" s="541">
        <f>BQ26/BR26</f>
        <v>0.26666666666666666</v>
      </c>
      <c r="BT26" s="539" t="s">
        <v>1369</v>
      </c>
    </row>
    <row r="27" spans="1:708" ht="59.25" customHeight="1" x14ac:dyDescent="0.25">
      <c r="A27" s="716"/>
      <c r="B27" s="716"/>
      <c r="C27" s="716"/>
      <c r="D27" s="716"/>
      <c r="E27" s="716"/>
      <c r="F27" s="716"/>
      <c r="G27" s="716"/>
      <c r="H27" s="716"/>
      <c r="I27" s="716"/>
      <c r="J27" s="716"/>
      <c r="K27" s="716"/>
      <c r="L27" s="716"/>
      <c r="M27" s="716"/>
      <c r="N27" s="716"/>
      <c r="O27" s="716"/>
      <c r="P27" s="716"/>
      <c r="Q27" s="70" t="s">
        <v>66</v>
      </c>
      <c r="R27" s="70" t="s">
        <v>67</v>
      </c>
      <c r="S27" s="527" t="s">
        <v>56</v>
      </c>
      <c r="T27" s="527"/>
      <c r="U27" s="527">
        <v>20</v>
      </c>
      <c r="V27" s="906"/>
      <c r="W27" s="1009"/>
      <c r="X27" s="527" t="s">
        <v>207</v>
      </c>
      <c r="Y27" s="690"/>
      <c r="Z27" s="690"/>
      <c r="AA27" s="700"/>
      <c r="AB27" s="690"/>
      <c r="AC27" s="527">
        <v>3</v>
      </c>
      <c r="AD27" s="527">
        <f t="shared" si="11"/>
        <v>20</v>
      </c>
      <c r="AE27" s="526">
        <f>AC27/AD27</f>
        <v>0.15</v>
      </c>
      <c r="AF27" s="527" t="s">
        <v>183</v>
      </c>
      <c r="AG27" s="689"/>
      <c r="AH27" s="689"/>
      <c r="AI27" s="692"/>
      <c r="AJ27" s="689"/>
      <c r="AK27" s="551">
        <v>3</v>
      </c>
      <c r="AL27" s="551">
        <v>20</v>
      </c>
      <c r="AM27" s="552">
        <v>0.15</v>
      </c>
      <c r="AN27" s="551" t="s">
        <v>213</v>
      </c>
      <c r="AO27" s="689"/>
      <c r="AP27" s="689"/>
      <c r="AQ27" s="692"/>
      <c r="AR27" s="689"/>
      <c r="AS27" s="551">
        <v>5</v>
      </c>
      <c r="AT27" s="551">
        <f t="shared" si="12"/>
        <v>20</v>
      </c>
      <c r="AU27" s="552">
        <f>AS27/AT27</f>
        <v>0.25</v>
      </c>
      <c r="AV27" s="551" t="s">
        <v>214</v>
      </c>
      <c r="AW27" s="689"/>
      <c r="AX27" s="689"/>
      <c r="AY27" s="692"/>
      <c r="AZ27" s="689"/>
      <c r="BA27" s="551">
        <v>5</v>
      </c>
      <c r="BB27" s="551">
        <f>+U27</f>
        <v>20</v>
      </c>
      <c r="BC27" s="552">
        <f>BA27/BB27</f>
        <v>0.25</v>
      </c>
      <c r="BD27" s="551" t="s">
        <v>1370</v>
      </c>
      <c r="BE27" s="689"/>
      <c r="BF27" s="689"/>
      <c r="BG27" s="692"/>
      <c r="BH27" s="689"/>
      <c r="BI27" s="551">
        <v>5</v>
      </c>
      <c r="BJ27" s="551">
        <v>20</v>
      </c>
      <c r="BK27" s="552">
        <f>BI27/BJ27</f>
        <v>0.25</v>
      </c>
      <c r="BL27" s="551" t="s">
        <v>1371</v>
      </c>
      <c r="BM27" s="689"/>
      <c r="BN27" s="689"/>
      <c r="BO27" s="692"/>
      <c r="BP27" s="689"/>
      <c r="BQ27" s="551">
        <v>5</v>
      </c>
      <c r="BR27" s="551">
        <v>20</v>
      </c>
      <c r="BS27" s="552">
        <f>BQ27/BR27</f>
        <v>0.25</v>
      </c>
      <c r="BT27" s="551" t="s">
        <v>1372</v>
      </c>
    </row>
    <row r="28" spans="1:708" ht="69.75" customHeight="1" x14ac:dyDescent="0.25">
      <c r="A28" s="702" t="s">
        <v>43</v>
      </c>
      <c r="B28" s="702" t="s">
        <v>44</v>
      </c>
      <c r="C28" s="702" t="s">
        <v>45</v>
      </c>
      <c r="D28" s="702" t="s">
        <v>46</v>
      </c>
      <c r="E28" s="702" t="s">
        <v>71</v>
      </c>
      <c r="F28" s="702" t="s">
        <v>48</v>
      </c>
      <c r="G28" s="702" t="s">
        <v>49</v>
      </c>
      <c r="H28" s="702" t="s">
        <v>50</v>
      </c>
      <c r="I28" s="702" t="s">
        <v>51</v>
      </c>
      <c r="J28" s="702" t="s">
        <v>1296</v>
      </c>
      <c r="K28" s="702" t="s">
        <v>206</v>
      </c>
      <c r="L28" s="702" t="s">
        <v>72</v>
      </c>
      <c r="M28" s="702" t="s">
        <v>112</v>
      </c>
      <c r="N28" s="702" t="s">
        <v>74</v>
      </c>
      <c r="O28" s="702"/>
      <c r="P28" s="913">
        <v>0.89</v>
      </c>
      <c r="Q28" s="63" t="s">
        <v>113</v>
      </c>
      <c r="R28" s="63" t="s">
        <v>114</v>
      </c>
      <c r="S28" s="524" t="s">
        <v>74</v>
      </c>
      <c r="T28" s="524"/>
      <c r="U28" s="545">
        <v>0.89</v>
      </c>
      <c r="V28" s="906"/>
      <c r="W28" s="1009"/>
      <c r="X28" s="524" t="s">
        <v>207</v>
      </c>
      <c r="Y28" s="700">
        <f>3/3</f>
        <v>1</v>
      </c>
      <c r="Z28" s="701">
        <f>+P28</f>
        <v>0.89</v>
      </c>
      <c r="AA28" s="700">
        <f>+Y28/Z28</f>
        <v>1.1235955056179776</v>
      </c>
      <c r="AB28" s="690" t="s">
        <v>215</v>
      </c>
      <c r="AC28" s="525">
        <v>0</v>
      </c>
      <c r="AD28" s="545">
        <f t="shared" si="11"/>
        <v>0.89</v>
      </c>
      <c r="AE28" s="525">
        <f>AC28/AD28</f>
        <v>0</v>
      </c>
      <c r="AF28" s="524" t="s">
        <v>187</v>
      </c>
      <c r="AG28" s="692">
        <v>1</v>
      </c>
      <c r="AH28" s="691">
        <v>0.89</v>
      </c>
      <c r="AI28" s="692">
        <v>1.1235955056179776</v>
      </c>
      <c r="AJ28" s="689" t="s">
        <v>216</v>
      </c>
      <c r="AK28" s="541">
        <v>0.75</v>
      </c>
      <c r="AL28" s="540">
        <v>0.89</v>
      </c>
      <c r="AM28" s="541">
        <v>0.84269662921348309</v>
      </c>
      <c r="AN28" s="539" t="s">
        <v>217</v>
      </c>
      <c r="AO28" s="692">
        <f>5/5</f>
        <v>1</v>
      </c>
      <c r="AP28" s="691">
        <f>+P28</f>
        <v>0.89</v>
      </c>
      <c r="AQ28" s="692">
        <f>+AO28/AP28</f>
        <v>1.1235955056179776</v>
      </c>
      <c r="AR28" s="689" t="s">
        <v>218</v>
      </c>
      <c r="AS28" s="541">
        <f>(3/4)</f>
        <v>0.75</v>
      </c>
      <c r="AT28" s="540">
        <f t="shared" si="12"/>
        <v>0.89</v>
      </c>
      <c r="AU28" s="541">
        <f>AS28/AT28</f>
        <v>0.84269662921348309</v>
      </c>
      <c r="AV28" s="539" t="s">
        <v>219</v>
      </c>
      <c r="AW28" s="692">
        <f>(5/5)</f>
        <v>1</v>
      </c>
      <c r="AX28" s="691">
        <f>+P28</f>
        <v>0.89</v>
      </c>
      <c r="AY28" s="692">
        <f>+AW28/AX28</f>
        <v>1.1235955056179776</v>
      </c>
      <c r="AZ28" s="689" t="s">
        <v>1373</v>
      </c>
      <c r="BA28" s="541">
        <f>(3/4)</f>
        <v>0.75</v>
      </c>
      <c r="BB28" s="540">
        <f>+U28</f>
        <v>0.89</v>
      </c>
      <c r="BC28" s="541">
        <f>BA28/BB28</f>
        <v>0.84269662921348309</v>
      </c>
      <c r="BD28" s="539" t="s">
        <v>1374</v>
      </c>
      <c r="BE28" s="692">
        <f>(5/5)</f>
        <v>1</v>
      </c>
      <c r="BF28" s="691">
        <v>0.89</v>
      </c>
      <c r="BG28" s="692">
        <f>+BE28/BF28</f>
        <v>1.1235955056179776</v>
      </c>
      <c r="BH28" s="689" t="s">
        <v>1375</v>
      </c>
      <c r="BI28" s="541">
        <f>(3/4)</f>
        <v>0.75</v>
      </c>
      <c r="BJ28" s="540">
        <v>0.89</v>
      </c>
      <c r="BK28" s="541">
        <f>BI28/BJ28</f>
        <v>0.84269662921348309</v>
      </c>
      <c r="BL28" s="539" t="s">
        <v>1376</v>
      </c>
      <c r="BM28" s="692">
        <f>(5/5)</f>
        <v>1</v>
      </c>
      <c r="BN28" s="691">
        <v>0.89</v>
      </c>
      <c r="BO28" s="692">
        <f>+BM28/BN28</f>
        <v>1.1235955056179776</v>
      </c>
      <c r="BP28" s="911" t="s">
        <v>1377</v>
      </c>
      <c r="BQ28" s="541">
        <f>(3/4)</f>
        <v>0.75</v>
      </c>
      <c r="BR28" s="540">
        <v>0.89</v>
      </c>
      <c r="BS28" s="541">
        <f>BQ28/BR28</f>
        <v>0.84269662921348309</v>
      </c>
      <c r="BT28" s="539" t="s">
        <v>1378</v>
      </c>
    </row>
    <row r="29" spans="1:708" ht="56.25" customHeight="1" x14ac:dyDescent="0.25">
      <c r="A29" s="703"/>
      <c r="B29" s="703"/>
      <c r="C29" s="703"/>
      <c r="D29" s="703"/>
      <c r="E29" s="703"/>
      <c r="F29" s="703"/>
      <c r="G29" s="703"/>
      <c r="H29" s="703"/>
      <c r="I29" s="703"/>
      <c r="J29" s="703"/>
      <c r="K29" s="703"/>
      <c r="L29" s="703"/>
      <c r="M29" s="703"/>
      <c r="N29" s="703"/>
      <c r="O29" s="703"/>
      <c r="P29" s="914"/>
      <c r="Q29" s="70" t="s">
        <v>121</v>
      </c>
      <c r="R29" s="70" t="s">
        <v>122</v>
      </c>
      <c r="S29" s="527" t="s">
        <v>74</v>
      </c>
      <c r="T29" s="527"/>
      <c r="U29" s="81">
        <v>0.89</v>
      </c>
      <c r="V29" s="907"/>
      <c r="W29" s="1009"/>
      <c r="X29" s="527" t="s">
        <v>207</v>
      </c>
      <c r="Y29" s="700"/>
      <c r="Z29" s="690"/>
      <c r="AA29" s="700"/>
      <c r="AB29" s="690"/>
      <c r="AC29" s="526">
        <f>0/2</f>
        <v>0</v>
      </c>
      <c r="AD29" s="81">
        <f t="shared" si="11"/>
        <v>0.89</v>
      </c>
      <c r="AE29" s="526">
        <f>AC29/AD29</f>
        <v>0</v>
      </c>
      <c r="AF29" s="527" t="s">
        <v>220</v>
      </c>
      <c r="AG29" s="692"/>
      <c r="AH29" s="689"/>
      <c r="AI29" s="692"/>
      <c r="AJ29" s="689"/>
      <c r="AK29" s="552">
        <v>0</v>
      </c>
      <c r="AL29" s="82">
        <v>0.89</v>
      </c>
      <c r="AM29" s="552">
        <v>0</v>
      </c>
      <c r="AN29" s="551" t="s">
        <v>221</v>
      </c>
      <c r="AO29" s="692"/>
      <c r="AP29" s="689"/>
      <c r="AQ29" s="692"/>
      <c r="AR29" s="689"/>
      <c r="AS29" s="552">
        <f>0/3</f>
        <v>0</v>
      </c>
      <c r="AT29" s="82">
        <f t="shared" si="12"/>
        <v>0.89</v>
      </c>
      <c r="AU29" s="552">
        <f>AS29/AT29</f>
        <v>0</v>
      </c>
      <c r="AV29" s="551" t="s">
        <v>222</v>
      </c>
      <c r="AW29" s="692"/>
      <c r="AX29" s="689"/>
      <c r="AY29" s="692"/>
      <c r="AZ29" s="689"/>
      <c r="BA29" s="552">
        <f>(0/4)</f>
        <v>0</v>
      </c>
      <c r="BB29" s="82">
        <f>+U29</f>
        <v>0.89</v>
      </c>
      <c r="BC29" s="552">
        <f>BA29/BB29</f>
        <v>0</v>
      </c>
      <c r="BD29" s="551" t="s">
        <v>1379</v>
      </c>
      <c r="BE29" s="692"/>
      <c r="BF29" s="689"/>
      <c r="BG29" s="692"/>
      <c r="BH29" s="689"/>
      <c r="BI29" s="552">
        <f>(0/4)</f>
        <v>0</v>
      </c>
      <c r="BJ29" s="82">
        <v>0.89</v>
      </c>
      <c r="BK29" s="552">
        <f>BI29/BJ29</f>
        <v>0</v>
      </c>
      <c r="BL29" s="551" t="s">
        <v>1380</v>
      </c>
      <c r="BM29" s="692"/>
      <c r="BN29" s="689"/>
      <c r="BO29" s="692"/>
      <c r="BP29" s="912"/>
      <c r="BQ29" s="902"/>
      <c r="BR29" s="903"/>
      <c r="BS29" s="903"/>
      <c r="BT29" s="904"/>
    </row>
    <row r="30" spans="1:708" s="21" customFormat="1" ht="70.5" customHeight="1" x14ac:dyDescent="0.25">
      <c r="A30" s="52"/>
      <c r="B30" s="52"/>
      <c r="C30" s="52"/>
      <c r="D30" s="52"/>
      <c r="E30" s="52"/>
      <c r="F30" s="52"/>
      <c r="G30" s="52"/>
      <c r="H30" s="52"/>
      <c r="I30" s="52"/>
      <c r="J30" s="52"/>
      <c r="K30" s="52"/>
      <c r="L30" s="52"/>
      <c r="M30" s="52"/>
      <c r="N30" s="52"/>
      <c r="O30" s="52"/>
      <c r="P30" s="53"/>
      <c r="Q30" s="52"/>
      <c r="R30" s="52"/>
      <c r="S30" s="53"/>
      <c r="T30" s="52"/>
      <c r="U30" s="52"/>
      <c r="V30" s="54"/>
      <c r="W30" s="1009"/>
      <c r="X30" s="52"/>
      <c r="Y30" s="657" t="s">
        <v>99</v>
      </c>
      <c r="Z30" s="657"/>
      <c r="AA30" s="55">
        <f>AVERAGE(AA26:AA29)</f>
        <v>0.63679775280898876</v>
      </c>
      <c r="AB30" s="56"/>
      <c r="AC30" s="657" t="s">
        <v>100</v>
      </c>
      <c r="AD30" s="657"/>
      <c r="AE30" s="55">
        <f>AVERAGE(AE26:AE29)</f>
        <v>3.7499999999999999E-2</v>
      </c>
      <c r="AF30" s="58"/>
      <c r="AG30" s="658" t="s">
        <v>99</v>
      </c>
      <c r="AH30" s="658"/>
      <c r="AI30" s="55">
        <f>AVERAGE(AI26:AI29)</f>
        <v>0.63679775280898876</v>
      </c>
      <c r="AJ30" s="60"/>
      <c r="AK30" s="658" t="s">
        <v>100</v>
      </c>
      <c r="AL30" s="658"/>
      <c r="AM30" s="55">
        <f>AVERAGE(AM26:AM29)</f>
        <v>0.29817415730337077</v>
      </c>
      <c r="AN30" s="62"/>
      <c r="AO30" s="657" t="s">
        <v>99</v>
      </c>
      <c r="AP30" s="657"/>
      <c r="AQ30" s="55">
        <f>AVERAGE(AQ26:AQ29)</f>
        <v>0.71179775280898883</v>
      </c>
      <c r="AR30" s="56"/>
      <c r="AS30" s="657" t="s">
        <v>100</v>
      </c>
      <c r="AT30" s="657"/>
      <c r="AU30" s="55">
        <f>AVERAGE(AU26:AU29)</f>
        <v>0.33984082397003745</v>
      </c>
      <c r="AV30" s="58"/>
      <c r="AW30" s="658" t="s">
        <v>99</v>
      </c>
      <c r="AX30" s="658"/>
      <c r="AY30" s="59">
        <f>AVERAGE(AY26:AY29)</f>
        <v>0.71179775280898883</v>
      </c>
      <c r="AZ30" s="60"/>
      <c r="BA30" s="658" t="s">
        <v>100</v>
      </c>
      <c r="BB30" s="658"/>
      <c r="BC30" s="59">
        <f>AVERAGE(BC26:BC29)</f>
        <v>0.33984082397003745</v>
      </c>
      <c r="BD30" s="62"/>
      <c r="BE30" s="658" t="s">
        <v>99</v>
      </c>
      <c r="BF30" s="658"/>
      <c r="BG30" s="59">
        <f>AVERAGE(BG26:BG29)</f>
        <v>0.71179775280898883</v>
      </c>
      <c r="BH30" s="60"/>
      <c r="BI30" s="657" t="s">
        <v>100</v>
      </c>
      <c r="BJ30" s="657"/>
      <c r="BK30" s="55">
        <f>AVERAGE(BK26:BK29)</f>
        <v>0.33984082397003745</v>
      </c>
      <c r="BL30" s="58"/>
      <c r="BM30" s="658" t="s">
        <v>99</v>
      </c>
      <c r="BN30" s="658"/>
      <c r="BO30" s="59">
        <f>AVERAGE(BO26:BO29)</f>
        <v>0.71179775280898883</v>
      </c>
      <c r="BP30" s="60"/>
      <c r="BQ30" s="658" t="s">
        <v>100</v>
      </c>
      <c r="BR30" s="658"/>
      <c r="BS30" s="59">
        <f>AVERAGE(BS26:BS29)</f>
        <v>0.45312109862671662</v>
      </c>
      <c r="BT30" s="62"/>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c r="IW30" s="20"/>
      <c r="IX30" s="20"/>
      <c r="IY30" s="20"/>
      <c r="IZ30" s="20"/>
      <c r="JA30" s="20"/>
      <c r="JB30" s="20"/>
      <c r="JC30" s="20"/>
      <c r="JD30" s="20"/>
      <c r="JE30" s="20"/>
      <c r="JF30" s="20"/>
      <c r="JG30" s="20"/>
      <c r="JH30" s="20"/>
      <c r="JI30" s="20"/>
      <c r="JJ30" s="20"/>
      <c r="JK30" s="20"/>
      <c r="JL30" s="20"/>
      <c r="JM30" s="20"/>
      <c r="JN30" s="20"/>
      <c r="JO30" s="20"/>
      <c r="JP30" s="20"/>
      <c r="JQ30" s="20"/>
      <c r="JR30" s="20"/>
      <c r="JS30" s="20"/>
      <c r="JT30" s="20"/>
      <c r="JU30" s="20"/>
      <c r="JV30" s="20"/>
      <c r="JW30" s="20"/>
      <c r="JX30" s="20"/>
      <c r="JY30" s="20"/>
      <c r="JZ30" s="20"/>
      <c r="KA30" s="20"/>
      <c r="KB30" s="20"/>
      <c r="KC30" s="20"/>
      <c r="KD30" s="20"/>
      <c r="KE30" s="20"/>
      <c r="KF30" s="20"/>
      <c r="KG30" s="20"/>
      <c r="KH30" s="20"/>
      <c r="KI30" s="20"/>
      <c r="KJ30" s="20"/>
      <c r="KK30" s="20"/>
      <c r="KL30" s="20"/>
      <c r="KM30" s="20"/>
      <c r="KN30" s="20"/>
      <c r="KO30" s="20"/>
      <c r="KP30" s="20"/>
      <c r="KQ30" s="20"/>
      <c r="KR30" s="20"/>
      <c r="KS30" s="20"/>
      <c r="KT30" s="20"/>
      <c r="KU30" s="20"/>
      <c r="KV30" s="20"/>
      <c r="KW30" s="20"/>
      <c r="KX30" s="20"/>
      <c r="KY30" s="20"/>
      <c r="KZ30" s="20"/>
      <c r="LA30" s="20"/>
      <c r="LB30" s="20"/>
      <c r="LC30" s="20"/>
      <c r="LD30" s="20"/>
      <c r="LE30" s="20"/>
      <c r="LF30" s="20"/>
      <c r="LG30" s="20"/>
      <c r="LH30" s="20"/>
      <c r="LI30" s="20"/>
      <c r="LJ30" s="20"/>
      <c r="LK30" s="20"/>
      <c r="LL30" s="20"/>
      <c r="LM30" s="20"/>
      <c r="LN30" s="20"/>
      <c r="LO30" s="20"/>
      <c r="LP30" s="20"/>
      <c r="LQ30" s="20"/>
      <c r="LR30" s="20"/>
      <c r="LS30" s="20"/>
      <c r="LT30" s="20"/>
      <c r="LU30" s="20"/>
      <c r="LV30" s="20"/>
      <c r="LW30" s="20"/>
      <c r="LX30" s="20"/>
      <c r="LY30" s="20"/>
      <c r="LZ30" s="20"/>
      <c r="MA30" s="20"/>
      <c r="MB30" s="20"/>
      <c r="MC30" s="20"/>
      <c r="MD30" s="20"/>
      <c r="ME30" s="20"/>
      <c r="MF30" s="20"/>
      <c r="MG30" s="20"/>
      <c r="MH30" s="20"/>
      <c r="MI30" s="20"/>
      <c r="MJ30" s="20"/>
      <c r="MK30" s="20"/>
      <c r="ML30" s="20"/>
      <c r="MM30" s="20"/>
      <c r="MN30" s="20"/>
      <c r="MO30" s="20"/>
      <c r="MP30" s="20"/>
      <c r="MQ30" s="20"/>
      <c r="MR30" s="20"/>
      <c r="MS30" s="20"/>
      <c r="MT30" s="20"/>
      <c r="MU30" s="20"/>
      <c r="MV30" s="20"/>
      <c r="MW30" s="20"/>
      <c r="MX30" s="20"/>
      <c r="MY30" s="20"/>
      <c r="MZ30" s="20"/>
      <c r="NA30" s="20"/>
      <c r="NB30" s="20"/>
      <c r="NC30" s="20"/>
      <c r="ND30" s="20"/>
      <c r="NE30" s="20"/>
      <c r="NF30" s="20"/>
      <c r="NG30" s="20"/>
      <c r="NH30" s="20"/>
      <c r="NI30" s="20"/>
      <c r="NJ30" s="20"/>
      <c r="NK30" s="20"/>
      <c r="NL30" s="20"/>
      <c r="NM30" s="20"/>
      <c r="NN30" s="20"/>
      <c r="NO30" s="20"/>
      <c r="NP30" s="20"/>
      <c r="NQ30" s="20"/>
      <c r="NR30" s="20"/>
      <c r="NS30" s="20"/>
      <c r="NT30" s="20"/>
      <c r="NU30" s="20"/>
      <c r="NV30" s="20"/>
      <c r="NW30" s="20"/>
      <c r="NX30" s="20"/>
      <c r="NY30" s="20"/>
      <c r="NZ30" s="20"/>
      <c r="OA30" s="20"/>
      <c r="OB30" s="20"/>
      <c r="OC30" s="20"/>
      <c r="OD30" s="20"/>
      <c r="OE30" s="20"/>
      <c r="OF30" s="20"/>
      <c r="OG30" s="20"/>
      <c r="OH30" s="20"/>
      <c r="OI30" s="20"/>
      <c r="OJ30" s="20"/>
      <c r="OK30" s="20"/>
      <c r="OL30" s="20"/>
      <c r="OM30" s="20"/>
      <c r="ON30" s="20"/>
      <c r="OO30" s="20"/>
      <c r="OP30" s="20"/>
      <c r="OQ30" s="20"/>
      <c r="OR30" s="20"/>
      <c r="OS30" s="20"/>
      <c r="OT30" s="20"/>
      <c r="OU30" s="20"/>
      <c r="OV30" s="20"/>
      <c r="OW30" s="20"/>
      <c r="OX30" s="20"/>
      <c r="OY30" s="20"/>
      <c r="OZ30" s="20"/>
      <c r="PA30" s="20"/>
      <c r="PB30" s="20"/>
      <c r="PC30" s="20"/>
      <c r="PD30" s="20"/>
      <c r="PE30" s="20"/>
      <c r="PF30" s="20"/>
      <c r="PG30" s="20"/>
      <c r="PH30" s="20"/>
      <c r="PI30" s="20"/>
      <c r="PJ30" s="20"/>
      <c r="PK30" s="20"/>
      <c r="PL30" s="20"/>
      <c r="PM30" s="20"/>
      <c r="PN30" s="20"/>
      <c r="PO30" s="20"/>
      <c r="PP30" s="20"/>
      <c r="PQ30" s="20"/>
      <c r="PR30" s="20"/>
      <c r="PS30" s="20"/>
      <c r="PT30" s="20"/>
      <c r="PU30" s="20"/>
      <c r="PV30" s="20"/>
      <c r="PW30" s="20"/>
      <c r="PX30" s="20"/>
      <c r="PY30" s="20"/>
      <c r="PZ30" s="20"/>
      <c r="QA30" s="20"/>
      <c r="QB30" s="20"/>
      <c r="QC30" s="20"/>
      <c r="QD30" s="20"/>
      <c r="QE30" s="20"/>
      <c r="QF30" s="20"/>
      <c r="QG30" s="20"/>
      <c r="QH30" s="20"/>
      <c r="QI30" s="20"/>
      <c r="QJ30" s="20"/>
      <c r="QK30" s="20"/>
      <c r="QL30" s="20"/>
      <c r="QM30" s="20"/>
      <c r="QN30" s="20"/>
      <c r="QO30" s="20"/>
      <c r="QP30" s="20"/>
      <c r="QQ30" s="20"/>
      <c r="QR30" s="20"/>
      <c r="QS30" s="20"/>
      <c r="QT30" s="20"/>
      <c r="QU30" s="20"/>
      <c r="QV30" s="20"/>
      <c r="QW30" s="20"/>
      <c r="QX30" s="20"/>
      <c r="QY30" s="20"/>
      <c r="QZ30" s="20"/>
      <c r="RA30" s="20"/>
      <c r="RB30" s="20"/>
      <c r="RC30" s="20"/>
      <c r="RD30" s="20"/>
      <c r="RE30" s="20"/>
      <c r="RF30" s="20"/>
      <c r="RG30" s="20"/>
      <c r="RH30" s="20"/>
      <c r="RI30" s="20"/>
      <c r="RJ30" s="20"/>
      <c r="RK30" s="20"/>
      <c r="RL30" s="20"/>
      <c r="RM30" s="20"/>
      <c r="RN30" s="20"/>
      <c r="RO30" s="20"/>
      <c r="RP30" s="20"/>
      <c r="RQ30" s="20"/>
      <c r="RR30" s="20"/>
      <c r="RS30" s="20"/>
      <c r="RT30" s="20"/>
      <c r="RU30" s="20"/>
      <c r="RV30" s="20"/>
      <c r="RW30" s="20"/>
      <c r="RX30" s="20"/>
      <c r="RY30" s="20"/>
      <c r="RZ30" s="20"/>
      <c r="SA30" s="20"/>
      <c r="SB30" s="20"/>
      <c r="SC30" s="20"/>
      <c r="SD30" s="20"/>
      <c r="SE30" s="20"/>
      <c r="SF30" s="20"/>
      <c r="SG30" s="20"/>
      <c r="SH30" s="20"/>
      <c r="SI30" s="20"/>
      <c r="SJ30" s="20"/>
      <c r="SK30" s="20"/>
      <c r="SL30" s="20"/>
      <c r="SM30" s="20"/>
      <c r="SN30" s="20"/>
      <c r="SO30" s="20"/>
      <c r="SP30" s="20"/>
      <c r="SQ30" s="20"/>
      <c r="SR30" s="20"/>
      <c r="SS30" s="20"/>
      <c r="ST30" s="20"/>
      <c r="SU30" s="20"/>
      <c r="SV30" s="20"/>
      <c r="SW30" s="20"/>
      <c r="SX30" s="20"/>
      <c r="SY30" s="20"/>
      <c r="SZ30" s="20"/>
      <c r="TA30" s="20"/>
      <c r="TB30" s="20"/>
      <c r="TC30" s="20"/>
      <c r="TD30" s="20"/>
      <c r="TE30" s="20"/>
      <c r="TF30" s="20"/>
      <c r="TG30" s="20"/>
      <c r="TH30" s="20"/>
      <c r="TI30" s="20"/>
      <c r="TJ30" s="20"/>
      <c r="TK30" s="20"/>
      <c r="TL30" s="20"/>
      <c r="TM30" s="20"/>
      <c r="TN30" s="20"/>
      <c r="TO30" s="20"/>
      <c r="TP30" s="20"/>
      <c r="TQ30" s="20"/>
      <c r="TR30" s="20"/>
      <c r="TS30" s="20"/>
      <c r="TT30" s="20"/>
      <c r="TU30" s="20"/>
      <c r="TV30" s="20"/>
      <c r="TW30" s="20"/>
      <c r="TX30" s="20"/>
      <c r="TY30" s="20"/>
      <c r="TZ30" s="20"/>
      <c r="UA30" s="20"/>
      <c r="UB30" s="20"/>
      <c r="UC30" s="20"/>
      <c r="UD30" s="20"/>
      <c r="UE30" s="20"/>
      <c r="UF30" s="20"/>
      <c r="UG30" s="20"/>
      <c r="UH30" s="20"/>
      <c r="UI30" s="20"/>
      <c r="UJ30" s="20"/>
      <c r="UK30" s="20"/>
      <c r="UL30" s="20"/>
      <c r="UM30" s="20"/>
      <c r="UN30" s="20"/>
      <c r="UO30" s="20"/>
      <c r="UP30" s="20"/>
      <c r="UQ30" s="20"/>
      <c r="UR30" s="20"/>
      <c r="US30" s="20"/>
      <c r="UT30" s="20"/>
      <c r="UU30" s="20"/>
      <c r="UV30" s="20"/>
      <c r="UW30" s="20"/>
      <c r="UX30" s="20"/>
      <c r="UY30" s="20"/>
      <c r="UZ30" s="20"/>
      <c r="VA30" s="20"/>
      <c r="VB30" s="20"/>
      <c r="VC30" s="20"/>
      <c r="VD30" s="20"/>
      <c r="VE30" s="20"/>
      <c r="VF30" s="20"/>
      <c r="VG30" s="20"/>
      <c r="VH30" s="20"/>
      <c r="VI30" s="20"/>
      <c r="VJ30" s="20"/>
      <c r="VK30" s="20"/>
      <c r="VL30" s="20"/>
      <c r="VM30" s="20"/>
      <c r="VN30" s="20"/>
      <c r="VO30" s="20"/>
      <c r="VP30" s="20"/>
      <c r="VQ30" s="20"/>
      <c r="VR30" s="20"/>
      <c r="VS30" s="20"/>
      <c r="VT30" s="20"/>
      <c r="VU30" s="20"/>
      <c r="VV30" s="20"/>
      <c r="VW30" s="20"/>
      <c r="VX30" s="20"/>
      <c r="VY30" s="20"/>
      <c r="VZ30" s="20"/>
      <c r="WA30" s="20"/>
      <c r="WB30" s="20"/>
      <c r="WC30" s="20"/>
      <c r="WD30" s="20"/>
      <c r="WE30" s="20"/>
      <c r="WF30" s="20"/>
      <c r="WG30" s="20"/>
      <c r="WH30" s="20"/>
      <c r="WI30" s="20"/>
      <c r="WJ30" s="20"/>
      <c r="WK30" s="20"/>
      <c r="WL30" s="20"/>
      <c r="WM30" s="20"/>
      <c r="WN30" s="20"/>
      <c r="WO30" s="20"/>
      <c r="WP30" s="20"/>
      <c r="WQ30" s="20"/>
      <c r="WR30" s="20"/>
      <c r="WS30" s="20"/>
      <c r="WT30" s="20"/>
      <c r="WU30" s="20"/>
      <c r="WV30" s="20"/>
      <c r="WW30" s="20"/>
      <c r="WX30" s="20"/>
      <c r="WY30" s="20"/>
      <c r="WZ30" s="20"/>
      <c r="XA30" s="20"/>
      <c r="XB30" s="20"/>
      <c r="XC30" s="20"/>
      <c r="XD30" s="20"/>
      <c r="XE30" s="20"/>
      <c r="XF30" s="20"/>
      <c r="XG30" s="20"/>
      <c r="XH30" s="20"/>
      <c r="XI30" s="20"/>
      <c r="XJ30" s="20"/>
      <c r="XK30" s="20"/>
      <c r="XL30" s="20"/>
      <c r="XM30" s="20"/>
      <c r="XN30" s="20"/>
      <c r="XO30" s="20"/>
      <c r="XP30" s="20"/>
      <c r="XQ30" s="20"/>
      <c r="XR30" s="20"/>
      <c r="XS30" s="20"/>
      <c r="XT30" s="20"/>
      <c r="XU30" s="20"/>
      <c r="XV30" s="20"/>
      <c r="XW30" s="20"/>
      <c r="XX30" s="20"/>
      <c r="XY30" s="20"/>
      <c r="XZ30" s="20"/>
      <c r="YA30" s="20"/>
      <c r="YB30" s="20"/>
      <c r="YC30" s="20"/>
      <c r="YD30" s="20"/>
      <c r="YE30" s="20"/>
      <c r="YF30" s="20"/>
      <c r="YG30" s="20"/>
      <c r="YH30" s="20"/>
      <c r="YI30" s="20"/>
      <c r="YJ30" s="20"/>
      <c r="YK30" s="20"/>
      <c r="YL30" s="20"/>
      <c r="YM30" s="20"/>
      <c r="YN30" s="20"/>
      <c r="YO30" s="20"/>
      <c r="YP30" s="20"/>
      <c r="YQ30" s="20"/>
      <c r="YR30" s="20"/>
      <c r="YS30" s="20"/>
      <c r="YT30" s="20"/>
      <c r="YU30" s="20"/>
      <c r="YV30" s="20"/>
      <c r="YW30" s="20"/>
      <c r="YX30" s="20"/>
      <c r="YY30" s="20"/>
      <c r="YZ30" s="20"/>
      <c r="ZA30" s="20"/>
      <c r="ZB30" s="20"/>
      <c r="ZC30" s="20"/>
      <c r="ZD30" s="20"/>
      <c r="ZE30" s="20"/>
      <c r="ZF30" s="20"/>
      <c r="ZG30" s="20"/>
      <c r="ZH30" s="20"/>
      <c r="ZI30" s="20"/>
      <c r="ZJ30" s="20"/>
      <c r="ZK30" s="20"/>
      <c r="ZL30" s="20"/>
      <c r="ZM30" s="20"/>
      <c r="ZN30" s="20"/>
      <c r="ZO30" s="20"/>
      <c r="ZP30" s="20"/>
      <c r="ZQ30" s="20"/>
      <c r="ZR30" s="20"/>
      <c r="ZS30" s="20"/>
      <c r="ZT30" s="20"/>
      <c r="ZU30" s="20"/>
      <c r="ZV30" s="20"/>
      <c r="ZW30" s="20"/>
      <c r="ZX30" s="20"/>
      <c r="ZY30" s="20"/>
      <c r="ZZ30" s="20"/>
      <c r="AAA30" s="20"/>
      <c r="AAB30" s="20"/>
      <c r="AAC30" s="20"/>
      <c r="AAD30" s="20"/>
      <c r="AAE30" s="20"/>
      <c r="AAF30" s="20"/>
    </row>
    <row r="31" spans="1:708" ht="57" customHeight="1" x14ac:dyDescent="0.25">
      <c r="A31" s="696" t="s">
        <v>43</v>
      </c>
      <c r="B31" s="696" t="s">
        <v>44</v>
      </c>
      <c r="C31" s="696" t="s">
        <v>45</v>
      </c>
      <c r="D31" s="696" t="s">
        <v>46</v>
      </c>
      <c r="E31" s="696" t="s">
        <v>47</v>
      </c>
      <c r="F31" s="696" t="s">
        <v>48</v>
      </c>
      <c r="G31" s="696" t="s">
        <v>49</v>
      </c>
      <c r="H31" s="696" t="s">
        <v>50</v>
      </c>
      <c r="I31" s="696" t="s">
        <v>51</v>
      </c>
      <c r="J31" s="696" t="s">
        <v>1296</v>
      </c>
      <c r="K31" s="696" t="s">
        <v>235</v>
      </c>
      <c r="L31" s="696" t="s">
        <v>54</v>
      </c>
      <c r="M31" s="696" t="s">
        <v>55</v>
      </c>
      <c r="N31" s="696" t="s">
        <v>56</v>
      </c>
      <c r="O31" s="696"/>
      <c r="P31" s="690">
        <v>276</v>
      </c>
      <c r="Q31" s="63" t="s">
        <v>57</v>
      </c>
      <c r="R31" s="63" t="s">
        <v>58</v>
      </c>
      <c r="S31" s="524" t="s">
        <v>56</v>
      </c>
      <c r="T31" s="524"/>
      <c r="U31" s="524">
        <v>6</v>
      </c>
      <c r="V31" s="905">
        <v>306205184</v>
      </c>
      <c r="W31" s="1009"/>
      <c r="X31" s="524" t="s">
        <v>236</v>
      </c>
      <c r="Y31" s="690">
        <v>30</v>
      </c>
      <c r="Z31" s="690">
        <f>+P31</f>
        <v>276</v>
      </c>
      <c r="AA31" s="700">
        <f>+Y31/Z31</f>
        <v>0.10869565217391304</v>
      </c>
      <c r="AB31" s="690" t="s">
        <v>237</v>
      </c>
      <c r="AC31" s="524">
        <v>2</v>
      </c>
      <c r="AD31" s="524">
        <f t="shared" ref="AD31:AD34" si="13">+U31</f>
        <v>6</v>
      </c>
      <c r="AE31" s="525">
        <f t="shared" ref="AE31:AE34" si="14">+AC31/AD31</f>
        <v>0.33333333333333331</v>
      </c>
      <c r="AF31" s="524" t="s">
        <v>238</v>
      </c>
      <c r="AG31" s="689">
        <v>55</v>
      </c>
      <c r="AH31" s="689">
        <v>276</v>
      </c>
      <c r="AI31" s="692">
        <v>0.19927536231884058</v>
      </c>
      <c r="AJ31" s="689" t="s">
        <v>239</v>
      </c>
      <c r="AK31" s="539">
        <v>2</v>
      </c>
      <c r="AL31" s="539">
        <v>6</v>
      </c>
      <c r="AM31" s="541">
        <v>0.33333333333333331</v>
      </c>
      <c r="AN31" s="539" t="s">
        <v>240</v>
      </c>
      <c r="AO31" s="689">
        <v>75</v>
      </c>
      <c r="AP31" s="689">
        <f>+P31</f>
        <v>276</v>
      </c>
      <c r="AQ31" s="692">
        <f>+AO31/AP31</f>
        <v>0.27173913043478259</v>
      </c>
      <c r="AR31" s="689" t="s">
        <v>241</v>
      </c>
      <c r="AS31" s="539">
        <v>2</v>
      </c>
      <c r="AT31" s="539">
        <f t="shared" ref="AT31:AT34" si="15">+U31</f>
        <v>6</v>
      </c>
      <c r="AU31" s="541">
        <f t="shared" ref="AU31:AU34" si="16">+AS31/AT31</f>
        <v>0.33333333333333331</v>
      </c>
      <c r="AV31" s="539" t="s">
        <v>242</v>
      </c>
      <c r="AW31" s="689">
        <v>92</v>
      </c>
      <c r="AX31" s="689">
        <f>+P31</f>
        <v>276</v>
      </c>
      <c r="AY31" s="692">
        <f>+AW31/AX31</f>
        <v>0.33333333333333331</v>
      </c>
      <c r="AZ31" s="689" t="s">
        <v>1381</v>
      </c>
      <c r="BA31" s="539">
        <v>2</v>
      </c>
      <c r="BB31" s="539">
        <f>+U31</f>
        <v>6</v>
      </c>
      <c r="BC31" s="541">
        <f t="shared" ref="BC31:BC34" si="17">+BA31/BB31</f>
        <v>0.33333333333333331</v>
      </c>
      <c r="BD31" s="539" t="s">
        <v>1382</v>
      </c>
      <c r="BE31" s="689">
        <v>106</v>
      </c>
      <c r="BF31" s="689">
        <v>276</v>
      </c>
      <c r="BG31" s="692">
        <f>+BE31/BF31</f>
        <v>0.38405797101449274</v>
      </c>
      <c r="BH31" s="689" t="s">
        <v>1383</v>
      </c>
      <c r="BI31" s="539">
        <v>2</v>
      </c>
      <c r="BJ31" s="539">
        <v>6</v>
      </c>
      <c r="BK31" s="541">
        <f t="shared" ref="BK31:BK34" si="18">+BI31/BJ31</f>
        <v>0.33333333333333331</v>
      </c>
      <c r="BL31" s="539" t="s">
        <v>1384</v>
      </c>
      <c r="BM31" s="689">
        <v>145</v>
      </c>
      <c r="BN31" s="689">
        <v>276</v>
      </c>
      <c r="BO31" s="692">
        <f>+BM31/BN31</f>
        <v>0.52536231884057971</v>
      </c>
      <c r="BP31" s="689" t="s">
        <v>1385</v>
      </c>
      <c r="BQ31" s="539">
        <v>2</v>
      </c>
      <c r="BR31" s="539">
        <v>6</v>
      </c>
      <c r="BS31" s="541">
        <f t="shared" ref="BS31:BS33" si="19">+BQ31/BR31</f>
        <v>0.33333333333333331</v>
      </c>
      <c r="BT31" s="539" t="s">
        <v>1386</v>
      </c>
    </row>
    <row r="32" spans="1:708" ht="57" customHeight="1" x14ac:dyDescent="0.25">
      <c r="A32" s="716"/>
      <c r="B32" s="716"/>
      <c r="C32" s="716"/>
      <c r="D32" s="716"/>
      <c r="E32" s="716"/>
      <c r="F32" s="716"/>
      <c r="G32" s="716"/>
      <c r="H32" s="716"/>
      <c r="I32" s="716"/>
      <c r="J32" s="716"/>
      <c r="K32" s="716"/>
      <c r="L32" s="716"/>
      <c r="M32" s="716"/>
      <c r="N32" s="716"/>
      <c r="O32" s="716"/>
      <c r="P32" s="690"/>
      <c r="Q32" s="70" t="s">
        <v>66</v>
      </c>
      <c r="R32" s="70" t="s">
        <v>67</v>
      </c>
      <c r="S32" s="527" t="s">
        <v>56</v>
      </c>
      <c r="T32" s="527"/>
      <c r="U32" s="527">
        <v>260</v>
      </c>
      <c r="V32" s="906"/>
      <c r="W32" s="1009"/>
      <c r="X32" s="527" t="s">
        <v>236</v>
      </c>
      <c r="Y32" s="690"/>
      <c r="Z32" s="690"/>
      <c r="AA32" s="700"/>
      <c r="AB32" s="690"/>
      <c r="AC32" s="527">
        <v>14</v>
      </c>
      <c r="AD32" s="527">
        <f t="shared" si="13"/>
        <v>260</v>
      </c>
      <c r="AE32" s="526">
        <f t="shared" si="14"/>
        <v>5.3846153846153849E-2</v>
      </c>
      <c r="AF32" s="527" t="s">
        <v>243</v>
      </c>
      <c r="AG32" s="689"/>
      <c r="AH32" s="689"/>
      <c r="AI32" s="692"/>
      <c r="AJ32" s="689"/>
      <c r="AK32" s="551">
        <v>32</v>
      </c>
      <c r="AL32" s="551">
        <v>260</v>
      </c>
      <c r="AM32" s="552">
        <v>0.12307692307692308</v>
      </c>
      <c r="AN32" s="551" t="s">
        <v>244</v>
      </c>
      <c r="AO32" s="689"/>
      <c r="AP32" s="689"/>
      <c r="AQ32" s="692"/>
      <c r="AR32" s="689"/>
      <c r="AS32" s="551">
        <v>49</v>
      </c>
      <c r="AT32" s="551">
        <f t="shared" si="15"/>
        <v>260</v>
      </c>
      <c r="AU32" s="552">
        <f t="shared" si="16"/>
        <v>0.18846153846153846</v>
      </c>
      <c r="AV32" s="551" t="s">
        <v>245</v>
      </c>
      <c r="AW32" s="689"/>
      <c r="AX32" s="689"/>
      <c r="AY32" s="692"/>
      <c r="AZ32" s="689"/>
      <c r="BA32" s="551">
        <v>62</v>
      </c>
      <c r="BB32" s="551">
        <f>+U32</f>
        <v>260</v>
      </c>
      <c r="BC32" s="552">
        <f t="shared" si="17"/>
        <v>0.23846153846153847</v>
      </c>
      <c r="BD32" s="551" t="s">
        <v>1387</v>
      </c>
      <c r="BE32" s="689"/>
      <c r="BF32" s="689"/>
      <c r="BG32" s="692"/>
      <c r="BH32" s="689"/>
      <c r="BI32" s="551">
        <v>81</v>
      </c>
      <c r="BJ32" s="551">
        <v>260</v>
      </c>
      <c r="BK32" s="552">
        <f t="shared" si="18"/>
        <v>0.31153846153846154</v>
      </c>
      <c r="BL32" s="551" t="s">
        <v>1388</v>
      </c>
      <c r="BM32" s="689"/>
      <c r="BN32" s="689"/>
      <c r="BO32" s="692"/>
      <c r="BP32" s="689"/>
      <c r="BQ32" s="551">
        <v>115</v>
      </c>
      <c r="BR32" s="551">
        <v>260</v>
      </c>
      <c r="BS32" s="552">
        <f t="shared" si="19"/>
        <v>0.44230769230769229</v>
      </c>
      <c r="BT32" s="551" t="s">
        <v>1389</v>
      </c>
    </row>
    <row r="33" spans="1:708" ht="53.25" customHeight="1" x14ac:dyDescent="0.25">
      <c r="A33" s="702" t="s">
        <v>43</v>
      </c>
      <c r="B33" s="702" t="s">
        <v>44</v>
      </c>
      <c r="C33" s="702" t="s">
        <v>45</v>
      </c>
      <c r="D33" s="702" t="s">
        <v>46</v>
      </c>
      <c r="E33" s="702" t="s">
        <v>71</v>
      </c>
      <c r="F33" s="702" t="s">
        <v>48</v>
      </c>
      <c r="G33" s="702" t="s">
        <v>49</v>
      </c>
      <c r="H33" s="702" t="s">
        <v>50</v>
      </c>
      <c r="I33" s="702" t="s">
        <v>51</v>
      </c>
      <c r="J33" s="702" t="s">
        <v>1296</v>
      </c>
      <c r="K33" s="702" t="s">
        <v>235</v>
      </c>
      <c r="L33" s="702" t="s">
        <v>72</v>
      </c>
      <c r="M33" s="702" t="s">
        <v>112</v>
      </c>
      <c r="N33" s="702" t="s">
        <v>74</v>
      </c>
      <c r="O33" s="702"/>
      <c r="P33" s="699">
        <v>0.89</v>
      </c>
      <c r="Q33" s="63" t="s">
        <v>113</v>
      </c>
      <c r="R33" s="63" t="s">
        <v>114</v>
      </c>
      <c r="S33" s="524" t="s">
        <v>74</v>
      </c>
      <c r="T33" s="524"/>
      <c r="U33" s="545">
        <v>0.89</v>
      </c>
      <c r="V33" s="906"/>
      <c r="W33" s="1009"/>
      <c r="X33" s="524" t="s">
        <v>236</v>
      </c>
      <c r="Y33" s="700">
        <f>4/4</f>
        <v>1</v>
      </c>
      <c r="Z33" s="701">
        <f>+P33</f>
        <v>0.89</v>
      </c>
      <c r="AA33" s="700">
        <f>+Y33/Z33</f>
        <v>1.1235955056179776</v>
      </c>
      <c r="AB33" s="690" t="s">
        <v>246</v>
      </c>
      <c r="AC33" s="525">
        <f>1/1</f>
        <v>1</v>
      </c>
      <c r="AD33" s="545">
        <f t="shared" si="13"/>
        <v>0.89</v>
      </c>
      <c r="AE33" s="525">
        <f t="shared" si="14"/>
        <v>1.1235955056179776</v>
      </c>
      <c r="AF33" s="524" t="s">
        <v>247</v>
      </c>
      <c r="AG33" s="692">
        <v>1</v>
      </c>
      <c r="AH33" s="691">
        <v>0.89</v>
      </c>
      <c r="AI33" s="692">
        <v>1.1235955056179776</v>
      </c>
      <c r="AJ33" s="689" t="s">
        <v>248</v>
      </c>
      <c r="AK33" s="541">
        <v>1</v>
      </c>
      <c r="AL33" s="540">
        <v>0.89</v>
      </c>
      <c r="AM33" s="541">
        <v>1.1235955056179776</v>
      </c>
      <c r="AN33" s="539" t="s">
        <v>249</v>
      </c>
      <c r="AO33" s="692">
        <f>11/11</f>
        <v>1</v>
      </c>
      <c r="AP33" s="691">
        <f>+P33</f>
        <v>0.89</v>
      </c>
      <c r="AQ33" s="692">
        <f>+AO33/AP33</f>
        <v>1.1235955056179776</v>
      </c>
      <c r="AR33" s="689" t="s">
        <v>250</v>
      </c>
      <c r="AS33" s="541">
        <f>1/1</f>
        <v>1</v>
      </c>
      <c r="AT33" s="540">
        <f t="shared" si="15"/>
        <v>0.89</v>
      </c>
      <c r="AU33" s="541">
        <f t="shared" si="16"/>
        <v>1.1235955056179776</v>
      </c>
      <c r="AV33" s="539" t="s">
        <v>251</v>
      </c>
      <c r="AW33" s="692">
        <f>(13/13)</f>
        <v>1</v>
      </c>
      <c r="AX33" s="691">
        <f>+P33</f>
        <v>0.89</v>
      </c>
      <c r="AY33" s="692">
        <f>+AW33/AX33</f>
        <v>1.1235955056179776</v>
      </c>
      <c r="AZ33" s="689" t="s">
        <v>1390</v>
      </c>
      <c r="BA33" s="541">
        <f>(1/1)</f>
        <v>1</v>
      </c>
      <c r="BB33" s="540">
        <f>+U33</f>
        <v>0.89</v>
      </c>
      <c r="BC33" s="541">
        <f t="shared" si="17"/>
        <v>1.1235955056179776</v>
      </c>
      <c r="BD33" s="539" t="s">
        <v>1391</v>
      </c>
      <c r="BE33" s="692">
        <f>(13/13)</f>
        <v>1</v>
      </c>
      <c r="BF33" s="691">
        <v>0.89</v>
      </c>
      <c r="BG33" s="692">
        <f>+BE33/BF33</f>
        <v>1.1235955056179776</v>
      </c>
      <c r="BH33" s="689" t="s">
        <v>1392</v>
      </c>
      <c r="BI33" s="541">
        <f>(1/1)</f>
        <v>1</v>
      </c>
      <c r="BJ33" s="540">
        <v>0.89</v>
      </c>
      <c r="BK33" s="541">
        <f t="shared" si="18"/>
        <v>1.1235955056179776</v>
      </c>
      <c r="BL33" s="539" t="s">
        <v>1393</v>
      </c>
      <c r="BM33" s="692">
        <f>(14/14)</f>
        <v>1</v>
      </c>
      <c r="BN33" s="691">
        <v>0.89</v>
      </c>
      <c r="BO33" s="692">
        <f>+BM33/BN33</f>
        <v>1.1235955056179776</v>
      </c>
      <c r="BP33" s="689" t="s">
        <v>1394</v>
      </c>
      <c r="BQ33" s="541">
        <f>(1/1)</f>
        <v>1</v>
      </c>
      <c r="BR33" s="540">
        <v>0.89</v>
      </c>
      <c r="BS33" s="541">
        <f t="shared" si="19"/>
        <v>1.1235955056179776</v>
      </c>
      <c r="BT33" s="539" t="s">
        <v>1395</v>
      </c>
    </row>
    <row r="34" spans="1:708" ht="53.25" customHeight="1" x14ac:dyDescent="0.25">
      <c r="A34" s="703"/>
      <c r="B34" s="703"/>
      <c r="C34" s="703"/>
      <c r="D34" s="703"/>
      <c r="E34" s="703"/>
      <c r="F34" s="703"/>
      <c r="G34" s="703"/>
      <c r="H34" s="703"/>
      <c r="I34" s="703"/>
      <c r="J34" s="703"/>
      <c r="K34" s="703"/>
      <c r="L34" s="703"/>
      <c r="M34" s="703"/>
      <c r="N34" s="703"/>
      <c r="O34" s="703"/>
      <c r="P34" s="699"/>
      <c r="Q34" s="70" t="s">
        <v>121</v>
      </c>
      <c r="R34" s="70" t="s">
        <v>122</v>
      </c>
      <c r="S34" s="527" t="s">
        <v>74</v>
      </c>
      <c r="T34" s="527"/>
      <c r="U34" s="81">
        <v>0.89</v>
      </c>
      <c r="V34" s="907"/>
      <c r="W34" s="1009"/>
      <c r="X34" s="527" t="s">
        <v>236</v>
      </c>
      <c r="Y34" s="700"/>
      <c r="Z34" s="690"/>
      <c r="AA34" s="700"/>
      <c r="AB34" s="690"/>
      <c r="AC34" s="526">
        <f>1/1</f>
        <v>1</v>
      </c>
      <c r="AD34" s="81">
        <f t="shared" si="13"/>
        <v>0.89</v>
      </c>
      <c r="AE34" s="526">
        <f t="shared" si="14"/>
        <v>1.1235955056179776</v>
      </c>
      <c r="AF34" s="527" t="s">
        <v>252</v>
      </c>
      <c r="AG34" s="692"/>
      <c r="AH34" s="689"/>
      <c r="AI34" s="692"/>
      <c r="AJ34" s="689"/>
      <c r="AK34" s="552">
        <v>0.83333333333333337</v>
      </c>
      <c r="AL34" s="82">
        <v>0.89</v>
      </c>
      <c r="AM34" s="552">
        <v>0.93632958801498134</v>
      </c>
      <c r="AN34" s="551" t="s">
        <v>253</v>
      </c>
      <c r="AO34" s="692"/>
      <c r="AP34" s="689"/>
      <c r="AQ34" s="692"/>
      <c r="AR34" s="689"/>
      <c r="AS34" s="552">
        <f>8/9</f>
        <v>0.88888888888888884</v>
      </c>
      <c r="AT34" s="82">
        <f t="shared" si="15"/>
        <v>0.89</v>
      </c>
      <c r="AU34" s="552">
        <f t="shared" si="16"/>
        <v>0.99875156054931324</v>
      </c>
      <c r="AV34" s="551" t="s">
        <v>254</v>
      </c>
      <c r="AW34" s="692"/>
      <c r="AX34" s="689"/>
      <c r="AY34" s="692"/>
      <c r="AZ34" s="689"/>
      <c r="BA34" s="552">
        <f>(8/9)</f>
        <v>0.88888888888888884</v>
      </c>
      <c r="BB34" s="82">
        <f>+U34</f>
        <v>0.89</v>
      </c>
      <c r="BC34" s="552">
        <f t="shared" si="17"/>
        <v>0.99875156054931324</v>
      </c>
      <c r="BD34" s="551" t="s">
        <v>1396</v>
      </c>
      <c r="BE34" s="692"/>
      <c r="BF34" s="689"/>
      <c r="BG34" s="692"/>
      <c r="BH34" s="689"/>
      <c r="BI34" s="552">
        <f>(8/10)</f>
        <v>0.8</v>
      </c>
      <c r="BJ34" s="82">
        <v>0.89</v>
      </c>
      <c r="BK34" s="552">
        <f t="shared" si="18"/>
        <v>0.89887640449438211</v>
      </c>
      <c r="BL34" s="551" t="s">
        <v>1397</v>
      </c>
      <c r="BM34" s="692"/>
      <c r="BN34" s="689"/>
      <c r="BO34" s="692"/>
      <c r="BP34" s="689"/>
      <c r="BQ34" s="902"/>
      <c r="BR34" s="903"/>
      <c r="BS34" s="903"/>
      <c r="BT34" s="904"/>
    </row>
    <row r="35" spans="1:708" s="21" customFormat="1" ht="68.25" customHeight="1" x14ac:dyDescent="0.25">
      <c r="A35" s="52"/>
      <c r="B35" s="52"/>
      <c r="C35" s="52"/>
      <c r="D35" s="52"/>
      <c r="E35" s="52"/>
      <c r="F35" s="52"/>
      <c r="G35" s="52"/>
      <c r="H35" s="52"/>
      <c r="I35" s="52"/>
      <c r="J35" s="52"/>
      <c r="K35" s="52"/>
      <c r="L35" s="52"/>
      <c r="M35" s="52"/>
      <c r="N35" s="52"/>
      <c r="O35" s="52"/>
      <c r="P35" s="53"/>
      <c r="Q35" s="52"/>
      <c r="R35" s="52"/>
      <c r="S35" s="53"/>
      <c r="T35" s="52"/>
      <c r="U35" s="52"/>
      <c r="V35" s="89"/>
      <c r="W35" s="1009"/>
      <c r="X35" s="52"/>
      <c r="Y35" s="657" t="s">
        <v>99</v>
      </c>
      <c r="Z35" s="657"/>
      <c r="AA35" s="55">
        <f>AVERAGE(AA31:AA34)</f>
        <v>0.61614557889594535</v>
      </c>
      <c r="AB35" s="56"/>
      <c r="AC35" s="657" t="s">
        <v>100</v>
      </c>
      <c r="AD35" s="657"/>
      <c r="AE35" s="55">
        <f>AVERAGE(AE31:AE34)</f>
        <v>0.65859262460386059</v>
      </c>
      <c r="AF35" s="58"/>
      <c r="AG35" s="658" t="s">
        <v>99</v>
      </c>
      <c r="AH35" s="658"/>
      <c r="AI35" s="55">
        <f>AVERAGE(AI31:AI34)</f>
        <v>0.66143543396840909</v>
      </c>
      <c r="AJ35" s="60"/>
      <c r="AK35" s="658" t="s">
        <v>100</v>
      </c>
      <c r="AL35" s="658"/>
      <c r="AM35" s="55">
        <f>AVERAGE(AM31:AM34)</f>
        <v>0.62908383751080388</v>
      </c>
      <c r="AN35" s="62"/>
      <c r="AO35" s="657" t="s">
        <v>99</v>
      </c>
      <c r="AP35" s="657"/>
      <c r="AQ35" s="55">
        <f>AVERAGE(AQ31:AQ34)</f>
        <v>0.69766731802638016</v>
      </c>
      <c r="AR35" s="56"/>
      <c r="AS35" s="657" t="s">
        <v>100</v>
      </c>
      <c r="AT35" s="657"/>
      <c r="AU35" s="55">
        <f>AVERAGE(AU31:AU34)</f>
        <v>0.66103548449054061</v>
      </c>
      <c r="AV35" s="58"/>
      <c r="AW35" s="658" t="s">
        <v>99</v>
      </c>
      <c r="AX35" s="658"/>
      <c r="AY35" s="59">
        <f>AVERAGE(AY31:AY34)</f>
        <v>0.72846441947565543</v>
      </c>
      <c r="AZ35" s="60"/>
      <c r="BA35" s="658" t="s">
        <v>100</v>
      </c>
      <c r="BB35" s="658"/>
      <c r="BC35" s="59">
        <f>AVERAGE(BC31:BC34)</f>
        <v>0.67353548449054068</v>
      </c>
      <c r="BD35" s="62"/>
      <c r="BE35" s="658" t="s">
        <v>99</v>
      </c>
      <c r="BF35" s="658"/>
      <c r="BG35" s="59">
        <f>AVERAGE(BG31:BG34)</f>
        <v>0.75382673831623515</v>
      </c>
      <c r="BH35" s="60"/>
      <c r="BI35" s="657" t="s">
        <v>100</v>
      </c>
      <c r="BJ35" s="657"/>
      <c r="BK35" s="55">
        <f>AVERAGE(BK31:BK34)</f>
        <v>0.6668359262460386</v>
      </c>
      <c r="BL35" s="58"/>
      <c r="BM35" s="658" t="s">
        <v>99</v>
      </c>
      <c r="BN35" s="658"/>
      <c r="BO35" s="59">
        <f>AVERAGE(BO31:BO34)</f>
        <v>0.8244789122292786</v>
      </c>
      <c r="BP35" s="60"/>
      <c r="BQ35" s="658" t="s">
        <v>100</v>
      </c>
      <c r="BR35" s="658"/>
      <c r="BS35" s="59">
        <f>AVERAGE(BS31:BS34)</f>
        <v>0.63307884375300105</v>
      </c>
      <c r="BT35" s="62"/>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c r="IH35" s="20"/>
      <c r="II35" s="20"/>
      <c r="IJ35" s="20"/>
      <c r="IK35" s="20"/>
      <c r="IL35" s="20"/>
      <c r="IM35" s="20"/>
      <c r="IN35" s="20"/>
      <c r="IO35" s="20"/>
      <c r="IP35" s="20"/>
      <c r="IQ35" s="20"/>
      <c r="IR35" s="20"/>
      <c r="IS35" s="20"/>
      <c r="IT35" s="20"/>
      <c r="IU35" s="20"/>
      <c r="IV35" s="20"/>
      <c r="IW35" s="20"/>
      <c r="IX35" s="20"/>
      <c r="IY35" s="20"/>
      <c r="IZ35" s="20"/>
      <c r="JA35" s="20"/>
      <c r="JB35" s="20"/>
      <c r="JC35" s="20"/>
      <c r="JD35" s="20"/>
      <c r="JE35" s="20"/>
      <c r="JF35" s="20"/>
      <c r="JG35" s="20"/>
      <c r="JH35" s="20"/>
      <c r="JI35" s="20"/>
      <c r="JJ35" s="20"/>
      <c r="JK35" s="20"/>
      <c r="JL35" s="20"/>
      <c r="JM35" s="20"/>
      <c r="JN35" s="20"/>
      <c r="JO35" s="20"/>
      <c r="JP35" s="20"/>
      <c r="JQ35" s="20"/>
      <c r="JR35" s="20"/>
      <c r="JS35" s="20"/>
      <c r="JT35" s="20"/>
      <c r="JU35" s="20"/>
      <c r="JV35" s="20"/>
      <c r="JW35" s="20"/>
      <c r="JX35" s="20"/>
      <c r="JY35" s="20"/>
      <c r="JZ35" s="20"/>
      <c r="KA35" s="20"/>
      <c r="KB35" s="20"/>
      <c r="KC35" s="20"/>
      <c r="KD35" s="20"/>
      <c r="KE35" s="20"/>
      <c r="KF35" s="20"/>
      <c r="KG35" s="20"/>
      <c r="KH35" s="20"/>
      <c r="KI35" s="20"/>
      <c r="KJ35" s="20"/>
      <c r="KK35" s="20"/>
      <c r="KL35" s="20"/>
      <c r="KM35" s="20"/>
      <c r="KN35" s="20"/>
      <c r="KO35" s="20"/>
      <c r="KP35" s="20"/>
      <c r="KQ35" s="20"/>
      <c r="KR35" s="20"/>
      <c r="KS35" s="20"/>
      <c r="KT35" s="20"/>
      <c r="KU35" s="20"/>
      <c r="KV35" s="20"/>
      <c r="KW35" s="20"/>
      <c r="KX35" s="20"/>
      <c r="KY35" s="20"/>
      <c r="KZ35" s="20"/>
      <c r="LA35" s="20"/>
      <c r="LB35" s="20"/>
      <c r="LC35" s="20"/>
      <c r="LD35" s="20"/>
      <c r="LE35" s="20"/>
      <c r="LF35" s="20"/>
      <c r="LG35" s="20"/>
      <c r="LH35" s="20"/>
      <c r="LI35" s="20"/>
      <c r="LJ35" s="20"/>
      <c r="LK35" s="20"/>
      <c r="LL35" s="20"/>
      <c r="LM35" s="20"/>
      <c r="LN35" s="20"/>
      <c r="LO35" s="20"/>
      <c r="LP35" s="20"/>
      <c r="LQ35" s="20"/>
      <c r="LR35" s="20"/>
      <c r="LS35" s="20"/>
      <c r="LT35" s="20"/>
      <c r="LU35" s="20"/>
      <c r="LV35" s="20"/>
      <c r="LW35" s="20"/>
      <c r="LX35" s="20"/>
      <c r="LY35" s="20"/>
      <c r="LZ35" s="20"/>
      <c r="MA35" s="20"/>
      <c r="MB35" s="20"/>
      <c r="MC35" s="20"/>
      <c r="MD35" s="20"/>
      <c r="ME35" s="20"/>
      <c r="MF35" s="20"/>
      <c r="MG35" s="20"/>
      <c r="MH35" s="20"/>
      <c r="MI35" s="20"/>
      <c r="MJ35" s="20"/>
      <c r="MK35" s="20"/>
      <c r="ML35" s="20"/>
      <c r="MM35" s="20"/>
      <c r="MN35" s="20"/>
      <c r="MO35" s="20"/>
      <c r="MP35" s="20"/>
      <c r="MQ35" s="20"/>
      <c r="MR35" s="20"/>
      <c r="MS35" s="20"/>
      <c r="MT35" s="20"/>
      <c r="MU35" s="20"/>
      <c r="MV35" s="20"/>
      <c r="MW35" s="20"/>
      <c r="MX35" s="20"/>
      <c r="MY35" s="20"/>
      <c r="MZ35" s="20"/>
      <c r="NA35" s="20"/>
      <c r="NB35" s="20"/>
      <c r="NC35" s="20"/>
      <c r="ND35" s="20"/>
      <c r="NE35" s="20"/>
      <c r="NF35" s="20"/>
      <c r="NG35" s="20"/>
      <c r="NH35" s="20"/>
      <c r="NI35" s="20"/>
      <c r="NJ35" s="20"/>
      <c r="NK35" s="20"/>
      <c r="NL35" s="20"/>
      <c r="NM35" s="20"/>
      <c r="NN35" s="20"/>
      <c r="NO35" s="20"/>
      <c r="NP35" s="20"/>
      <c r="NQ35" s="20"/>
      <c r="NR35" s="20"/>
      <c r="NS35" s="20"/>
      <c r="NT35" s="20"/>
      <c r="NU35" s="20"/>
      <c r="NV35" s="20"/>
      <c r="NW35" s="20"/>
      <c r="NX35" s="20"/>
      <c r="NY35" s="20"/>
      <c r="NZ35" s="20"/>
      <c r="OA35" s="20"/>
      <c r="OB35" s="20"/>
      <c r="OC35" s="20"/>
      <c r="OD35" s="20"/>
      <c r="OE35" s="20"/>
      <c r="OF35" s="20"/>
      <c r="OG35" s="20"/>
      <c r="OH35" s="20"/>
      <c r="OI35" s="20"/>
      <c r="OJ35" s="20"/>
      <c r="OK35" s="20"/>
      <c r="OL35" s="20"/>
      <c r="OM35" s="20"/>
      <c r="ON35" s="20"/>
      <c r="OO35" s="20"/>
      <c r="OP35" s="20"/>
      <c r="OQ35" s="20"/>
      <c r="OR35" s="20"/>
      <c r="OS35" s="20"/>
      <c r="OT35" s="20"/>
      <c r="OU35" s="20"/>
      <c r="OV35" s="20"/>
      <c r="OW35" s="20"/>
      <c r="OX35" s="20"/>
      <c r="OY35" s="20"/>
      <c r="OZ35" s="20"/>
      <c r="PA35" s="20"/>
      <c r="PB35" s="20"/>
      <c r="PC35" s="20"/>
      <c r="PD35" s="20"/>
      <c r="PE35" s="20"/>
      <c r="PF35" s="20"/>
      <c r="PG35" s="20"/>
      <c r="PH35" s="20"/>
      <c r="PI35" s="20"/>
      <c r="PJ35" s="20"/>
      <c r="PK35" s="20"/>
      <c r="PL35" s="20"/>
      <c r="PM35" s="20"/>
      <c r="PN35" s="20"/>
      <c r="PO35" s="20"/>
      <c r="PP35" s="20"/>
      <c r="PQ35" s="20"/>
      <c r="PR35" s="20"/>
      <c r="PS35" s="20"/>
      <c r="PT35" s="20"/>
      <c r="PU35" s="20"/>
      <c r="PV35" s="20"/>
      <c r="PW35" s="20"/>
      <c r="PX35" s="20"/>
      <c r="PY35" s="20"/>
      <c r="PZ35" s="20"/>
      <c r="QA35" s="20"/>
      <c r="QB35" s="20"/>
      <c r="QC35" s="20"/>
      <c r="QD35" s="20"/>
      <c r="QE35" s="20"/>
      <c r="QF35" s="20"/>
      <c r="QG35" s="20"/>
      <c r="QH35" s="20"/>
      <c r="QI35" s="20"/>
      <c r="QJ35" s="20"/>
      <c r="QK35" s="20"/>
      <c r="QL35" s="20"/>
      <c r="QM35" s="20"/>
      <c r="QN35" s="20"/>
      <c r="QO35" s="20"/>
      <c r="QP35" s="20"/>
      <c r="QQ35" s="20"/>
      <c r="QR35" s="20"/>
      <c r="QS35" s="20"/>
      <c r="QT35" s="20"/>
      <c r="QU35" s="20"/>
      <c r="QV35" s="20"/>
      <c r="QW35" s="20"/>
      <c r="QX35" s="20"/>
      <c r="QY35" s="20"/>
      <c r="QZ35" s="20"/>
      <c r="RA35" s="20"/>
      <c r="RB35" s="20"/>
      <c r="RC35" s="20"/>
      <c r="RD35" s="20"/>
      <c r="RE35" s="20"/>
      <c r="RF35" s="20"/>
      <c r="RG35" s="20"/>
      <c r="RH35" s="20"/>
      <c r="RI35" s="20"/>
      <c r="RJ35" s="20"/>
      <c r="RK35" s="20"/>
      <c r="RL35" s="20"/>
      <c r="RM35" s="20"/>
      <c r="RN35" s="20"/>
      <c r="RO35" s="20"/>
      <c r="RP35" s="20"/>
      <c r="RQ35" s="20"/>
      <c r="RR35" s="20"/>
      <c r="RS35" s="20"/>
      <c r="RT35" s="20"/>
      <c r="RU35" s="20"/>
      <c r="RV35" s="20"/>
      <c r="RW35" s="20"/>
      <c r="RX35" s="20"/>
      <c r="RY35" s="20"/>
      <c r="RZ35" s="20"/>
      <c r="SA35" s="20"/>
      <c r="SB35" s="20"/>
      <c r="SC35" s="20"/>
      <c r="SD35" s="20"/>
      <c r="SE35" s="20"/>
      <c r="SF35" s="20"/>
      <c r="SG35" s="20"/>
      <c r="SH35" s="20"/>
      <c r="SI35" s="20"/>
      <c r="SJ35" s="20"/>
      <c r="SK35" s="20"/>
      <c r="SL35" s="20"/>
      <c r="SM35" s="20"/>
      <c r="SN35" s="20"/>
      <c r="SO35" s="20"/>
      <c r="SP35" s="20"/>
      <c r="SQ35" s="20"/>
      <c r="SR35" s="20"/>
      <c r="SS35" s="20"/>
      <c r="ST35" s="20"/>
      <c r="SU35" s="20"/>
      <c r="SV35" s="20"/>
      <c r="SW35" s="20"/>
      <c r="SX35" s="20"/>
      <c r="SY35" s="20"/>
      <c r="SZ35" s="20"/>
      <c r="TA35" s="20"/>
      <c r="TB35" s="20"/>
      <c r="TC35" s="20"/>
      <c r="TD35" s="20"/>
      <c r="TE35" s="20"/>
      <c r="TF35" s="20"/>
      <c r="TG35" s="20"/>
      <c r="TH35" s="20"/>
      <c r="TI35" s="20"/>
      <c r="TJ35" s="20"/>
      <c r="TK35" s="20"/>
      <c r="TL35" s="20"/>
      <c r="TM35" s="20"/>
      <c r="TN35" s="20"/>
      <c r="TO35" s="20"/>
      <c r="TP35" s="20"/>
      <c r="TQ35" s="20"/>
      <c r="TR35" s="20"/>
      <c r="TS35" s="20"/>
      <c r="TT35" s="20"/>
      <c r="TU35" s="20"/>
      <c r="TV35" s="20"/>
      <c r="TW35" s="20"/>
      <c r="TX35" s="20"/>
      <c r="TY35" s="20"/>
      <c r="TZ35" s="20"/>
      <c r="UA35" s="20"/>
      <c r="UB35" s="20"/>
      <c r="UC35" s="20"/>
      <c r="UD35" s="20"/>
      <c r="UE35" s="20"/>
      <c r="UF35" s="20"/>
      <c r="UG35" s="20"/>
      <c r="UH35" s="20"/>
      <c r="UI35" s="20"/>
      <c r="UJ35" s="20"/>
      <c r="UK35" s="20"/>
      <c r="UL35" s="20"/>
      <c r="UM35" s="20"/>
      <c r="UN35" s="20"/>
      <c r="UO35" s="20"/>
      <c r="UP35" s="20"/>
      <c r="UQ35" s="20"/>
      <c r="UR35" s="20"/>
      <c r="US35" s="20"/>
      <c r="UT35" s="20"/>
      <c r="UU35" s="20"/>
      <c r="UV35" s="20"/>
      <c r="UW35" s="20"/>
      <c r="UX35" s="20"/>
      <c r="UY35" s="20"/>
      <c r="UZ35" s="20"/>
      <c r="VA35" s="20"/>
      <c r="VB35" s="20"/>
      <c r="VC35" s="20"/>
      <c r="VD35" s="20"/>
      <c r="VE35" s="20"/>
      <c r="VF35" s="20"/>
      <c r="VG35" s="20"/>
      <c r="VH35" s="20"/>
      <c r="VI35" s="20"/>
      <c r="VJ35" s="20"/>
      <c r="VK35" s="20"/>
      <c r="VL35" s="20"/>
      <c r="VM35" s="20"/>
      <c r="VN35" s="20"/>
      <c r="VO35" s="20"/>
      <c r="VP35" s="20"/>
      <c r="VQ35" s="20"/>
      <c r="VR35" s="20"/>
      <c r="VS35" s="20"/>
      <c r="VT35" s="20"/>
      <c r="VU35" s="20"/>
      <c r="VV35" s="20"/>
      <c r="VW35" s="20"/>
      <c r="VX35" s="20"/>
      <c r="VY35" s="20"/>
      <c r="VZ35" s="20"/>
      <c r="WA35" s="20"/>
      <c r="WB35" s="20"/>
      <c r="WC35" s="20"/>
      <c r="WD35" s="20"/>
      <c r="WE35" s="20"/>
      <c r="WF35" s="20"/>
      <c r="WG35" s="20"/>
      <c r="WH35" s="20"/>
      <c r="WI35" s="20"/>
      <c r="WJ35" s="20"/>
      <c r="WK35" s="20"/>
      <c r="WL35" s="20"/>
      <c r="WM35" s="20"/>
      <c r="WN35" s="20"/>
      <c r="WO35" s="20"/>
      <c r="WP35" s="20"/>
      <c r="WQ35" s="20"/>
      <c r="WR35" s="20"/>
      <c r="WS35" s="20"/>
      <c r="WT35" s="20"/>
      <c r="WU35" s="20"/>
      <c r="WV35" s="20"/>
      <c r="WW35" s="20"/>
      <c r="WX35" s="20"/>
      <c r="WY35" s="20"/>
      <c r="WZ35" s="20"/>
      <c r="XA35" s="20"/>
      <c r="XB35" s="20"/>
      <c r="XC35" s="20"/>
      <c r="XD35" s="20"/>
      <c r="XE35" s="20"/>
      <c r="XF35" s="20"/>
      <c r="XG35" s="20"/>
      <c r="XH35" s="20"/>
      <c r="XI35" s="20"/>
      <c r="XJ35" s="20"/>
      <c r="XK35" s="20"/>
      <c r="XL35" s="20"/>
      <c r="XM35" s="20"/>
      <c r="XN35" s="20"/>
      <c r="XO35" s="20"/>
      <c r="XP35" s="20"/>
      <c r="XQ35" s="20"/>
      <c r="XR35" s="20"/>
      <c r="XS35" s="20"/>
      <c r="XT35" s="20"/>
      <c r="XU35" s="20"/>
      <c r="XV35" s="20"/>
      <c r="XW35" s="20"/>
      <c r="XX35" s="20"/>
      <c r="XY35" s="20"/>
      <c r="XZ35" s="20"/>
      <c r="YA35" s="20"/>
      <c r="YB35" s="20"/>
      <c r="YC35" s="20"/>
      <c r="YD35" s="20"/>
      <c r="YE35" s="20"/>
      <c r="YF35" s="20"/>
      <c r="YG35" s="20"/>
      <c r="YH35" s="20"/>
      <c r="YI35" s="20"/>
      <c r="YJ35" s="20"/>
      <c r="YK35" s="20"/>
      <c r="YL35" s="20"/>
      <c r="YM35" s="20"/>
      <c r="YN35" s="20"/>
      <c r="YO35" s="20"/>
      <c r="YP35" s="20"/>
      <c r="YQ35" s="20"/>
      <c r="YR35" s="20"/>
      <c r="YS35" s="20"/>
      <c r="YT35" s="20"/>
      <c r="YU35" s="20"/>
      <c r="YV35" s="20"/>
      <c r="YW35" s="20"/>
      <c r="YX35" s="20"/>
      <c r="YY35" s="20"/>
      <c r="YZ35" s="20"/>
      <c r="ZA35" s="20"/>
      <c r="ZB35" s="20"/>
      <c r="ZC35" s="20"/>
      <c r="ZD35" s="20"/>
      <c r="ZE35" s="20"/>
      <c r="ZF35" s="20"/>
      <c r="ZG35" s="20"/>
      <c r="ZH35" s="20"/>
      <c r="ZI35" s="20"/>
      <c r="ZJ35" s="20"/>
      <c r="ZK35" s="20"/>
      <c r="ZL35" s="20"/>
      <c r="ZM35" s="20"/>
      <c r="ZN35" s="20"/>
      <c r="ZO35" s="20"/>
      <c r="ZP35" s="20"/>
      <c r="ZQ35" s="20"/>
      <c r="ZR35" s="20"/>
      <c r="ZS35" s="20"/>
      <c r="ZT35" s="20"/>
      <c r="ZU35" s="20"/>
      <c r="ZV35" s="20"/>
      <c r="ZW35" s="20"/>
      <c r="ZX35" s="20"/>
      <c r="ZY35" s="20"/>
      <c r="ZZ35" s="20"/>
      <c r="AAA35" s="20"/>
      <c r="AAB35" s="20"/>
      <c r="AAC35" s="20"/>
      <c r="AAD35" s="20"/>
      <c r="AAE35" s="20"/>
      <c r="AAF35" s="20"/>
    </row>
    <row r="36" spans="1:708" ht="86.25" customHeight="1" x14ac:dyDescent="0.25">
      <c r="A36" s="90" t="s">
        <v>43</v>
      </c>
      <c r="B36" s="90" t="s">
        <v>44</v>
      </c>
      <c r="C36" s="90" t="s">
        <v>45</v>
      </c>
      <c r="D36" s="90" t="s">
        <v>46</v>
      </c>
      <c r="E36" s="90" t="s">
        <v>71</v>
      </c>
      <c r="F36" s="90" t="s">
        <v>48</v>
      </c>
      <c r="G36" s="90" t="s">
        <v>49</v>
      </c>
      <c r="H36" s="90" t="s">
        <v>50</v>
      </c>
      <c r="I36" s="90" t="s">
        <v>51</v>
      </c>
      <c r="J36" s="90" t="s">
        <v>1296</v>
      </c>
      <c r="K36" s="90" t="s">
        <v>284</v>
      </c>
      <c r="L36" s="90" t="s">
        <v>296</v>
      </c>
      <c r="M36" s="90" t="s">
        <v>297</v>
      </c>
      <c r="N36" s="90" t="s">
        <v>74</v>
      </c>
      <c r="O36" s="90"/>
      <c r="P36" s="104">
        <v>1</v>
      </c>
      <c r="Q36" s="660"/>
      <c r="R36" s="661"/>
      <c r="S36" s="661"/>
      <c r="T36" s="661"/>
      <c r="U36" s="662"/>
      <c r="V36" s="105">
        <v>20750892</v>
      </c>
      <c r="W36" s="1009"/>
      <c r="X36" s="90" t="s">
        <v>289</v>
      </c>
      <c r="Y36" s="106">
        <f>(2/27)</f>
        <v>7.407407407407407E-2</v>
      </c>
      <c r="Z36" s="106">
        <f>+P36</f>
        <v>1</v>
      </c>
      <c r="AA36" s="107">
        <f>Y36/Z36</f>
        <v>7.407407407407407E-2</v>
      </c>
      <c r="AB36" s="108" t="s">
        <v>298</v>
      </c>
      <c r="AC36" s="675"/>
      <c r="AD36" s="676"/>
      <c r="AE36" s="676"/>
      <c r="AF36" s="676"/>
      <c r="AG36" s="109">
        <v>0.61111111111111116</v>
      </c>
      <c r="AH36" s="109">
        <v>1</v>
      </c>
      <c r="AI36" s="110">
        <v>0.61111111111111116</v>
      </c>
      <c r="AJ36" s="111" t="s">
        <v>299</v>
      </c>
      <c r="AK36" s="677"/>
      <c r="AL36" s="678"/>
      <c r="AM36" s="678"/>
      <c r="AN36" s="678"/>
      <c r="AO36" s="109">
        <f>(16/23)</f>
        <v>0.69565217391304346</v>
      </c>
      <c r="AP36" s="109">
        <f>+P36</f>
        <v>1</v>
      </c>
      <c r="AQ36" s="110">
        <f>AO36/AP36</f>
        <v>0.69565217391304346</v>
      </c>
      <c r="AR36" s="111" t="s">
        <v>300</v>
      </c>
      <c r="AS36" s="677"/>
      <c r="AT36" s="678"/>
      <c r="AU36" s="678"/>
      <c r="AV36" s="678"/>
      <c r="AW36" s="109">
        <f>(20/30)</f>
        <v>0.66666666666666663</v>
      </c>
      <c r="AX36" s="109">
        <f>+P36</f>
        <v>1</v>
      </c>
      <c r="AY36" s="110">
        <f>AW36/AX36</f>
        <v>0.66666666666666663</v>
      </c>
      <c r="AZ36" s="111" t="s">
        <v>1398</v>
      </c>
      <c r="BA36" s="677"/>
      <c r="BB36" s="678"/>
      <c r="BC36" s="678"/>
      <c r="BD36" s="678"/>
      <c r="BE36" s="109">
        <f>(25/38)</f>
        <v>0.65789473684210531</v>
      </c>
      <c r="BF36" s="109">
        <v>1</v>
      </c>
      <c r="BG36" s="110">
        <f>BE36/BF36</f>
        <v>0.65789473684210531</v>
      </c>
      <c r="BH36" s="30" t="s">
        <v>1399</v>
      </c>
      <c r="BI36" s="677"/>
      <c r="BJ36" s="678"/>
      <c r="BK36" s="678"/>
      <c r="BL36" s="678"/>
      <c r="BM36" s="109">
        <f>(27/43)</f>
        <v>0.62790697674418605</v>
      </c>
      <c r="BN36" s="109">
        <v>1</v>
      </c>
      <c r="BO36" s="110">
        <f>BM36/BN36</f>
        <v>0.62790697674418605</v>
      </c>
      <c r="BP36" s="30" t="s">
        <v>1400</v>
      </c>
      <c r="BQ36" s="677"/>
      <c r="BR36" s="678"/>
      <c r="BS36" s="678"/>
      <c r="BT36" s="678"/>
    </row>
    <row r="37" spans="1:708" s="21" customFormat="1" ht="70.5" customHeight="1" x14ac:dyDescent="0.25">
      <c r="A37" s="52"/>
      <c r="B37" s="52"/>
      <c r="C37" s="52"/>
      <c r="D37" s="52"/>
      <c r="E37" s="52"/>
      <c r="F37" s="52"/>
      <c r="G37" s="52"/>
      <c r="H37" s="52"/>
      <c r="I37" s="52"/>
      <c r="J37" s="52"/>
      <c r="K37" s="52"/>
      <c r="L37" s="52"/>
      <c r="M37" s="52"/>
      <c r="N37" s="52"/>
      <c r="O37" s="52"/>
      <c r="P37" s="53"/>
      <c r="Q37" s="52"/>
      <c r="R37" s="52"/>
      <c r="S37" s="53"/>
      <c r="T37" s="52"/>
      <c r="U37" s="52"/>
      <c r="V37" s="89"/>
      <c r="W37" s="1009"/>
      <c r="X37" s="52"/>
      <c r="Y37" s="657" t="s">
        <v>99</v>
      </c>
      <c r="Z37" s="657"/>
      <c r="AA37" s="55">
        <f>AVERAGE(AA36:AA36)</f>
        <v>7.407407407407407E-2</v>
      </c>
      <c r="AB37" s="56"/>
      <c r="AC37" s="657" t="s">
        <v>100</v>
      </c>
      <c r="AD37" s="657"/>
      <c r="AE37" s="55" t="s">
        <v>283</v>
      </c>
      <c r="AF37" s="58"/>
      <c r="AG37" s="658" t="s">
        <v>99</v>
      </c>
      <c r="AH37" s="658"/>
      <c r="AI37" s="55">
        <f>AVERAGE(AI36:AI36)</f>
        <v>0.61111111111111116</v>
      </c>
      <c r="AJ37" s="60"/>
      <c r="AK37" s="658" t="s">
        <v>100</v>
      </c>
      <c r="AL37" s="658"/>
      <c r="AM37" s="59" t="s">
        <v>283</v>
      </c>
      <c r="AN37" s="62"/>
      <c r="AO37" s="657" t="s">
        <v>99</v>
      </c>
      <c r="AP37" s="657"/>
      <c r="AQ37" s="55">
        <f>AVERAGE(AQ36:AQ36)</f>
        <v>0.69565217391304346</v>
      </c>
      <c r="AR37" s="56"/>
      <c r="AS37" s="657" t="s">
        <v>100</v>
      </c>
      <c r="AT37" s="657"/>
      <c r="AU37" s="55" t="s">
        <v>283</v>
      </c>
      <c r="AV37" s="58"/>
      <c r="AW37" s="658" t="s">
        <v>99</v>
      </c>
      <c r="AX37" s="658"/>
      <c r="AY37" s="59">
        <f>AVERAGE(AY36:AY36)</f>
        <v>0.66666666666666663</v>
      </c>
      <c r="AZ37" s="60"/>
      <c r="BA37" s="658" t="s">
        <v>100</v>
      </c>
      <c r="BB37" s="658"/>
      <c r="BC37" s="59" t="s">
        <v>283</v>
      </c>
      <c r="BD37" s="62"/>
      <c r="BE37" s="658" t="s">
        <v>99</v>
      </c>
      <c r="BF37" s="658"/>
      <c r="BG37" s="59">
        <f>AVERAGE(BG36:BG36)</f>
        <v>0.65789473684210531</v>
      </c>
      <c r="BH37" s="60"/>
      <c r="BI37" s="657" t="s">
        <v>100</v>
      </c>
      <c r="BJ37" s="657"/>
      <c r="BK37" s="55" t="s">
        <v>283</v>
      </c>
      <c r="BL37" s="58"/>
      <c r="BM37" s="658" t="s">
        <v>99</v>
      </c>
      <c r="BN37" s="658"/>
      <c r="BO37" s="59">
        <f>AVERAGE(BO36:BO36)</f>
        <v>0.62790697674418605</v>
      </c>
      <c r="BP37" s="60"/>
      <c r="BQ37" s="658" t="s">
        <v>100</v>
      </c>
      <c r="BR37" s="658"/>
      <c r="BS37" s="59" t="s">
        <v>283</v>
      </c>
      <c r="BT37" s="62"/>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c r="IH37" s="20"/>
      <c r="II37" s="20"/>
      <c r="IJ37" s="20"/>
      <c r="IK37" s="20"/>
      <c r="IL37" s="20"/>
      <c r="IM37" s="20"/>
      <c r="IN37" s="20"/>
      <c r="IO37" s="20"/>
      <c r="IP37" s="20"/>
      <c r="IQ37" s="20"/>
      <c r="IR37" s="20"/>
      <c r="IS37" s="20"/>
      <c r="IT37" s="20"/>
      <c r="IU37" s="20"/>
      <c r="IV37" s="20"/>
      <c r="IW37" s="20"/>
      <c r="IX37" s="20"/>
      <c r="IY37" s="20"/>
      <c r="IZ37" s="20"/>
      <c r="JA37" s="20"/>
      <c r="JB37" s="20"/>
      <c r="JC37" s="20"/>
      <c r="JD37" s="20"/>
      <c r="JE37" s="20"/>
      <c r="JF37" s="20"/>
      <c r="JG37" s="20"/>
      <c r="JH37" s="20"/>
      <c r="JI37" s="20"/>
      <c r="JJ37" s="20"/>
      <c r="JK37" s="20"/>
      <c r="JL37" s="20"/>
      <c r="JM37" s="20"/>
      <c r="JN37" s="20"/>
      <c r="JO37" s="20"/>
      <c r="JP37" s="20"/>
      <c r="JQ37" s="20"/>
      <c r="JR37" s="20"/>
      <c r="JS37" s="20"/>
      <c r="JT37" s="20"/>
      <c r="JU37" s="20"/>
      <c r="JV37" s="20"/>
      <c r="JW37" s="20"/>
      <c r="JX37" s="20"/>
      <c r="JY37" s="20"/>
      <c r="JZ37" s="20"/>
      <c r="KA37" s="20"/>
      <c r="KB37" s="20"/>
      <c r="KC37" s="20"/>
      <c r="KD37" s="20"/>
      <c r="KE37" s="20"/>
      <c r="KF37" s="20"/>
      <c r="KG37" s="20"/>
      <c r="KH37" s="20"/>
      <c r="KI37" s="20"/>
      <c r="KJ37" s="20"/>
      <c r="KK37" s="20"/>
      <c r="KL37" s="20"/>
      <c r="KM37" s="20"/>
      <c r="KN37" s="20"/>
      <c r="KO37" s="20"/>
      <c r="KP37" s="20"/>
      <c r="KQ37" s="20"/>
      <c r="KR37" s="20"/>
      <c r="KS37" s="20"/>
      <c r="KT37" s="20"/>
      <c r="KU37" s="20"/>
      <c r="KV37" s="20"/>
      <c r="KW37" s="20"/>
      <c r="KX37" s="20"/>
      <c r="KY37" s="20"/>
      <c r="KZ37" s="20"/>
      <c r="LA37" s="20"/>
      <c r="LB37" s="20"/>
      <c r="LC37" s="20"/>
      <c r="LD37" s="20"/>
      <c r="LE37" s="20"/>
      <c r="LF37" s="20"/>
      <c r="LG37" s="20"/>
      <c r="LH37" s="20"/>
      <c r="LI37" s="20"/>
      <c r="LJ37" s="20"/>
      <c r="LK37" s="20"/>
      <c r="LL37" s="20"/>
      <c r="LM37" s="20"/>
      <c r="LN37" s="20"/>
      <c r="LO37" s="20"/>
      <c r="LP37" s="20"/>
      <c r="LQ37" s="20"/>
      <c r="LR37" s="20"/>
      <c r="LS37" s="20"/>
      <c r="LT37" s="20"/>
      <c r="LU37" s="20"/>
      <c r="LV37" s="20"/>
      <c r="LW37" s="20"/>
      <c r="LX37" s="20"/>
      <c r="LY37" s="20"/>
      <c r="LZ37" s="20"/>
      <c r="MA37" s="20"/>
      <c r="MB37" s="20"/>
      <c r="MC37" s="20"/>
      <c r="MD37" s="20"/>
      <c r="ME37" s="20"/>
      <c r="MF37" s="20"/>
      <c r="MG37" s="20"/>
      <c r="MH37" s="20"/>
      <c r="MI37" s="20"/>
      <c r="MJ37" s="20"/>
      <c r="MK37" s="20"/>
      <c r="ML37" s="20"/>
      <c r="MM37" s="20"/>
      <c r="MN37" s="20"/>
      <c r="MO37" s="20"/>
      <c r="MP37" s="20"/>
      <c r="MQ37" s="20"/>
      <c r="MR37" s="20"/>
      <c r="MS37" s="20"/>
      <c r="MT37" s="20"/>
      <c r="MU37" s="20"/>
      <c r="MV37" s="20"/>
      <c r="MW37" s="20"/>
      <c r="MX37" s="20"/>
      <c r="MY37" s="20"/>
      <c r="MZ37" s="20"/>
      <c r="NA37" s="20"/>
      <c r="NB37" s="20"/>
      <c r="NC37" s="20"/>
      <c r="ND37" s="20"/>
      <c r="NE37" s="20"/>
      <c r="NF37" s="20"/>
      <c r="NG37" s="20"/>
      <c r="NH37" s="20"/>
      <c r="NI37" s="20"/>
      <c r="NJ37" s="20"/>
      <c r="NK37" s="20"/>
      <c r="NL37" s="20"/>
      <c r="NM37" s="20"/>
      <c r="NN37" s="20"/>
      <c r="NO37" s="20"/>
      <c r="NP37" s="20"/>
      <c r="NQ37" s="20"/>
      <c r="NR37" s="20"/>
      <c r="NS37" s="20"/>
      <c r="NT37" s="20"/>
      <c r="NU37" s="20"/>
      <c r="NV37" s="20"/>
      <c r="NW37" s="20"/>
      <c r="NX37" s="20"/>
      <c r="NY37" s="20"/>
      <c r="NZ37" s="20"/>
      <c r="OA37" s="20"/>
      <c r="OB37" s="20"/>
      <c r="OC37" s="20"/>
      <c r="OD37" s="20"/>
      <c r="OE37" s="20"/>
      <c r="OF37" s="20"/>
      <c r="OG37" s="20"/>
      <c r="OH37" s="20"/>
      <c r="OI37" s="20"/>
      <c r="OJ37" s="20"/>
      <c r="OK37" s="20"/>
      <c r="OL37" s="20"/>
      <c r="OM37" s="20"/>
      <c r="ON37" s="20"/>
      <c r="OO37" s="20"/>
      <c r="OP37" s="20"/>
      <c r="OQ37" s="20"/>
      <c r="OR37" s="20"/>
      <c r="OS37" s="20"/>
      <c r="OT37" s="20"/>
      <c r="OU37" s="20"/>
      <c r="OV37" s="20"/>
      <c r="OW37" s="20"/>
      <c r="OX37" s="20"/>
      <c r="OY37" s="20"/>
      <c r="OZ37" s="20"/>
      <c r="PA37" s="20"/>
      <c r="PB37" s="20"/>
      <c r="PC37" s="20"/>
      <c r="PD37" s="20"/>
      <c r="PE37" s="20"/>
      <c r="PF37" s="20"/>
      <c r="PG37" s="20"/>
      <c r="PH37" s="20"/>
      <c r="PI37" s="20"/>
      <c r="PJ37" s="20"/>
      <c r="PK37" s="20"/>
      <c r="PL37" s="20"/>
      <c r="PM37" s="20"/>
      <c r="PN37" s="20"/>
      <c r="PO37" s="20"/>
      <c r="PP37" s="20"/>
      <c r="PQ37" s="20"/>
      <c r="PR37" s="20"/>
      <c r="PS37" s="20"/>
      <c r="PT37" s="20"/>
      <c r="PU37" s="20"/>
      <c r="PV37" s="20"/>
      <c r="PW37" s="20"/>
      <c r="PX37" s="20"/>
      <c r="PY37" s="20"/>
      <c r="PZ37" s="20"/>
      <c r="QA37" s="20"/>
      <c r="QB37" s="20"/>
      <c r="QC37" s="20"/>
      <c r="QD37" s="20"/>
      <c r="QE37" s="20"/>
      <c r="QF37" s="20"/>
      <c r="QG37" s="20"/>
      <c r="QH37" s="20"/>
      <c r="QI37" s="20"/>
      <c r="QJ37" s="20"/>
      <c r="QK37" s="20"/>
      <c r="QL37" s="20"/>
      <c r="QM37" s="20"/>
      <c r="QN37" s="20"/>
      <c r="QO37" s="20"/>
      <c r="QP37" s="20"/>
      <c r="QQ37" s="20"/>
      <c r="QR37" s="20"/>
      <c r="QS37" s="20"/>
      <c r="QT37" s="20"/>
      <c r="QU37" s="20"/>
      <c r="QV37" s="20"/>
      <c r="QW37" s="20"/>
      <c r="QX37" s="20"/>
      <c r="QY37" s="20"/>
      <c r="QZ37" s="20"/>
      <c r="RA37" s="20"/>
      <c r="RB37" s="20"/>
      <c r="RC37" s="20"/>
      <c r="RD37" s="20"/>
      <c r="RE37" s="20"/>
      <c r="RF37" s="20"/>
      <c r="RG37" s="20"/>
      <c r="RH37" s="20"/>
      <c r="RI37" s="20"/>
      <c r="RJ37" s="20"/>
      <c r="RK37" s="20"/>
      <c r="RL37" s="20"/>
      <c r="RM37" s="20"/>
      <c r="RN37" s="20"/>
      <c r="RO37" s="20"/>
      <c r="RP37" s="20"/>
      <c r="RQ37" s="20"/>
      <c r="RR37" s="20"/>
      <c r="RS37" s="20"/>
      <c r="RT37" s="20"/>
      <c r="RU37" s="20"/>
      <c r="RV37" s="20"/>
      <c r="RW37" s="20"/>
      <c r="RX37" s="20"/>
      <c r="RY37" s="20"/>
      <c r="RZ37" s="20"/>
      <c r="SA37" s="20"/>
      <c r="SB37" s="20"/>
      <c r="SC37" s="20"/>
      <c r="SD37" s="20"/>
      <c r="SE37" s="20"/>
      <c r="SF37" s="20"/>
      <c r="SG37" s="20"/>
      <c r="SH37" s="20"/>
      <c r="SI37" s="20"/>
      <c r="SJ37" s="20"/>
      <c r="SK37" s="20"/>
      <c r="SL37" s="20"/>
      <c r="SM37" s="20"/>
      <c r="SN37" s="20"/>
      <c r="SO37" s="20"/>
      <c r="SP37" s="20"/>
      <c r="SQ37" s="20"/>
      <c r="SR37" s="20"/>
      <c r="SS37" s="20"/>
      <c r="ST37" s="20"/>
      <c r="SU37" s="20"/>
      <c r="SV37" s="20"/>
      <c r="SW37" s="20"/>
      <c r="SX37" s="20"/>
      <c r="SY37" s="20"/>
      <c r="SZ37" s="20"/>
      <c r="TA37" s="20"/>
      <c r="TB37" s="20"/>
      <c r="TC37" s="20"/>
      <c r="TD37" s="20"/>
      <c r="TE37" s="20"/>
      <c r="TF37" s="20"/>
      <c r="TG37" s="20"/>
      <c r="TH37" s="20"/>
      <c r="TI37" s="20"/>
      <c r="TJ37" s="20"/>
      <c r="TK37" s="20"/>
      <c r="TL37" s="20"/>
      <c r="TM37" s="20"/>
      <c r="TN37" s="20"/>
      <c r="TO37" s="20"/>
      <c r="TP37" s="20"/>
      <c r="TQ37" s="20"/>
      <c r="TR37" s="20"/>
      <c r="TS37" s="20"/>
      <c r="TT37" s="20"/>
      <c r="TU37" s="20"/>
      <c r="TV37" s="20"/>
      <c r="TW37" s="20"/>
      <c r="TX37" s="20"/>
      <c r="TY37" s="20"/>
      <c r="TZ37" s="20"/>
      <c r="UA37" s="20"/>
      <c r="UB37" s="20"/>
      <c r="UC37" s="20"/>
      <c r="UD37" s="20"/>
      <c r="UE37" s="20"/>
      <c r="UF37" s="20"/>
      <c r="UG37" s="20"/>
      <c r="UH37" s="20"/>
      <c r="UI37" s="20"/>
      <c r="UJ37" s="20"/>
      <c r="UK37" s="20"/>
      <c r="UL37" s="20"/>
      <c r="UM37" s="20"/>
      <c r="UN37" s="20"/>
      <c r="UO37" s="20"/>
      <c r="UP37" s="20"/>
      <c r="UQ37" s="20"/>
      <c r="UR37" s="20"/>
      <c r="US37" s="20"/>
      <c r="UT37" s="20"/>
      <c r="UU37" s="20"/>
      <c r="UV37" s="20"/>
      <c r="UW37" s="20"/>
      <c r="UX37" s="20"/>
      <c r="UY37" s="20"/>
      <c r="UZ37" s="20"/>
      <c r="VA37" s="20"/>
      <c r="VB37" s="20"/>
      <c r="VC37" s="20"/>
      <c r="VD37" s="20"/>
      <c r="VE37" s="20"/>
      <c r="VF37" s="20"/>
      <c r="VG37" s="20"/>
      <c r="VH37" s="20"/>
      <c r="VI37" s="20"/>
      <c r="VJ37" s="20"/>
      <c r="VK37" s="20"/>
      <c r="VL37" s="20"/>
      <c r="VM37" s="20"/>
      <c r="VN37" s="20"/>
      <c r="VO37" s="20"/>
      <c r="VP37" s="20"/>
      <c r="VQ37" s="20"/>
      <c r="VR37" s="20"/>
      <c r="VS37" s="20"/>
      <c r="VT37" s="20"/>
      <c r="VU37" s="20"/>
      <c r="VV37" s="20"/>
      <c r="VW37" s="20"/>
      <c r="VX37" s="20"/>
      <c r="VY37" s="20"/>
      <c r="VZ37" s="20"/>
      <c r="WA37" s="20"/>
      <c r="WB37" s="20"/>
      <c r="WC37" s="20"/>
      <c r="WD37" s="20"/>
      <c r="WE37" s="20"/>
      <c r="WF37" s="20"/>
      <c r="WG37" s="20"/>
      <c r="WH37" s="20"/>
      <c r="WI37" s="20"/>
      <c r="WJ37" s="20"/>
      <c r="WK37" s="20"/>
      <c r="WL37" s="20"/>
      <c r="WM37" s="20"/>
      <c r="WN37" s="20"/>
      <c r="WO37" s="20"/>
      <c r="WP37" s="20"/>
      <c r="WQ37" s="20"/>
      <c r="WR37" s="20"/>
      <c r="WS37" s="20"/>
      <c r="WT37" s="20"/>
      <c r="WU37" s="20"/>
      <c r="WV37" s="20"/>
      <c r="WW37" s="20"/>
      <c r="WX37" s="20"/>
      <c r="WY37" s="20"/>
      <c r="WZ37" s="20"/>
      <c r="XA37" s="20"/>
      <c r="XB37" s="20"/>
      <c r="XC37" s="20"/>
      <c r="XD37" s="20"/>
      <c r="XE37" s="20"/>
      <c r="XF37" s="20"/>
      <c r="XG37" s="20"/>
      <c r="XH37" s="20"/>
      <c r="XI37" s="20"/>
      <c r="XJ37" s="20"/>
      <c r="XK37" s="20"/>
      <c r="XL37" s="20"/>
      <c r="XM37" s="20"/>
      <c r="XN37" s="20"/>
      <c r="XO37" s="20"/>
      <c r="XP37" s="20"/>
      <c r="XQ37" s="20"/>
      <c r="XR37" s="20"/>
      <c r="XS37" s="20"/>
      <c r="XT37" s="20"/>
      <c r="XU37" s="20"/>
      <c r="XV37" s="20"/>
      <c r="XW37" s="20"/>
      <c r="XX37" s="20"/>
      <c r="XY37" s="20"/>
      <c r="XZ37" s="20"/>
      <c r="YA37" s="20"/>
      <c r="YB37" s="20"/>
      <c r="YC37" s="20"/>
      <c r="YD37" s="20"/>
      <c r="YE37" s="20"/>
      <c r="YF37" s="20"/>
      <c r="YG37" s="20"/>
      <c r="YH37" s="20"/>
      <c r="YI37" s="20"/>
      <c r="YJ37" s="20"/>
      <c r="YK37" s="20"/>
      <c r="YL37" s="20"/>
      <c r="YM37" s="20"/>
      <c r="YN37" s="20"/>
      <c r="YO37" s="20"/>
      <c r="YP37" s="20"/>
      <c r="YQ37" s="20"/>
      <c r="YR37" s="20"/>
      <c r="YS37" s="20"/>
      <c r="YT37" s="20"/>
      <c r="YU37" s="20"/>
      <c r="YV37" s="20"/>
      <c r="YW37" s="20"/>
      <c r="YX37" s="20"/>
      <c r="YY37" s="20"/>
      <c r="YZ37" s="20"/>
      <c r="ZA37" s="20"/>
      <c r="ZB37" s="20"/>
      <c r="ZC37" s="20"/>
      <c r="ZD37" s="20"/>
      <c r="ZE37" s="20"/>
      <c r="ZF37" s="20"/>
      <c r="ZG37" s="20"/>
      <c r="ZH37" s="20"/>
      <c r="ZI37" s="20"/>
      <c r="ZJ37" s="20"/>
      <c r="ZK37" s="20"/>
      <c r="ZL37" s="20"/>
      <c r="ZM37" s="20"/>
      <c r="ZN37" s="20"/>
      <c r="ZO37" s="20"/>
      <c r="ZP37" s="20"/>
      <c r="ZQ37" s="20"/>
      <c r="ZR37" s="20"/>
      <c r="ZS37" s="20"/>
      <c r="ZT37" s="20"/>
      <c r="ZU37" s="20"/>
      <c r="ZV37" s="20"/>
      <c r="ZW37" s="20"/>
      <c r="ZX37" s="20"/>
      <c r="ZY37" s="20"/>
      <c r="ZZ37" s="20"/>
      <c r="AAA37" s="20"/>
      <c r="AAB37" s="20"/>
      <c r="AAC37" s="20"/>
      <c r="AAD37" s="20"/>
      <c r="AAE37" s="20"/>
      <c r="AAF37" s="20"/>
    </row>
    <row r="38" spans="1:708" ht="111" customHeight="1" x14ac:dyDescent="0.25">
      <c r="A38" s="527" t="s">
        <v>43</v>
      </c>
      <c r="B38" s="527" t="s">
        <v>44</v>
      </c>
      <c r="C38" s="527" t="s">
        <v>45</v>
      </c>
      <c r="D38" s="527" t="s">
        <v>306</v>
      </c>
      <c r="E38" s="527" t="s">
        <v>71</v>
      </c>
      <c r="F38" s="527" t="s">
        <v>48</v>
      </c>
      <c r="G38" s="527" t="s">
        <v>49</v>
      </c>
      <c r="H38" s="527" t="s">
        <v>50</v>
      </c>
      <c r="I38" s="527" t="s">
        <v>51</v>
      </c>
      <c r="J38" s="527" t="s">
        <v>1296</v>
      </c>
      <c r="K38" s="527" t="s">
        <v>307</v>
      </c>
      <c r="L38" s="527" t="s">
        <v>308</v>
      </c>
      <c r="M38" s="527" t="s">
        <v>309</v>
      </c>
      <c r="N38" s="527" t="s">
        <v>56</v>
      </c>
      <c r="O38" s="527">
        <v>289</v>
      </c>
      <c r="P38" s="527">
        <v>260</v>
      </c>
      <c r="Q38" s="659"/>
      <c r="R38" s="659"/>
      <c r="S38" s="659"/>
      <c r="T38" s="659"/>
      <c r="U38" s="659"/>
      <c r="V38" s="558">
        <v>109780934</v>
      </c>
      <c r="W38" s="1009"/>
      <c r="X38" s="527" t="s">
        <v>59</v>
      </c>
      <c r="Y38" s="527">
        <v>23</v>
      </c>
      <c r="Z38" s="527">
        <f>+P38</f>
        <v>260</v>
      </c>
      <c r="AA38" s="526">
        <f>+Y38/Z38</f>
        <v>8.8461538461538466E-2</v>
      </c>
      <c r="AB38" s="527" t="s">
        <v>310</v>
      </c>
      <c r="AC38" s="673"/>
      <c r="AD38" s="673"/>
      <c r="AE38" s="673"/>
      <c r="AF38" s="673"/>
      <c r="AG38" s="527">
        <v>43</v>
      </c>
      <c r="AH38" s="527">
        <v>260</v>
      </c>
      <c r="AI38" s="526">
        <v>0.16538461538461538</v>
      </c>
      <c r="AJ38" s="527" t="s">
        <v>311</v>
      </c>
      <c r="AK38" s="674"/>
      <c r="AL38" s="674"/>
      <c r="AM38" s="674"/>
      <c r="AN38" s="674"/>
      <c r="AO38" s="527">
        <v>55</v>
      </c>
      <c r="AP38" s="527">
        <f>+P38</f>
        <v>260</v>
      </c>
      <c r="AQ38" s="526">
        <f>+AO38/AP38</f>
        <v>0.21153846153846154</v>
      </c>
      <c r="AR38" s="527" t="s">
        <v>312</v>
      </c>
      <c r="AS38" s="673"/>
      <c r="AT38" s="673"/>
      <c r="AU38" s="673"/>
      <c r="AV38" s="673"/>
      <c r="AW38" s="551">
        <v>63</v>
      </c>
      <c r="AX38" s="551">
        <f>+P38</f>
        <v>260</v>
      </c>
      <c r="AY38" s="552">
        <f>+AW38/AX38</f>
        <v>0.24230769230769231</v>
      </c>
      <c r="AZ38" s="551" t="s">
        <v>1401</v>
      </c>
      <c r="BA38" s="674"/>
      <c r="BB38" s="674"/>
      <c r="BC38" s="674"/>
      <c r="BD38" s="674"/>
      <c r="BE38" s="551">
        <v>74</v>
      </c>
      <c r="BF38" s="551">
        <v>260</v>
      </c>
      <c r="BG38" s="552">
        <f>+BE38/BF38</f>
        <v>0.2846153846153846</v>
      </c>
      <c r="BH38" s="551" t="s">
        <v>1402</v>
      </c>
      <c r="BI38" s="673"/>
      <c r="BJ38" s="673"/>
      <c r="BK38" s="673"/>
      <c r="BL38" s="673"/>
      <c r="BM38" s="551">
        <v>87</v>
      </c>
      <c r="BN38" s="551">
        <v>260</v>
      </c>
      <c r="BO38" s="552">
        <f>+BM38/BN38</f>
        <v>0.33461538461538459</v>
      </c>
      <c r="BP38" s="551" t="s">
        <v>1403</v>
      </c>
      <c r="BQ38" s="674"/>
      <c r="BR38" s="674"/>
      <c r="BS38" s="674"/>
      <c r="BT38" s="674"/>
    </row>
    <row r="39" spans="1:708" s="21" customFormat="1" ht="70.5" customHeight="1" x14ac:dyDescent="0.25">
      <c r="A39" s="52"/>
      <c r="B39" s="52"/>
      <c r="C39" s="52"/>
      <c r="D39" s="52"/>
      <c r="E39" s="52"/>
      <c r="F39" s="52"/>
      <c r="G39" s="52"/>
      <c r="H39" s="52"/>
      <c r="I39" s="52"/>
      <c r="J39" s="52"/>
      <c r="K39" s="52"/>
      <c r="L39" s="52"/>
      <c r="M39" s="52"/>
      <c r="N39" s="52"/>
      <c r="O39" s="52"/>
      <c r="P39" s="53"/>
      <c r="Q39" s="52"/>
      <c r="R39" s="52"/>
      <c r="S39" s="53"/>
      <c r="T39" s="52"/>
      <c r="U39" s="52"/>
      <c r="V39" s="89"/>
      <c r="W39" s="1009"/>
      <c r="X39" s="52"/>
      <c r="Y39" s="657" t="s">
        <v>99</v>
      </c>
      <c r="Z39" s="657"/>
      <c r="AA39" s="55">
        <f>AVERAGE(AA38)</f>
        <v>8.8461538461538466E-2</v>
      </c>
      <c r="AB39" s="56"/>
      <c r="AC39" s="657" t="s">
        <v>100</v>
      </c>
      <c r="AD39" s="657"/>
      <c r="AE39" s="57" t="s">
        <v>283</v>
      </c>
      <c r="AF39" s="58"/>
      <c r="AG39" s="658" t="s">
        <v>99</v>
      </c>
      <c r="AH39" s="658"/>
      <c r="AI39" s="55">
        <f>AVERAGE(AI38:AI38)</f>
        <v>0.16538461538461538</v>
      </c>
      <c r="AJ39" s="60"/>
      <c r="AK39" s="658" t="s">
        <v>100</v>
      </c>
      <c r="AL39" s="658"/>
      <c r="AM39" s="61" t="s">
        <v>283</v>
      </c>
      <c r="AN39" s="62"/>
      <c r="AO39" s="657" t="s">
        <v>99</v>
      </c>
      <c r="AP39" s="657"/>
      <c r="AQ39" s="55">
        <f>AVERAGE(AQ38:AQ38)</f>
        <v>0.21153846153846154</v>
      </c>
      <c r="AR39" s="56"/>
      <c r="AS39" s="657" t="s">
        <v>100</v>
      </c>
      <c r="AT39" s="657"/>
      <c r="AU39" s="57" t="s">
        <v>283</v>
      </c>
      <c r="AV39" s="58"/>
      <c r="AW39" s="658" t="s">
        <v>99</v>
      </c>
      <c r="AX39" s="658"/>
      <c r="AY39" s="59">
        <f>AVERAGE(AY38:AY38)</f>
        <v>0.24230769230769231</v>
      </c>
      <c r="AZ39" s="60"/>
      <c r="BA39" s="658" t="s">
        <v>100</v>
      </c>
      <c r="BB39" s="658"/>
      <c r="BC39" s="61" t="s">
        <v>283</v>
      </c>
      <c r="BD39" s="62"/>
      <c r="BE39" s="658" t="s">
        <v>99</v>
      </c>
      <c r="BF39" s="658"/>
      <c r="BG39" s="59">
        <f>AVERAGE(BG38:BG38)</f>
        <v>0.2846153846153846</v>
      </c>
      <c r="BH39" s="60"/>
      <c r="BI39" s="657" t="s">
        <v>100</v>
      </c>
      <c r="BJ39" s="657"/>
      <c r="BK39" s="57" t="s">
        <v>283</v>
      </c>
      <c r="BL39" s="58"/>
      <c r="BM39" s="658" t="s">
        <v>99</v>
      </c>
      <c r="BN39" s="658"/>
      <c r="BO39" s="59">
        <f>AVERAGE(BO38:BO38)</f>
        <v>0.33461538461538459</v>
      </c>
      <c r="BP39" s="60"/>
      <c r="BQ39" s="658" t="s">
        <v>100</v>
      </c>
      <c r="BR39" s="658"/>
      <c r="BS39" s="61" t="s">
        <v>283</v>
      </c>
      <c r="BT39" s="62"/>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c r="IW39" s="20"/>
      <c r="IX39" s="20"/>
      <c r="IY39" s="20"/>
      <c r="IZ39" s="20"/>
      <c r="JA39" s="20"/>
      <c r="JB39" s="20"/>
      <c r="JC39" s="20"/>
      <c r="JD39" s="20"/>
      <c r="JE39" s="20"/>
      <c r="JF39" s="20"/>
      <c r="JG39" s="20"/>
      <c r="JH39" s="20"/>
      <c r="JI39" s="20"/>
      <c r="JJ39" s="20"/>
      <c r="JK39" s="20"/>
      <c r="JL39" s="20"/>
      <c r="JM39" s="20"/>
      <c r="JN39" s="20"/>
      <c r="JO39" s="20"/>
      <c r="JP39" s="20"/>
      <c r="JQ39" s="20"/>
      <c r="JR39" s="20"/>
      <c r="JS39" s="20"/>
      <c r="JT39" s="20"/>
      <c r="JU39" s="20"/>
      <c r="JV39" s="20"/>
      <c r="JW39" s="20"/>
      <c r="JX39" s="20"/>
      <c r="JY39" s="20"/>
      <c r="JZ39" s="20"/>
      <c r="KA39" s="20"/>
      <c r="KB39" s="20"/>
      <c r="KC39" s="20"/>
      <c r="KD39" s="20"/>
      <c r="KE39" s="20"/>
      <c r="KF39" s="20"/>
      <c r="KG39" s="20"/>
      <c r="KH39" s="20"/>
      <c r="KI39" s="20"/>
      <c r="KJ39" s="20"/>
      <c r="KK39" s="20"/>
      <c r="KL39" s="20"/>
      <c r="KM39" s="20"/>
      <c r="KN39" s="20"/>
      <c r="KO39" s="20"/>
      <c r="KP39" s="20"/>
      <c r="KQ39" s="20"/>
      <c r="KR39" s="20"/>
      <c r="KS39" s="20"/>
      <c r="KT39" s="20"/>
      <c r="KU39" s="20"/>
      <c r="KV39" s="20"/>
      <c r="KW39" s="20"/>
      <c r="KX39" s="20"/>
      <c r="KY39" s="20"/>
      <c r="KZ39" s="20"/>
      <c r="LA39" s="20"/>
      <c r="LB39" s="20"/>
      <c r="LC39" s="20"/>
      <c r="LD39" s="20"/>
      <c r="LE39" s="20"/>
      <c r="LF39" s="20"/>
      <c r="LG39" s="20"/>
      <c r="LH39" s="20"/>
      <c r="LI39" s="20"/>
      <c r="LJ39" s="20"/>
      <c r="LK39" s="20"/>
      <c r="LL39" s="20"/>
      <c r="LM39" s="20"/>
      <c r="LN39" s="20"/>
      <c r="LO39" s="20"/>
      <c r="LP39" s="20"/>
      <c r="LQ39" s="20"/>
      <c r="LR39" s="20"/>
      <c r="LS39" s="20"/>
      <c r="LT39" s="20"/>
      <c r="LU39" s="20"/>
      <c r="LV39" s="20"/>
      <c r="LW39" s="20"/>
      <c r="LX39" s="20"/>
      <c r="LY39" s="20"/>
      <c r="LZ39" s="20"/>
      <c r="MA39" s="20"/>
      <c r="MB39" s="20"/>
      <c r="MC39" s="20"/>
      <c r="MD39" s="20"/>
      <c r="ME39" s="20"/>
      <c r="MF39" s="20"/>
      <c r="MG39" s="20"/>
      <c r="MH39" s="20"/>
      <c r="MI39" s="20"/>
      <c r="MJ39" s="20"/>
      <c r="MK39" s="20"/>
      <c r="ML39" s="20"/>
      <c r="MM39" s="20"/>
      <c r="MN39" s="20"/>
      <c r="MO39" s="20"/>
      <c r="MP39" s="20"/>
      <c r="MQ39" s="20"/>
      <c r="MR39" s="20"/>
      <c r="MS39" s="20"/>
      <c r="MT39" s="20"/>
      <c r="MU39" s="20"/>
      <c r="MV39" s="20"/>
      <c r="MW39" s="20"/>
      <c r="MX39" s="20"/>
      <c r="MY39" s="20"/>
      <c r="MZ39" s="20"/>
      <c r="NA39" s="20"/>
      <c r="NB39" s="20"/>
      <c r="NC39" s="20"/>
      <c r="ND39" s="20"/>
      <c r="NE39" s="20"/>
      <c r="NF39" s="20"/>
      <c r="NG39" s="20"/>
      <c r="NH39" s="20"/>
      <c r="NI39" s="20"/>
      <c r="NJ39" s="20"/>
      <c r="NK39" s="20"/>
      <c r="NL39" s="20"/>
      <c r="NM39" s="20"/>
      <c r="NN39" s="20"/>
      <c r="NO39" s="20"/>
      <c r="NP39" s="20"/>
      <c r="NQ39" s="20"/>
      <c r="NR39" s="20"/>
      <c r="NS39" s="20"/>
      <c r="NT39" s="20"/>
      <c r="NU39" s="20"/>
      <c r="NV39" s="20"/>
      <c r="NW39" s="20"/>
      <c r="NX39" s="20"/>
      <c r="NY39" s="20"/>
      <c r="NZ39" s="20"/>
      <c r="OA39" s="20"/>
      <c r="OB39" s="20"/>
      <c r="OC39" s="20"/>
      <c r="OD39" s="20"/>
      <c r="OE39" s="20"/>
      <c r="OF39" s="20"/>
      <c r="OG39" s="20"/>
      <c r="OH39" s="20"/>
      <c r="OI39" s="20"/>
      <c r="OJ39" s="20"/>
      <c r="OK39" s="20"/>
      <c r="OL39" s="20"/>
      <c r="OM39" s="20"/>
      <c r="ON39" s="20"/>
      <c r="OO39" s="20"/>
      <c r="OP39" s="20"/>
      <c r="OQ39" s="20"/>
      <c r="OR39" s="20"/>
      <c r="OS39" s="20"/>
      <c r="OT39" s="20"/>
      <c r="OU39" s="20"/>
      <c r="OV39" s="20"/>
      <c r="OW39" s="20"/>
      <c r="OX39" s="20"/>
      <c r="OY39" s="20"/>
      <c r="OZ39" s="20"/>
      <c r="PA39" s="20"/>
      <c r="PB39" s="20"/>
      <c r="PC39" s="20"/>
      <c r="PD39" s="20"/>
      <c r="PE39" s="20"/>
      <c r="PF39" s="20"/>
      <c r="PG39" s="20"/>
      <c r="PH39" s="20"/>
      <c r="PI39" s="20"/>
      <c r="PJ39" s="20"/>
      <c r="PK39" s="20"/>
      <c r="PL39" s="20"/>
      <c r="PM39" s="20"/>
      <c r="PN39" s="20"/>
      <c r="PO39" s="20"/>
      <c r="PP39" s="20"/>
      <c r="PQ39" s="20"/>
      <c r="PR39" s="20"/>
      <c r="PS39" s="20"/>
      <c r="PT39" s="20"/>
      <c r="PU39" s="20"/>
      <c r="PV39" s="20"/>
      <c r="PW39" s="20"/>
      <c r="PX39" s="20"/>
      <c r="PY39" s="20"/>
      <c r="PZ39" s="20"/>
      <c r="QA39" s="20"/>
      <c r="QB39" s="20"/>
      <c r="QC39" s="20"/>
      <c r="QD39" s="20"/>
      <c r="QE39" s="20"/>
      <c r="QF39" s="20"/>
      <c r="QG39" s="20"/>
      <c r="QH39" s="20"/>
      <c r="QI39" s="20"/>
      <c r="QJ39" s="20"/>
      <c r="QK39" s="20"/>
      <c r="QL39" s="20"/>
      <c r="QM39" s="20"/>
      <c r="QN39" s="20"/>
      <c r="QO39" s="20"/>
      <c r="QP39" s="20"/>
      <c r="QQ39" s="20"/>
      <c r="QR39" s="20"/>
      <c r="QS39" s="20"/>
      <c r="QT39" s="20"/>
      <c r="QU39" s="20"/>
      <c r="QV39" s="20"/>
      <c r="QW39" s="20"/>
      <c r="QX39" s="20"/>
      <c r="QY39" s="20"/>
      <c r="QZ39" s="20"/>
      <c r="RA39" s="20"/>
      <c r="RB39" s="20"/>
      <c r="RC39" s="20"/>
      <c r="RD39" s="20"/>
      <c r="RE39" s="20"/>
      <c r="RF39" s="20"/>
      <c r="RG39" s="20"/>
      <c r="RH39" s="20"/>
      <c r="RI39" s="20"/>
      <c r="RJ39" s="20"/>
      <c r="RK39" s="20"/>
      <c r="RL39" s="20"/>
      <c r="RM39" s="20"/>
      <c r="RN39" s="20"/>
      <c r="RO39" s="20"/>
      <c r="RP39" s="20"/>
      <c r="RQ39" s="20"/>
      <c r="RR39" s="20"/>
      <c r="RS39" s="20"/>
      <c r="RT39" s="20"/>
      <c r="RU39" s="20"/>
      <c r="RV39" s="20"/>
      <c r="RW39" s="20"/>
      <c r="RX39" s="20"/>
      <c r="RY39" s="20"/>
      <c r="RZ39" s="20"/>
      <c r="SA39" s="20"/>
      <c r="SB39" s="20"/>
      <c r="SC39" s="20"/>
      <c r="SD39" s="20"/>
      <c r="SE39" s="20"/>
      <c r="SF39" s="20"/>
      <c r="SG39" s="20"/>
      <c r="SH39" s="20"/>
      <c r="SI39" s="20"/>
      <c r="SJ39" s="20"/>
      <c r="SK39" s="20"/>
      <c r="SL39" s="20"/>
      <c r="SM39" s="20"/>
      <c r="SN39" s="20"/>
      <c r="SO39" s="20"/>
      <c r="SP39" s="20"/>
      <c r="SQ39" s="20"/>
      <c r="SR39" s="20"/>
      <c r="SS39" s="20"/>
      <c r="ST39" s="20"/>
      <c r="SU39" s="20"/>
      <c r="SV39" s="20"/>
      <c r="SW39" s="20"/>
      <c r="SX39" s="20"/>
      <c r="SY39" s="20"/>
      <c r="SZ39" s="20"/>
      <c r="TA39" s="20"/>
      <c r="TB39" s="20"/>
      <c r="TC39" s="20"/>
      <c r="TD39" s="20"/>
      <c r="TE39" s="20"/>
      <c r="TF39" s="20"/>
      <c r="TG39" s="20"/>
      <c r="TH39" s="20"/>
      <c r="TI39" s="20"/>
      <c r="TJ39" s="20"/>
      <c r="TK39" s="20"/>
      <c r="TL39" s="20"/>
      <c r="TM39" s="20"/>
      <c r="TN39" s="20"/>
      <c r="TO39" s="20"/>
      <c r="TP39" s="20"/>
      <c r="TQ39" s="20"/>
      <c r="TR39" s="20"/>
      <c r="TS39" s="20"/>
      <c r="TT39" s="20"/>
      <c r="TU39" s="20"/>
      <c r="TV39" s="20"/>
      <c r="TW39" s="20"/>
      <c r="TX39" s="20"/>
      <c r="TY39" s="20"/>
      <c r="TZ39" s="20"/>
      <c r="UA39" s="20"/>
      <c r="UB39" s="20"/>
      <c r="UC39" s="20"/>
      <c r="UD39" s="20"/>
      <c r="UE39" s="20"/>
      <c r="UF39" s="20"/>
      <c r="UG39" s="20"/>
      <c r="UH39" s="20"/>
      <c r="UI39" s="20"/>
      <c r="UJ39" s="20"/>
      <c r="UK39" s="20"/>
      <c r="UL39" s="20"/>
      <c r="UM39" s="20"/>
      <c r="UN39" s="20"/>
      <c r="UO39" s="20"/>
      <c r="UP39" s="20"/>
      <c r="UQ39" s="20"/>
      <c r="UR39" s="20"/>
      <c r="US39" s="20"/>
      <c r="UT39" s="20"/>
      <c r="UU39" s="20"/>
      <c r="UV39" s="20"/>
      <c r="UW39" s="20"/>
      <c r="UX39" s="20"/>
      <c r="UY39" s="20"/>
      <c r="UZ39" s="20"/>
      <c r="VA39" s="20"/>
      <c r="VB39" s="20"/>
      <c r="VC39" s="20"/>
      <c r="VD39" s="20"/>
      <c r="VE39" s="20"/>
      <c r="VF39" s="20"/>
      <c r="VG39" s="20"/>
      <c r="VH39" s="20"/>
      <c r="VI39" s="20"/>
      <c r="VJ39" s="20"/>
      <c r="VK39" s="20"/>
      <c r="VL39" s="20"/>
      <c r="VM39" s="20"/>
      <c r="VN39" s="20"/>
      <c r="VO39" s="20"/>
      <c r="VP39" s="20"/>
      <c r="VQ39" s="20"/>
      <c r="VR39" s="20"/>
      <c r="VS39" s="20"/>
      <c r="VT39" s="20"/>
      <c r="VU39" s="20"/>
      <c r="VV39" s="20"/>
      <c r="VW39" s="20"/>
      <c r="VX39" s="20"/>
      <c r="VY39" s="20"/>
      <c r="VZ39" s="20"/>
      <c r="WA39" s="20"/>
      <c r="WB39" s="20"/>
      <c r="WC39" s="20"/>
      <c r="WD39" s="20"/>
      <c r="WE39" s="20"/>
      <c r="WF39" s="20"/>
      <c r="WG39" s="20"/>
      <c r="WH39" s="20"/>
      <c r="WI39" s="20"/>
      <c r="WJ39" s="20"/>
      <c r="WK39" s="20"/>
      <c r="WL39" s="20"/>
      <c r="WM39" s="20"/>
      <c r="WN39" s="20"/>
      <c r="WO39" s="20"/>
      <c r="WP39" s="20"/>
      <c r="WQ39" s="20"/>
      <c r="WR39" s="20"/>
      <c r="WS39" s="20"/>
      <c r="WT39" s="20"/>
      <c r="WU39" s="20"/>
      <c r="WV39" s="20"/>
      <c r="WW39" s="20"/>
      <c r="WX39" s="20"/>
      <c r="WY39" s="20"/>
      <c r="WZ39" s="20"/>
      <c r="XA39" s="20"/>
      <c r="XB39" s="20"/>
      <c r="XC39" s="20"/>
      <c r="XD39" s="20"/>
      <c r="XE39" s="20"/>
      <c r="XF39" s="20"/>
      <c r="XG39" s="20"/>
      <c r="XH39" s="20"/>
      <c r="XI39" s="20"/>
      <c r="XJ39" s="20"/>
      <c r="XK39" s="20"/>
      <c r="XL39" s="20"/>
      <c r="XM39" s="20"/>
      <c r="XN39" s="20"/>
      <c r="XO39" s="20"/>
      <c r="XP39" s="20"/>
      <c r="XQ39" s="20"/>
      <c r="XR39" s="20"/>
      <c r="XS39" s="20"/>
      <c r="XT39" s="20"/>
      <c r="XU39" s="20"/>
      <c r="XV39" s="20"/>
      <c r="XW39" s="20"/>
      <c r="XX39" s="20"/>
      <c r="XY39" s="20"/>
      <c r="XZ39" s="20"/>
      <c r="YA39" s="20"/>
      <c r="YB39" s="20"/>
      <c r="YC39" s="20"/>
      <c r="YD39" s="20"/>
      <c r="YE39" s="20"/>
      <c r="YF39" s="20"/>
      <c r="YG39" s="20"/>
      <c r="YH39" s="20"/>
      <c r="YI39" s="20"/>
      <c r="YJ39" s="20"/>
      <c r="YK39" s="20"/>
      <c r="YL39" s="20"/>
      <c r="YM39" s="20"/>
      <c r="YN39" s="20"/>
      <c r="YO39" s="20"/>
      <c r="YP39" s="20"/>
      <c r="YQ39" s="20"/>
      <c r="YR39" s="20"/>
      <c r="YS39" s="20"/>
      <c r="YT39" s="20"/>
      <c r="YU39" s="20"/>
      <c r="YV39" s="20"/>
      <c r="YW39" s="20"/>
      <c r="YX39" s="20"/>
      <c r="YY39" s="20"/>
      <c r="YZ39" s="20"/>
      <c r="ZA39" s="20"/>
      <c r="ZB39" s="20"/>
      <c r="ZC39" s="20"/>
      <c r="ZD39" s="20"/>
      <c r="ZE39" s="20"/>
      <c r="ZF39" s="20"/>
      <c r="ZG39" s="20"/>
      <c r="ZH39" s="20"/>
      <c r="ZI39" s="20"/>
      <c r="ZJ39" s="20"/>
      <c r="ZK39" s="20"/>
      <c r="ZL39" s="20"/>
      <c r="ZM39" s="20"/>
      <c r="ZN39" s="20"/>
      <c r="ZO39" s="20"/>
      <c r="ZP39" s="20"/>
      <c r="ZQ39" s="20"/>
      <c r="ZR39" s="20"/>
      <c r="ZS39" s="20"/>
      <c r="ZT39" s="20"/>
      <c r="ZU39" s="20"/>
      <c r="ZV39" s="20"/>
      <c r="ZW39" s="20"/>
      <c r="ZX39" s="20"/>
      <c r="ZY39" s="20"/>
      <c r="ZZ39" s="20"/>
      <c r="AAA39" s="20"/>
      <c r="AAB39" s="20"/>
      <c r="AAC39" s="20"/>
      <c r="AAD39" s="20"/>
      <c r="AAE39" s="20"/>
      <c r="AAF39" s="20"/>
    </row>
    <row r="40" spans="1:708" ht="141" customHeight="1" x14ac:dyDescent="0.25">
      <c r="A40" s="90" t="s">
        <v>43</v>
      </c>
      <c r="B40" s="90" t="s">
        <v>44</v>
      </c>
      <c r="C40" s="90" t="s">
        <v>45</v>
      </c>
      <c r="D40" s="90" t="s">
        <v>46</v>
      </c>
      <c r="E40" s="90" t="s">
        <v>71</v>
      </c>
      <c r="F40" s="90" t="s">
        <v>48</v>
      </c>
      <c r="G40" s="90" t="s">
        <v>49</v>
      </c>
      <c r="H40" s="90" t="s">
        <v>50</v>
      </c>
      <c r="I40" s="90" t="s">
        <v>51</v>
      </c>
      <c r="J40" s="524" t="s">
        <v>1296</v>
      </c>
      <c r="K40" s="524" t="s">
        <v>361</v>
      </c>
      <c r="L40" s="524" t="s">
        <v>368</v>
      </c>
      <c r="M40" s="524" t="s">
        <v>369</v>
      </c>
      <c r="N40" s="524" t="s">
        <v>74</v>
      </c>
      <c r="O40" s="524"/>
      <c r="P40" s="545">
        <v>0.95</v>
      </c>
      <c r="Q40" s="659"/>
      <c r="R40" s="659"/>
      <c r="S40" s="659"/>
      <c r="T40" s="659"/>
      <c r="U40" s="659"/>
      <c r="V40" s="536">
        <v>133727956</v>
      </c>
      <c r="W40" s="1010"/>
      <c r="X40" s="524" t="s">
        <v>364</v>
      </c>
      <c r="Y40" s="549">
        <f>5/30</f>
        <v>0.16666666666666666</v>
      </c>
      <c r="Z40" s="117">
        <f>+P40</f>
        <v>0.95</v>
      </c>
      <c r="AA40" s="549">
        <f>+Y40/Z40</f>
        <v>0.17543859649122806</v>
      </c>
      <c r="AB40" s="524" t="s">
        <v>370</v>
      </c>
      <c r="AC40" s="666"/>
      <c r="AD40" s="667"/>
      <c r="AE40" s="667"/>
      <c r="AF40" s="668"/>
      <c r="AG40" s="538">
        <v>0.66666666666666663</v>
      </c>
      <c r="AH40" s="118">
        <v>0.95</v>
      </c>
      <c r="AI40" s="538">
        <v>0.70175438596491224</v>
      </c>
      <c r="AJ40" s="539" t="s">
        <v>371</v>
      </c>
      <c r="AK40" s="669"/>
      <c r="AL40" s="670"/>
      <c r="AM40" s="670"/>
      <c r="AN40" s="671"/>
      <c r="AO40" s="538">
        <f>(14/18)</f>
        <v>0.77777777777777779</v>
      </c>
      <c r="AP40" s="118">
        <v>0.95</v>
      </c>
      <c r="AQ40" s="538">
        <f>+AO40/AP40</f>
        <v>0.81871345029239773</v>
      </c>
      <c r="AR40" s="539" t="s">
        <v>372</v>
      </c>
      <c r="AS40" s="666"/>
      <c r="AT40" s="667"/>
      <c r="AU40" s="667"/>
      <c r="AV40" s="668"/>
      <c r="AW40" s="538">
        <f>(18/20)</f>
        <v>0.9</v>
      </c>
      <c r="AX40" s="118">
        <f>+P40</f>
        <v>0.95</v>
      </c>
      <c r="AY40" s="538">
        <f>+AW40/AX40</f>
        <v>0.94736842105263164</v>
      </c>
      <c r="AZ40" s="539" t="s">
        <v>1404</v>
      </c>
      <c r="BA40" s="669"/>
      <c r="BB40" s="670"/>
      <c r="BC40" s="670"/>
      <c r="BD40" s="671"/>
      <c r="BE40" s="538">
        <f>(22/23)</f>
        <v>0.95652173913043481</v>
      </c>
      <c r="BF40" s="118">
        <v>0.95</v>
      </c>
      <c r="BG40" s="538">
        <f>+BE40/BF40</f>
        <v>1.0068649885583525</v>
      </c>
      <c r="BH40" s="539" t="s">
        <v>1405</v>
      </c>
      <c r="BI40" s="666"/>
      <c r="BJ40" s="667"/>
      <c r="BK40" s="667"/>
      <c r="BL40" s="668"/>
      <c r="BM40" s="538">
        <f>(27/28)</f>
        <v>0.9642857142857143</v>
      </c>
      <c r="BN40" s="118">
        <v>0.95</v>
      </c>
      <c r="BO40" s="538">
        <f>+BM40/BN40</f>
        <v>1.0150375939849625</v>
      </c>
      <c r="BP40" s="539" t="s">
        <v>1406</v>
      </c>
      <c r="BQ40" s="669"/>
      <c r="BR40" s="670"/>
      <c r="BS40" s="670"/>
      <c r="BT40" s="671"/>
    </row>
    <row r="41" spans="1:708" s="21" customFormat="1" ht="70.5" customHeight="1" x14ac:dyDescent="0.25">
      <c r="A41" s="52"/>
      <c r="B41" s="52"/>
      <c r="C41" s="52"/>
      <c r="D41" s="52"/>
      <c r="E41" s="52"/>
      <c r="F41" s="52"/>
      <c r="G41" s="52"/>
      <c r="H41" s="52"/>
      <c r="I41" s="52"/>
      <c r="J41" s="52"/>
      <c r="K41" s="52"/>
      <c r="L41" s="52"/>
      <c r="M41" s="52"/>
      <c r="N41" s="52"/>
      <c r="O41" s="52"/>
      <c r="P41" s="53"/>
      <c r="Q41" s="52"/>
      <c r="R41" s="52"/>
      <c r="S41" s="53"/>
      <c r="T41" s="52"/>
      <c r="U41" s="52"/>
      <c r="V41" s="89"/>
      <c r="W41" s="89"/>
      <c r="X41" s="52"/>
      <c r="Y41" s="657" t="s">
        <v>99</v>
      </c>
      <c r="Z41" s="657"/>
      <c r="AA41" s="55">
        <f>AVERAGE(AA40:AA40)</f>
        <v>0.17543859649122806</v>
      </c>
      <c r="AB41" s="56"/>
      <c r="AC41" s="657" t="s">
        <v>100</v>
      </c>
      <c r="AD41" s="657"/>
      <c r="AE41" s="57" t="s">
        <v>283</v>
      </c>
      <c r="AF41" s="53"/>
      <c r="AG41" s="658" t="s">
        <v>99</v>
      </c>
      <c r="AH41" s="658"/>
      <c r="AI41" s="55">
        <f>AVERAGE(AI40:AI40)</f>
        <v>0.70175438596491224</v>
      </c>
      <c r="AJ41" s="60"/>
      <c r="AK41" s="658" t="s">
        <v>100</v>
      </c>
      <c r="AL41" s="658"/>
      <c r="AM41" s="61" t="s">
        <v>283</v>
      </c>
      <c r="AN41" s="127"/>
      <c r="AO41" s="657" t="s">
        <v>99</v>
      </c>
      <c r="AP41" s="657"/>
      <c r="AQ41" s="55">
        <f>AVERAGE(AQ40:AQ40)</f>
        <v>0.81871345029239773</v>
      </c>
      <c r="AR41" s="56"/>
      <c r="AS41" s="657" t="s">
        <v>100</v>
      </c>
      <c r="AT41" s="657"/>
      <c r="AU41" s="57" t="s">
        <v>283</v>
      </c>
      <c r="AV41" s="53"/>
      <c r="AW41" s="658" t="s">
        <v>99</v>
      </c>
      <c r="AX41" s="658"/>
      <c r="AY41" s="59">
        <f>AVERAGE(AY40:AY40)</f>
        <v>0.94736842105263164</v>
      </c>
      <c r="AZ41" s="60"/>
      <c r="BA41" s="658" t="s">
        <v>100</v>
      </c>
      <c r="BB41" s="658"/>
      <c r="BC41" s="61" t="s">
        <v>283</v>
      </c>
      <c r="BD41" s="127"/>
      <c r="BE41" s="658" t="s">
        <v>99</v>
      </c>
      <c r="BF41" s="658"/>
      <c r="BG41" s="59">
        <f>AVERAGE(BG40:BG40)</f>
        <v>1.0068649885583525</v>
      </c>
      <c r="BH41" s="60"/>
      <c r="BI41" s="657" t="s">
        <v>100</v>
      </c>
      <c r="BJ41" s="657"/>
      <c r="BK41" s="57" t="s">
        <v>283</v>
      </c>
      <c r="BL41" s="53"/>
      <c r="BM41" s="658" t="s">
        <v>99</v>
      </c>
      <c r="BN41" s="658"/>
      <c r="BO41" s="59">
        <f>AVERAGE(BO40:BO40)</f>
        <v>1.0150375939849625</v>
      </c>
      <c r="BP41" s="60"/>
      <c r="BQ41" s="658" t="s">
        <v>100</v>
      </c>
      <c r="BR41" s="658"/>
      <c r="BS41" s="61" t="s">
        <v>283</v>
      </c>
      <c r="BT41" s="127"/>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c r="IN41" s="20"/>
      <c r="IO41" s="20"/>
      <c r="IP41" s="20"/>
      <c r="IQ41" s="20"/>
      <c r="IR41" s="20"/>
      <c r="IS41" s="20"/>
      <c r="IT41" s="20"/>
      <c r="IU41" s="20"/>
      <c r="IV41" s="20"/>
      <c r="IW41" s="20"/>
      <c r="IX41" s="20"/>
      <c r="IY41" s="20"/>
      <c r="IZ41" s="20"/>
      <c r="JA41" s="20"/>
      <c r="JB41" s="20"/>
      <c r="JC41" s="20"/>
      <c r="JD41" s="20"/>
      <c r="JE41" s="20"/>
      <c r="JF41" s="20"/>
      <c r="JG41" s="20"/>
      <c r="JH41" s="20"/>
      <c r="JI41" s="20"/>
      <c r="JJ41" s="20"/>
      <c r="JK41" s="20"/>
      <c r="JL41" s="20"/>
      <c r="JM41" s="20"/>
      <c r="JN41" s="20"/>
      <c r="JO41" s="20"/>
      <c r="JP41" s="20"/>
      <c r="JQ41" s="20"/>
      <c r="JR41" s="20"/>
      <c r="JS41" s="20"/>
      <c r="JT41" s="20"/>
      <c r="JU41" s="20"/>
      <c r="JV41" s="20"/>
      <c r="JW41" s="20"/>
      <c r="JX41" s="20"/>
      <c r="JY41" s="20"/>
      <c r="JZ41" s="20"/>
      <c r="KA41" s="20"/>
      <c r="KB41" s="20"/>
      <c r="KC41" s="20"/>
      <c r="KD41" s="20"/>
      <c r="KE41" s="20"/>
      <c r="KF41" s="20"/>
      <c r="KG41" s="20"/>
      <c r="KH41" s="20"/>
      <c r="KI41" s="20"/>
      <c r="KJ41" s="20"/>
      <c r="KK41" s="20"/>
      <c r="KL41" s="20"/>
      <c r="KM41" s="20"/>
      <c r="KN41" s="20"/>
      <c r="KO41" s="20"/>
      <c r="KP41" s="20"/>
      <c r="KQ41" s="20"/>
      <c r="KR41" s="20"/>
      <c r="KS41" s="20"/>
      <c r="KT41" s="20"/>
      <c r="KU41" s="20"/>
      <c r="KV41" s="20"/>
      <c r="KW41" s="20"/>
      <c r="KX41" s="20"/>
      <c r="KY41" s="20"/>
      <c r="KZ41" s="20"/>
      <c r="LA41" s="20"/>
      <c r="LB41" s="20"/>
      <c r="LC41" s="20"/>
      <c r="LD41" s="20"/>
      <c r="LE41" s="20"/>
      <c r="LF41" s="20"/>
      <c r="LG41" s="20"/>
      <c r="LH41" s="20"/>
      <c r="LI41" s="20"/>
      <c r="LJ41" s="20"/>
      <c r="LK41" s="20"/>
      <c r="LL41" s="20"/>
      <c r="LM41" s="20"/>
      <c r="LN41" s="20"/>
      <c r="LO41" s="20"/>
      <c r="LP41" s="20"/>
      <c r="LQ41" s="20"/>
      <c r="LR41" s="20"/>
      <c r="LS41" s="20"/>
      <c r="LT41" s="20"/>
      <c r="LU41" s="20"/>
      <c r="LV41" s="20"/>
      <c r="LW41" s="20"/>
      <c r="LX41" s="20"/>
      <c r="LY41" s="20"/>
      <c r="LZ41" s="20"/>
      <c r="MA41" s="20"/>
      <c r="MB41" s="20"/>
      <c r="MC41" s="20"/>
      <c r="MD41" s="20"/>
      <c r="ME41" s="20"/>
      <c r="MF41" s="20"/>
      <c r="MG41" s="20"/>
      <c r="MH41" s="20"/>
      <c r="MI41" s="20"/>
      <c r="MJ41" s="20"/>
      <c r="MK41" s="20"/>
      <c r="ML41" s="20"/>
      <c r="MM41" s="20"/>
      <c r="MN41" s="20"/>
      <c r="MO41" s="20"/>
      <c r="MP41" s="20"/>
      <c r="MQ41" s="20"/>
      <c r="MR41" s="20"/>
      <c r="MS41" s="20"/>
      <c r="MT41" s="20"/>
      <c r="MU41" s="20"/>
      <c r="MV41" s="20"/>
      <c r="MW41" s="20"/>
      <c r="MX41" s="20"/>
      <c r="MY41" s="20"/>
      <c r="MZ41" s="20"/>
      <c r="NA41" s="20"/>
      <c r="NB41" s="20"/>
      <c r="NC41" s="20"/>
      <c r="ND41" s="20"/>
      <c r="NE41" s="20"/>
      <c r="NF41" s="20"/>
      <c r="NG41" s="20"/>
      <c r="NH41" s="20"/>
      <c r="NI41" s="20"/>
      <c r="NJ41" s="20"/>
      <c r="NK41" s="20"/>
      <c r="NL41" s="20"/>
      <c r="NM41" s="20"/>
      <c r="NN41" s="20"/>
      <c r="NO41" s="20"/>
      <c r="NP41" s="20"/>
      <c r="NQ41" s="20"/>
      <c r="NR41" s="20"/>
      <c r="NS41" s="20"/>
      <c r="NT41" s="20"/>
      <c r="NU41" s="20"/>
      <c r="NV41" s="20"/>
      <c r="NW41" s="20"/>
      <c r="NX41" s="20"/>
      <c r="NY41" s="20"/>
      <c r="NZ41" s="20"/>
      <c r="OA41" s="20"/>
      <c r="OB41" s="20"/>
      <c r="OC41" s="20"/>
      <c r="OD41" s="20"/>
      <c r="OE41" s="20"/>
      <c r="OF41" s="20"/>
      <c r="OG41" s="20"/>
      <c r="OH41" s="20"/>
      <c r="OI41" s="20"/>
      <c r="OJ41" s="20"/>
      <c r="OK41" s="20"/>
      <c r="OL41" s="20"/>
      <c r="OM41" s="20"/>
      <c r="ON41" s="20"/>
      <c r="OO41" s="20"/>
      <c r="OP41" s="20"/>
      <c r="OQ41" s="20"/>
      <c r="OR41" s="20"/>
      <c r="OS41" s="20"/>
      <c r="OT41" s="20"/>
      <c r="OU41" s="20"/>
      <c r="OV41" s="20"/>
      <c r="OW41" s="20"/>
      <c r="OX41" s="20"/>
      <c r="OY41" s="20"/>
      <c r="OZ41" s="20"/>
      <c r="PA41" s="20"/>
      <c r="PB41" s="20"/>
      <c r="PC41" s="20"/>
      <c r="PD41" s="20"/>
      <c r="PE41" s="20"/>
      <c r="PF41" s="20"/>
      <c r="PG41" s="20"/>
      <c r="PH41" s="20"/>
      <c r="PI41" s="20"/>
      <c r="PJ41" s="20"/>
      <c r="PK41" s="20"/>
      <c r="PL41" s="20"/>
      <c r="PM41" s="20"/>
      <c r="PN41" s="20"/>
      <c r="PO41" s="20"/>
      <c r="PP41" s="20"/>
      <c r="PQ41" s="20"/>
      <c r="PR41" s="20"/>
      <c r="PS41" s="20"/>
      <c r="PT41" s="20"/>
      <c r="PU41" s="20"/>
      <c r="PV41" s="20"/>
      <c r="PW41" s="20"/>
      <c r="PX41" s="20"/>
      <c r="PY41" s="20"/>
      <c r="PZ41" s="20"/>
      <c r="QA41" s="20"/>
      <c r="QB41" s="20"/>
      <c r="QC41" s="20"/>
      <c r="QD41" s="20"/>
      <c r="QE41" s="20"/>
      <c r="QF41" s="20"/>
      <c r="QG41" s="20"/>
      <c r="QH41" s="20"/>
      <c r="QI41" s="20"/>
      <c r="QJ41" s="20"/>
      <c r="QK41" s="20"/>
      <c r="QL41" s="20"/>
      <c r="QM41" s="20"/>
      <c r="QN41" s="20"/>
      <c r="QO41" s="20"/>
      <c r="QP41" s="20"/>
      <c r="QQ41" s="20"/>
      <c r="QR41" s="20"/>
      <c r="QS41" s="20"/>
      <c r="QT41" s="20"/>
      <c r="QU41" s="20"/>
      <c r="QV41" s="20"/>
      <c r="QW41" s="20"/>
      <c r="QX41" s="20"/>
      <c r="QY41" s="20"/>
      <c r="QZ41" s="20"/>
      <c r="RA41" s="20"/>
      <c r="RB41" s="20"/>
      <c r="RC41" s="20"/>
      <c r="RD41" s="20"/>
      <c r="RE41" s="20"/>
      <c r="RF41" s="20"/>
      <c r="RG41" s="20"/>
      <c r="RH41" s="20"/>
      <c r="RI41" s="20"/>
      <c r="RJ41" s="20"/>
      <c r="RK41" s="20"/>
      <c r="RL41" s="20"/>
      <c r="RM41" s="20"/>
      <c r="RN41" s="20"/>
      <c r="RO41" s="20"/>
      <c r="RP41" s="20"/>
      <c r="RQ41" s="20"/>
      <c r="RR41" s="20"/>
      <c r="RS41" s="20"/>
      <c r="RT41" s="20"/>
      <c r="RU41" s="20"/>
      <c r="RV41" s="20"/>
      <c r="RW41" s="20"/>
      <c r="RX41" s="20"/>
      <c r="RY41" s="20"/>
      <c r="RZ41" s="20"/>
      <c r="SA41" s="20"/>
      <c r="SB41" s="20"/>
      <c r="SC41" s="20"/>
      <c r="SD41" s="20"/>
      <c r="SE41" s="20"/>
      <c r="SF41" s="20"/>
      <c r="SG41" s="20"/>
      <c r="SH41" s="20"/>
      <c r="SI41" s="20"/>
      <c r="SJ41" s="20"/>
      <c r="SK41" s="20"/>
      <c r="SL41" s="20"/>
      <c r="SM41" s="20"/>
      <c r="SN41" s="20"/>
      <c r="SO41" s="20"/>
      <c r="SP41" s="20"/>
      <c r="SQ41" s="20"/>
      <c r="SR41" s="20"/>
      <c r="SS41" s="20"/>
      <c r="ST41" s="20"/>
      <c r="SU41" s="20"/>
      <c r="SV41" s="20"/>
      <c r="SW41" s="20"/>
      <c r="SX41" s="20"/>
      <c r="SY41" s="20"/>
      <c r="SZ41" s="20"/>
      <c r="TA41" s="20"/>
      <c r="TB41" s="20"/>
      <c r="TC41" s="20"/>
      <c r="TD41" s="20"/>
      <c r="TE41" s="20"/>
      <c r="TF41" s="20"/>
      <c r="TG41" s="20"/>
      <c r="TH41" s="20"/>
      <c r="TI41" s="20"/>
      <c r="TJ41" s="20"/>
      <c r="TK41" s="20"/>
      <c r="TL41" s="20"/>
      <c r="TM41" s="20"/>
      <c r="TN41" s="20"/>
      <c r="TO41" s="20"/>
      <c r="TP41" s="20"/>
      <c r="TQ41" s="20"/>
      <c r="TR41" s="20"/>
      <c r="TS41" s="20"/>
      <c r="TT41" s="20"/>
      <c r="TU41" s="20"/>
      <c r="TV41" s="20"/>
      <c r="TW41" s="20"/>
      <c r="TX41" s="20"/>
      <c r="TY41" s="20"/>
      <c r="TZ41" s="20"/>
      <c r="UA41" s="20"/>
      <c r="UB41" s="20"/>
      <c r="UC41" s="20"/>
      <c r="UD41" s="20"/>
      <c r="UE41" s="20"/>
      <c r="UF41" s="20"/>
      <c r="UG41" s="20"/>
      <c r="UH41" s="20"/>
      <c r="UI41" s="20"/>
      <c r="UJ41" s="20"/>
      <c r="UK41" s="20"/>
      <c r="UL41" s="20"/>
      <c r="UM41" s="20"/>
      <c r="UN41" s="20"/>
      <c r="UO41" s="20"/>
      <c r="UP41" s="20"/>
      <c r="UQ41" s="20"/>
      <c r="UR41" s="20"/>
      <c r="US41" s="20"/>
      <c r="UT41" s="20"/>
      <c r="UU41" s="20"/>
      <c r="UV41" s="20"/>
      <c r="UW41" s="20"/>
      <c r="UX41" s="20"/>
      <c r="UY41" s="20"/>
      <c r="UZ41" s="20"/>
      <c r="VA41" s="20"/>
      <c r="VB41" s="20"/>
      <c r="VC41" s="20"/>
      <c r="VD41" s="20"/>
      <c r="VE41" s="20"/>
      <c r="VF41" s="20"/>
      <c r="VG41" s="20"/>
      <c r="VH41" s="20"/>
      <c r="VI41" s="20"/>
      <c r="VJ41" s="20"/>
      <c r="VK41" s="20"/>
      <c r="VL41" s="20"/>
      <c r="VM41" s="20"/>
      <c r="VN41" s="20"/>
      <c r="VO41" s="20"/>
      <c r="VP41" s="20"/>
      <c r="VQ41" s="20"/>
      <c r="VR41" s="20"/>
      <c r="VS41" s="20"/>
      <c r="VT41" s="20"/>
      <c r="VU41" s="20"/>
      <c r="VV41" s="20"/>
      <c r="VW41" s="20"/>
      <c r="VX41" s="20"/>
      <c r="VY41" s="20"/>
      <c r="VZ41" s="20"/>
      <c r="WA41" s="20"/>
      <c r="WB41" s="20"/>
      <c r="WC41" s="20"/>
      <c r="WD41" s="20"/>
      <c r="WE41" s="20"/>
      <c r="WF41" s="20"/>
      <c r="WG41" s="20"/>
      <c r="WH41" s="20"/>
      <c r="WI41" s="20"/>
      <c r="WJ41" s="20"/>
      <c r="WK41" s="20"/>
      <c r="WL41" s="20"/>
      <c r="WM41" s="20"/>
      <c r="WN41" s="20"/>
      <c r="WO41" s="20"/>
      <c r="WP41" s="20"/>
      <c r="WQ41" s="20"/>
      <c r="WR41" s="20"/>
      <c r="WS41" s="20"/>
      <c r="WT41" s="20"/>
      <c r="WU41" s="20"/>
      <c r="WV41" s="20"/>
      <c r="WW41" s="20"/>
      <c r="WX41" s="20"/>
      <c r="WY41" s="20"/>
      <c r="WZ41" s="20"/>
      <c r="XA41" s="20"/>
      <c r="XB41" s="20"/>
      <c r="XC41" s="20"/>
      <c r="XD41" s="20"/>
      <c r="XE41" s="20"/>
      <c r="XF41" s="20"/>
      <c r="XG41" s="20"/>
      <c r="XH41" s="20"/>
      <c r="XI41" s="20"/>
      <c r="XJ41" s="20"/>
      <c r="XK41" s="20"/>
      <c r="XL41" s="20"/>
      <c r="XM41" s="20"/>
      <c r="XN41" s="20"/>
      <c r="XO41" s="20"/>
      <c r="XP41" s="20"/>
      <c r="XQ41" s="20"/>
      <c r="XR41" s="20"/>
      <c r="XS41" s="20"/>
      <c r="XT41" s="20"/>
      <c r="XU41" s="20"/>
      <c r="XV41" s="20"/>
      <c r="XW41" s="20"/>
      <c r="XX41" s="20"/>
      <c r="XY41" s="20"/>
      <c r="XZ41" s="20"/>
      <c r="YA41" s="20"/>
      <c r="YB41" s="20"/>
      <c r="YC41" s="20"/>
      <c r="YD41" s="20"/>
      <c r="YE41" s="20"/>
      <c r="YF41" s="20"/>
      <c r="YG41" s="20"/>
      <c r="YH41" s="20"/>
      <c r="YI41" s="20"/>
      <c r="YJ41" s="20"/>
      <c r="YK41" s="20"/>
      <c r="YL41" s="20"/>
      <c r="YM41" s="20"/>
      <c r="YN41" s="20"/>
      <c r="YO41" s="20"/>
      <c r="YP41" s="20"/>
      <c r="YQ41" s="20"/>
      <c r="YR41" s="20"/>
      <c r="YS41" s="20"/>
      <c r="YT41" s="20"/>
      <c r="YU41" s="20"/>
      <c r="YV41" s="20"/>
      <c r="YW41" s="20"/>
      <c r="YX41" s="20"/>
      <c r="YY41" s="20"/>
      <c r="YZ41" s="20"/>
      <c r="ZA41" s="20"/>
      <c r="ZB41" s="20"/>
      <c r="ZC41" s="20"/>
      <c r="ZD41" s="20"/>
      <c r="ZE41" s="20"/>
      <c r="ZF41" s="20"/>
      <c r="ZG41" s="20"/>
      <c r="ZH41" s="20"/>
      <c r="ZI41" s="20"/>
      <c r="ZJ41" s="20"/>
      <c r="ZK41" s="20"/>
      <c r="ZL41" s="20"/>
      <c r="ZM41" s="20"/>
      <c r="ZN41" s="20"/>
      <c r="ZO41" s="20"/>
      <c r="ZP41" s="20"/>
      <c r="ZQ41" s="20"/>
      <c r="ZR41" s="20"/>
      <c r="ZS41" s="20"/>
      <c r="ZT41" s="20"/>
      <c r="ZU41" s="20"/>
      <c r="ZV41" s="20"/>
      <c r="ZW41" s="20"/>
      <c r="ZX41" s="20"/>
      <c r="ZY41" s="20"/>
      <c r="ZZ41" s="20"/>
      <c r="AAA41" s="20"/>
      <c r="AAB41" s="20"/>
      <c r="AAC41" s="20"/>
      <c r="AAD41" s="20"/>
      <c r="AAE41" s="20"/>
      <c r="AAF41" s="20"/>
    </row>
    <row r="42" spans="1:708" ht="22.5" customHeight="1" x14ac:dyDescent="0.25">
      <c r="A42" s="128"/>
      <c r="B42" s="128"/>
      <c r="C42" s="128"/>
      <c r="D42" s="128"/>
      <c r="E42" s="128"/>
      <c r="F42" s="128"/>
      <c r="G42" s="128"/>
      <c r="H42" s="128"/>
      <c r="I42" s="128"/>
      <c r="J42" s="128"/>
      <c r="K42" s="128"/>
      <c r="L42" s="128"/>
      <c r="M42" s="128"/>
      <c r="N42" s="128"/>
      <c r="O42" s="128"/>
      <c r="P42" s="128"/>
      <c r="Q42" s="128"/>
      <c r="R42" s="128"/>
      <c r="S42" s="129"/>
      <c r="T42" s="128"/>
      <c r="U42" s="128"/>
      <c r="V42" s="130"/>
      <c r="W42" s="130"/>
      <c r="X42" s="128"/>
      <c r="Y42" s="128"/>
      <c r="Z42" s="128"/>
      <c r="AA42" s="128"/>
      <c r="AB42" s="128"/>
      <c r="AC42" s="128"/>
      <c r="AD42" s="128"/>
      <c r="AE42" s="128"/>
      <c r="AF42" s="129"/>
      <c r="AG42" s="131"/>
      <c r="AH42" s="131"/>
      <c r="AI42" s="131"/>
      <c r="AJ42" s="131"/>
      <c r="AK42" s="131"/>
      <c r="AL42" s="131"/>
      <c r="AM42" s="131"/>
      <c r="AN42" s="132"/>
      <c r="AO42" s="128"/>
      <c r="AP42" s="128"/>
      <c r="AQ42" s="128"/>
      <c r="AR42" s="128"/>
      <c r="AS42" s="128"/>
      <c r="AT42" s="128"/>
      <c r="AU42" s="128"/>
      <c r="AV42" s="129"/>
      <c r="AW42" s="131"/>
      <c r="AX42" s="131"/>
      <c r="AY42" s="131"/>
      <c r="AZ42" s="131"/>
      <c r="BA42" s="131"/>
      <c r="BB42" s="131"/>
      <c r="BC42" s="131"/>
      <c r="BD42" s="132"/>
      <c r="BI42" s="128"/>
      <c r="BJ42" s="128"/>
      <c r="BK42" s="128"/>
      <c r="BL42" s="129"/>
      <c r="BM42" s="131"/>
      <c r="BN42" s="131"/>
      <c r="BO42" s="131"/>
      <c r="BP42" s="131"/>
      <c r="BQ42" s="131"/>
      <c r="BR42" s="131"/>
      <c r="BS42" s="131"/>
      <c r="BT42" s="131"/>
    </row>
    <row r="43" spans="1:708" ht="69.75" customHeight="1" x14ac:dyDescent="0.25">
      <c r="A43" s="20"/>
      <c r="B43" s="20"/>
      <c r="C43" s="20"/>
      <c r="D43" s="20"/>
      <c r="E43" s="20"/>
      <c r="F43" s="20"/>
      <c r="G43" s="20"/>
      <c r="H43" s="20"/>
      <c r="I43" s="20"/>
      <c r="J43" s="20"/>
      <c r="K43" s="20"/>
      <c r="L43" s="20"/>
      <c r="M43" s="20"/>
      <c r="N43" s="20"/>
      <c r="O43" s="20"/>
      <c r="P43" s="20"/>
      <c r="Q43" s="20"/>
      <c r="R43" s="20"/>
      <c r="S43" s="1"/>
      <c r="T43" s="20"/>
      <c r="U43" s="20"/>
      <c r="V43" s="133"/>
      <c r="W43" s="133"/>
      <c r="Y43" s="657" t="s">
        <v>373</v>
      </c>
      <c r="Z43" s="657"/>
      <c r="AA43" s="55">
        <f>AVERAGE(AA10,AA15,AA20,AA25,AA30,AA35,AA37,AA39,AA41)</f>
        <v>0.43878062650746752</v>
      </c>
      <c r="AC43" s="657" t="s">
        <v>374</v>
      </c>
      <c r="AD43" s="657"/>
      <c r="AE43" s="55">
        <f>AVERAGE(AE10,AE15,AE20,AE25,AE30,AE35)</f>
        <v>0.23547515210311065</v>
      </c>
      <c r="AG43" s="658" t="s">
        <v>373</v>
      </c>
      <c r="AH43" s="658"/>
      <c r="AI43" s="55">
        <f>AVERAGE(AI10,AI15,AI20,AI25,AI30,AI35,AI37,AI39,AI41)</f>
        <v>0.58482649424577282</v>
      </c>
      <c r="AJ43" s="135"/>
      <c r="AK43" s="658" t="s">
        <v>374</v>
      </c>
      <c r="AL43" s="658"/>
      <c r="AM43" s="55">
        <f>AVERAGE(AM10,AM15,AM20,AM25,AM30,AM35)</f>
        <v>0.36058272542002229</v>
      </c>
      <c r="AN43" s="136"/>
      <c r="AO43" s="657" t="s">
        <v>373</v>
      </c>
      <c r="AP43" s="657"/>
      <c r="AQ43" s="55">
        <f>AVERAGE(AQ10,AQ15,AQ20,AQ25,AQ30,AQ35,AQ37,AQ39,AQ41)</f>
        <v>0.63566203971535784</v>
      </c>
      <c r="AS43" s="657" t="s">
        <v>374</v>
      </c>
      <c r="AT43" s="657"/>
      <c r="AU43" s="55">
        <f>AVERAGE(AU10,AU15,AU20,AU25,AU30,AU35)</f>
        <v>0.37480783918455929</v>
      </c>
      <c r="AW43" s="658" t="s">
        <v>1407</v>
      </c>
      <c r="AX43" s="658"/>
      <c r="AY43" s="59">
        <f>AVERAGE(AY10,AY15,AY20,AY25,AY30,AY35,AY37,AY39,AY41)</f>
        <v>0.65906567588834952</v>
      </c>
      <c r="BA43" s="658" t="s">
        <v>1408</v>
      </c>
      <c r="BB43" s="658"/>
      <c r="BC43" s="59">
        <f>AVERAGE(BC10,BC15,BC20,BC25,BC30,BC35)</f>
        <v>0.3820443800715822</v>
      </c>
      <c r="BE43" s="658" t="s">
        <v>1407</v>
      </c>
      <c r="BF43" s="658"/>
      <c r="BG43" s="59">
        <f>AVERAGE(BG10,BG15,BG20,BG25,BG30,BG35,BG37,BG39,BG41)</f>
        <v>0.67893995066807855</v>
      </c>
      <c r="BH43" s="135"/>
      <c r="BI43" s="657" t="s">
        <v>1408</v>
      </c>
      <c r="BJ43" s="657"/>
      <c r="BK43" s="55">
        <f>AVERAGE(BK10,BK15,BK20,BK25,BK30,BK35)</f>
        <v>0.38656216114383996</v>
      </c>
      <c r="BL43" s="134"/>
      <c r="BM43" s="658" t="s">
        <v>1407</v>
      </c>
      <c r="BN43" s="658"/>
      <c r="BO43" s="59">
        <f>AVERAGE(BO10,BO15,BO20,BO25,BO30,BO35,BO37,BO39,BO41)</f>
        <v>0.69791430364176721</v>
      </c>
      <c r="BP43" s="135"/>
      <c r="BQ43" s="658" t="s">
        <v>1408</v>
      </c>
      <c r="BR43" s="658"/>
      <c r="BS43" s="59">
        <f>AVERAGE(BS10,BS15,BS20,BS25,BS30,BS35)</f>
        <v>0.46669054629161094</v>
      </c>
      <c r="BT43" s="131"/>
    </row>
    <row r="44" spans="1:708" s="20" customFormat="1" ht="22.5" customHeight="1" x14ac:dyDescent="0.25">
      <c r="S44" s="1"/>
      <c r="V44" s="133"/>
      <c r="W44" s="133"/>
      <c r="AF44" s="1"/>
      <c r="AN44" s="1"/>
      <c r="AV44" s="1"/>
      <c r="AW44" s="131"/>
      <c r="AX44" s="131"/>
      <c r="AY44" s="131"/>
      <c r="AZ44" s="131"/>
      <c r="BA44" s="131"/>
      <c r="BB44" s="131"/>
      <c r="BC44" s="131"/>
      <c r="BD44" s="132"/>
      <c r="BE44" s="131"/>
      <c r="BF44" s="131"/>
      <c r="BG44" s="131"/>
      <c r="BH44" s="131"/>
      <c r="BL44" s="1"/>
      <c r="BM44" s="131"/>
      <c r="BN44" s="131"/>
      <c r="BO44" s="131"/>
      <c r="BP44" s="131"/>
    </row>
    <row r="45" spans="1:708" s="20" customFormat="1" ht="22.5" customHeight="1" x14ac:dyDescent="0.25">
      <c r="S45" s="1"/>
      <c r="V45" s="133"/>
      <c r="W45" s="133"/>
      <c r="AF45" s="1"/>
      <c r="AN45" s="1"/>
      <c r="AV45" s="1"/>
      <c r="AW45" s="131"/>
      <c r="AX45" s="131"/>
      <c r="AY45" s="131"/>
      <c r="AZ45" s="131"/>
      <c r="BA45" s="131"/>
      <c r="BB45" s="131"/>
      <c r="BC45" s="131"/>
      <c r="BD45" s="132"/>
      <c r="BE45" s="131"/>
      <c r="BF45" s="131"/>
      <c r="BG45" s="131"/>
      <c r="BH45" s="131"/>
      <c r="BM45" s="131"/>
      <c r="BN45" s="131"/>
      <c r="BO45" s="131"/>
      <c r="BP45" s="131"/>
    </row>
    <row r="46" spans="1:708" s="20" customFormat="1" ht="22.5" customHeight="1" x14ac:dyDescent="0.25">
      <c r="S46" s="1"/>
      <c r="V46" s="133"/>
      <c r="W46" s="133"/>
      <c r="AF46" s="1"/>
      <c r="AN46" s="1"/>
      <c r="AV46" s="1"/>
      <c r="AW46" s="131"/>
      <c r="AX46" s="131"/>
      <c r="AY46" s="131"/>
      <c r="AZ46" s="131"/>
      <c r="BA46" s="131"/>
      <c r="BB46" s="131"/>
      <c r="BC46" s="131"/>
      <c r="BD46" s="132"/>
      <c r="BE46" s="131"/>
      <c r="BF46" s="131"/>
      <c r="BG46" s="131"/>
      <c r="BH46" s="131"/>
      <c r="BM46" s="131"/>
      <c r="BN46" s="131"/>
      <c r="BO46" s="131"/>
      <c r="BP46" s="131"/>
    </row>
    <row r="47" spans="1:708" s="20" customFormat="1" ht="22.5" customHeight="1" x14ac:dyDescent="0.25">
      <c r="S47" s="1"/>
      <c r="V47" s="133"/>
      <c r="W47" s="133"/>
      <c r="AF47" s="1"/>
      <c r="AN47" s="1"/>
      <c r="AV47" s="1"/>
      <c r="AW47" s="131"/>
      <c r="AX47" s="131"/>
      <c r="AY47" s="131"/>
      <c r="AZ47" s="131"/>
      <c r="BA47" s="131"/>
      <c r="BB47" s="131"/>
      <c r="BC47" s="131"/>
      <c r="BD47" s="132"/>
      <c r="BE47" s="131"/>
      <c r="BF47" s="131"/>
      <c r="BG47" s="131"/>
      <c r="BH47" s="131"/>
      <c r="BM47" s="131"/>
      <c r="BN47" s="131"/>
      <c r="BO47" s="131"/>
      <c r="BP47" s="131"/>
    </row>
    <row r="48" spans="1:708" s="20" customFormat="1" ht="22.5" customHeight="1" x14ac:dyDescent="0.25">
      <c r="S48" s="1"/>
      <c r="V48" s="133"/>
      <c r="W48" s="133"/>
      <c r="AF48" s="1"/>
      <c r="AN48" s="1"/>
      <c r="AV48" s="1"/>
      <c r="AW48" s="131"/>
      <c r="AX48" s="131"/>
      <c r="AY48" s="131"/>
      <c r="AZ48" s="131"/>
      <c r="BA48" s="131"/>
      <c r="BB48" s="131"/>
      <c r="BC48" s="131"/>
      <c r="BD48" s="132"/>
      <c r="BE48" s="131"/>
      <c r="BF48" s="131"/>
      <c r="BG48" s="131"/>
      <c r="BH48" s="131"/>
      <c r="BM48" s="131"/>
      <c r="BN48" s="131"/>
      <c r="BO48" s="131"/>
      <c r="BP48" s="131"/>
    </row>
    <row r="49" spans="19:68" s="20" customFormat="1" ht="22.5" customHeight="1" x14ac:dyDescent="0.25">
      <c r="S49" s="1"/>
      <c r="V49" s="133"/>
      <c r="W49" s="133"/>
      <c r="AF49" s="1"/>
      <c r="AN49" s="1"/>
      <c r="AV49" s="1"/>
      <c r="AW49" s="131"/>
      <c r="AX49" s="131"/>
      <c r="AY49" s="131"/>
      <c r="AZ49" s="131"/>
      <c r="BA49" s="131"/>
      <c r="BB49" s="131"/>
      <c r="BC49" s="131"/>
      <c r="BD49" s="132"/>
      <c r="BE49" s="131"/>
      <c r="BF49" s="131"/>
      <c r="BG49" s="131"/>
      <c r="BH49" s="131"/>
      <c r="BM49" s="131"/>
      <c r="BN49" s="131"/>
      <c r="BO49" s="131"/>
      <c r="BP49" s="131"/>
    </row>
    <row r="50" spans="19:68" s="20" customFormat="1" ht="22.5" customHeight="1" x14ac:dyDescent="0.25">
      <c r="S50" s="1"/>
      <c r="V50" s="133"/>
      <c r="W50" s="133"/>
      <c r="AF50" s="1"/>
      <c r="AN50" s="1"/>
      <c r="AV50" s="1"/>
      <c r="AW50" s="131"/>
      <c r="AX50" s="131"/>
      <c r="AY50" s="131"/>
      <c r="AZ50" s="131"/>
      <c r="BA50" s="131"/>
      <c r="BB50" s="131"/>
      <c r="BC50" s="131"/>
      <c r="BD50" s="132"/>
      <c r="BE50" s="131"/>
      <c r="BF50" s="131"/>
      <c r="BG50" s="131"/>
      <c r="BH50" s="131"/>
      <c r="BM50" s="131"/>
      <c r="BN50" s="131"/>
      <c r="BO50" s="131"/>
      <c r="BP50" s="131"/>
    </row>
    <row r="51" spans="19:68" s="20" customFormat="1" ht="22.5" customHeight="1" x14ac:dyDescent="0.25">
      <c r="S51" s="1"/>
      <c r="V51" s="133"/>
      <c r="W51" s="133"/>
      <c r="AF51" s="1"/>
      <c r="AN51" s="1"/>
      <c r="AV51" s="1"/>
      <c r="AW51" s="131"/>
      <c r="AX51" s="131"/>
      <c r="AY51" s="131"/>
      <c r="AZ51" s="131"/>
      <c r="BA51" s="131"/>
      <c r="BB51" s="131"/>
      <c r="BC51" s="131"/>
      <c r="BD51" s="132"/>
      <c r="BE51" s="131"/>
      <c r="BF51" s="131"/>
      <c r="BG51" s="131"/>
      <c r="BH51" s="131"/>
      <c r="BM51" s="131"/>
      <c r="BN51" s="131"/>
      <c r="BO51" s="131"/>
      <c r="BP51" s="131"/>
    </row>
    <row r="52" spans="19:68" s="20" customFormat="1" ht="22.5" customHeight="1" x14ac:dyDescent="0.25">
      <c r="S52" s="1"/>
      <c r="V52" s="133"/>
      <c r="W52" s="133"/>
      <c r="AF52" s="1"/>
      <c r="AN52" s="1"/>
      <c r="AV52" s="1"/>
      <c r="AW52" s="131"/>
      <c r="AX52" s="131"/>
      <c r="AY52" s="131"/>
      <c r="AZ52" s="131"/>
      <c r="BA52" s="131"/>
      <c r="BB52" s="131"/>
      <c r="BC52" s="131"/>
      <c r="BD52" s="132"/>
      <c r="BE52" s="131"/>
      <c r="BF52" s="131"/>
      <c r="BG52" s="131"/>
      <c r="BH52" s="131"/>
      <c r="BM52" s="131"/>
      <c r="BN52" s="131"/>
      <c r="BO52" s="131"/>
      <c r="BP52" s="131"/>
    </row>
    <row r="53" spans="19:68" s="20" customFormat="1" ht="22.5" customHeight="1" x14ac:dyDescent="0.25">
      <c r="S53" s="1"/>
      <c r="V53" s="133"/>
      <c r="W53" s="133"/>
      <c r="AF53" s="1"/>
      <c r="AN53" s="1"/>
      <c r="AV53" s="1"/>
      <c r="AW53" s="131"/>
      <c r="AX53" s="131"/>
      <c r="AY53" s="131"/>
      <c r="AZ53" s="131"/>
      <c r="BA53" s="131"/>
      <c r="BB53" s="131"/>
      <c r="BC53" s="131"/>
      <c r="BD53" s="132"/>
      <c r="BE53" s="131"/>
      <c r="BF53" s="131"/>
      <c r="BG53" s="131"/>
      <c r="BH53" s="131"/>
      <c r="BM53" s="131"/>
      <c r="BN53" s="131"/>
      <c r="BO53" s="131"/>
      <c r="BP53" s="131"/>
    </row>
    <row r="54" spans="19:68" s="20" customFormat="1" ht="22.5" customHeight="1" x14ac:dyDescent="0.25">
      <c r="S54" s="1"/>
      <c r="V54" s="133"/>
      <c r="W54" s="133"/>
      <c r="AF54" s="1"/>
      <c r="AN54" s="1"/>
      <c r="AV54" s="1"/>
      <c r="AW54" s="131"/>
      <c r="AX54" s="131"/>
      <c r="AY54" s="131"/>
      <c r="AZ54" s="131"/>
      <c r="BA54" s="131"/>
      <c r="BB54" s="131"/>
      <c r="BC54" s="131"/>
      <c r="BD54" s="132"/>
      <c r="BE54" s="131"/>
      <c r="BF54" s="131"/>
      <c r="BG54" s="131"/>
      <c r="BH54" s="131"/>
      <c r="BM54" s="131"/>
      <c r="BN54" s="131"/>
      <c r="BO54" s="131"/>
      <c r="BP54" s="131"/>
    </row>
    <row r="55" spans="19:68" s="20" customFormat="1" ht="22.5" customHeight="1" x14ac:dyDescent="0.25">
      <c r="S55" s="1"/>
      <c r="V55" s="133"/>
      <c r="W55" s="133"/>
      <c r="AF55" s="1"/>
      <c r="AN55" s="1"/>
      <c r="AV55" s="1"/>
      <c r="AW55" s="131"/>
      <c r="AX55" s="131"/>
      <c r="AY55" s="131"/>
      <c r="AZ55" s="131"/>
      <c r="BA55" s="131"/>
      <c r="BB55" s="131"/>
      <c r="BC55" s="131"/>
      <c r="BD55" s="132"/>
      <c r="BE55" s="131"/>
      <c r="BF55" s="131"/>
      <c r="BG55" s="131"/>
      <c r="BH55" s="131"/>
      <c r="BM55" s="131"/>
      <c r="BN55" s="131"/>
      <c r="BO55" s="131"/>
      <c r="BP55" s="131"/>
    </row>
    <row r="56" spans="19:68" s="20" customFormat="1" ht="22.5" customHeight="1" x14ac:dyDescent="0.25">
      <c r="S56" s="1"/>
      <c r="V56" s="133"/>
      <c r="W56" s="133"/>
      <c r="AF56" s="1"/>
      <c r="AN56" s="1"/>
      <c r="AV56" s="1"/>
      <c r="AW56" s="131"/>
      <c r="AX56" s="131"/>
      <c r="AY56" s="131"/>
      <c r="AZ56" s="131"/>
      <c r="BA56" s="131"/>
      <c r="BB56" s="131"/>
      <c r="BC56" s="131"/>
      <c r="BD56" s="132"/>
      <c r="BE56" s="131"/>
      <c r="BF56" s="131"/>
      <c r="BG56" s="131"/>
      <c r="BH56" s="131"/>
      <c r="BM56" s="131"/>
      <c r="BN56" s="131"/>
      <c r="BO56" s="131"/>
      <c r="BP56" s="131"/>
    </row>
    <row r="57" spans="19:68" s="20" customFormat="1" ht="22.5" customHeight="1" x14ac:dyDescent="0.25">
      <c r="S57" s="1"/>
      <c r="V57" s="133"/>
      <c r="W57" s="133"/>
      <c r="AF57" s="1"/>
      <c r="AN57" s="1"/>
      <c r="AV57" s="1"/>
      <c r="AW57" s="131"/>
      <c r="AX57" s="131"/>
      <c r="AY57" s="131"/>
      <c r="AZ57" s="131"/>
      <c r="BA57" s="131"/>
      <c r="BB57" s="131"/>
      <c r="BC57" s="131"/>
      <c r="BD57" s="132"/>
      <c r="BE57" s="131"/>
      <c r="BF57" s="131"/>
      <c r="BG57" s="131"/>
      <c r="BH57" s="131"/>
      <c r="BM57" s="131"/>
      <c r="BN57" s="131"/>
      <c r="BO57" s="131"/>
      <c r="BP57" s="131"/>
    </row>
    <row r="58" spans="19:68" s="20" customFormat="1" ht="22.5" customHeight="1" x14ac:dyDescent="0.25">
      <c r="S58" s="1"/>
      <c r="V58" s="133"/>
      <c r="W58" s="133"/>
      <c r="AF58" s="1"/>
      <c r="AN58" s="1"/>
      <c r="AV58" s="1"/>
      <c r="AW58" s="131"/>
      <c r="AX58" s="131"/>
      <c r="AY58" s="131"/>
      <c r="AZ58" s="131"/>
      <c r="BA58" s="131"/>
      <c r="BB58" s="131"/>
      <c r="BC58" s="131"/>
      <c r="BD58" s="132"/>
      <c r="BE58" s="131"/>
      <c r="BF58" s="131"/>
      <c r="BG58" s="131"/>
      <c r="BH58" s="131"/>
      <c r="BM58" s="131"/>
      <c r="BN58" s="131"/>
      <c r="BO58" s="131"/>
      <c r="BP58" s="131"/>
    </row>
    <row r="59" spans="19:68" s="20" customFormat="1" ht="22.5" customHeight="1" x14ac:dyDescent="0.25">
      <c r="S59" s="1"/>
      <c r="V59" s="133"/>
      <c r="W59" s="133"/>
      <c r="AF59" s="1"/>
      <c r="AN59" s="1"/>
      <c r="AV59" s="1"/>
      <c r="AW59" s="131"/>
      <c r="AX59" s="131"/>
      <c r="AY59" s="131"/>
      <c r="AZ59" s="131"/>
      <c r="BA59" s="131"/>
      <c r="BB59" s="131"/>
      <c r="BC59" s="131"/>
      <c r="BD59" s="132"/>
      <c r="BE59" s="131"/>
      <c r="BF59" s="131"/>
      <c r="BG59" s="131"/>
      <c r="BH59" s="131"/>
    </row>
    <row r="60" spans="19:68" s="20" customFormat="1" ht="22.5" customHeight="1" x14ac:dyDescent="0.25">
      <c r="S60" s="1"/>
      <c r="V60" s="133"/>
      <c r="W60" s="133"/>
      <c r="AF60" s="1"/>
      <c r="AN60" s="1"/>
      <c r="AV60" s="1"/>
      <c r="AW60" s="131"/>
      <c r="AX60" s="131"/>
      <c r="AY60" s="131"/>
      <c r="AZ60" s="131"/>
      <c r="BA60" s="131"/>
      <c r="BB60" s="131"/>
      <c r="BC60" s="131"/>
      <c r="BD60" s="132"/>
      <c r="BE60" s="131"/>
      <c r="BF60" s="131"/>
      <c r="BG60" s="131"/>
      <c r="BH60" s="131"/>
    </row>
    <row r="61" spans="19:68" s="20" customFormat="1" ht="22.5" customHeight="1" x14ac:dyDescent="0.25">
      <c r="S61" s="1"/>
      <c r="V61" s="133"/>
      <c r="W61" s="133"/>
      <c r="AF61" s="1"/>
      <c r="AN61" s="1"/>
      <c r="AV61" s="1"/>
      <c r="AW61" s="131"/>
      <c r="AX61" s="131"/>
      <c r="AY61" s="131"/>
      <c r="AZ61" s="131"/>
      <c r="BA61" s="131"/>
      <c r="BB61" s="131"/>
      <c r="BC61" s="131"/>
      <c r="BD61" s="132"/>
      <c r="BE61" s="131"/>
      <c r="BF61" s="131"/>
      <c r="BG61" s="131"/>
      <c r="BH61" s="131"/>
    </row>
    <row r="62" spans="19:68" s="20" customFormat="1" ht="22.5" customHeight="1" x14ac:dyDescent="0.25">
      <c r="S62" s="1"/>
      <c r="V62" s="133"/>
      <c r="W62" s="133"/>
      <c r="AF62" s="1"/>
      <c r="AN62" s="1"/>
      <c r="AV62" s="1"/>
      <c r="AW62" s="131"/>
      <c r="AX62" s="131"/>
      <c r="AY62" s="131"/>
      <c r="AZ62" s="131"/>
      <c r="BA62" s="131"/>
      <c r="BB62" s="131"/>
      <c r="BC62" s="131"/>
      <c r="BD62" s="132"/>
      <c r="BE62" s="131"/>
      <c r="BF62" s="131"/>
      <c r="BG62" s="131"/>
      <c r="BH62" s="131"/>
    </row>
    <row r="63" spans="19:68" s="20" customFormat="1" ht="22.5" customHeight="1" x14ac:dyDescent="0.25">
      <c r="S63" s="1"/>
      <c r="V63" s="133"/>
      <c r="W63" s="133"/>
      <c r="AF63" s="1"/>
      <c r="AN63" s="1"/>
      <c r="AV63" s="1"/>
      <c r="AW63" s="131"/>
      <c r="AX63" s="131"/>
      <c r="AY63" s="131"/>
      <c r="AZ63" s="131"/>
      <c r="BA63" s="131"/>
      <c r="BB63" s="131"/>
      <c r="BC63" s="131"/>
      <c r="BD63" s="132"/>
      <c r="BE63" s="131"/>
      <c r="BF63" s="131"/>
      <c r="BG63" s="131"/>
      <c r="BH63" s="131"/>
    </row>
    <row r="64" spans="19:68" s="20" customFormat="1" ht="22.5" customHeight="1" x14ac:dyDescent="0.25">
      <c r="S64" s="1"/>
      <c r="V64" s="133"/>
      <c r="W64" s="133"/>
      <c r="AF64" s="1"/>
      <c r="AN64" s="1"/>
      <c r="AV64" s="1"/>
      <c r="AW64" s="131"/>
      <c r="AX64" s="131"/>
      <c r="AY64" s="131"/>
      <c r="AZ64" s="131"/>
      <c r="BA64" s="131"/>
      <c r="BB64" s="131"/>
      <c r="BC64" s="131"/>
      <c r="BD64" s="132"/>
      <c r="BE64" s="131"/>
      <c r="BF64" s="131"/>
      <c r="BG64" s="131"/>
      <c r="BH64" s="131"/>
    </row>
    <row r="65" spans="19:60" s="20" customFormat="1" ht="22.5" customHeight="1" x14ac:dyDescent="0.25">
      <c r="S65" s="1"/>
      <c r="V65" s="133"/>
      <c r="W65" s="133"/>
      <c r="AF65" s="1"/>
      <c r="AN65" s="1"/>
      <c r="AV65" s="1"/>
      <c r="AW65" s="131"/>
      <c r="AX65" s="131"/>
      <c r="AY65" s="131"/>
      <c r="AZ65" s="131"/>
      <c r="BA65" s="131"/>
      <c r="BB65" s="131"/>
      <c r="BC65" s="131"/>
      <c r="BD65" s="132"/>
      <c r="BE65" s="131"/>
      <c r="BF65" s="131"/>
      <c r="BG65" s="131"/>
      <c r="BH65" s="131"/>
    </row>
    <row r="66" spans="19:60" s="20" customFormat="1" ht="22.5" customHeight="1" x14ac:dyDescent="0.25">
      <c r="S66" s="1"/>
      <c r="V66" s="133"/>
      <c r="W66" s="133"/>
      <c r="AF66" s="1"/>
      <c r="AN66" s="1"/>
      <c r="AV66" s="1"/>
      <c r="AW66" s="131"/>
      <c r="AX66" s="131"/>
      <c r="AY66" s="131"/>
      <c r="AZ66" s="131"/>
      <c r="BA66" s="131"/>
      <c r="BB66" s="131"/>
      <c r="BC66" s="131"/>
      <c r="BD66" s="132"/>
      <c r="BE66" s="131"/>
      <c r="BF66" s="131"/>
      <c r="BG66" s="131"/>
      <c r="BH66" s="131"/>
    </row>
    <row r="67" spans="19:60" s="20" customFormat="1" ht="22.5" customHeight="1" x14ac:dyDescent="0.25">
      <c r="S67" s="1"/>
      <c r="V67" s="133"/>
      <c r="W67" s="133"/>
      <c r="AF67" s="1"/>
      <c r="AN67" s="1"/>
      <c r="AV67" s="1"/>
      <c r="AW67" s="131"/>
      <c r="AX67" s="131"/>
      <c r="AY67" s="131"/>
      <c r="AZ67" s="131"/>
      <c r="BA67" s="131"/>
      <c r="BB67" s="131"/>
      <c r="BC67" s="131"/>
      <c r="BD67" s="132"/>
      <c r="BE67" s="131"/>
      <c r="BF67" s="131"/>
      <c r="BG67" s="131"/>
      <c r="BH67" s="131"/>
    </row>
    <row r="68" spans="19:60" s="20" customFormat="1" ht="22.5" customHeight="1" x14ac:dyDescent="0.25">
      <c r="S68" s="1"/>
      <c r="V68" s="133"/>
      <c r="W68" s="133"/>
      <c r="AF68" s="1"/>
      <c r="AN68" s="1"/>
      <c r="AV68" s="1"/>
      <c r="AW68" s="131"/>
      <c r="AX68" s="131"/>
      <c r="AY68" s="131"/>
      <c r="AZ68" s="131"/>
      <c r="BA68" s="131"/>
      <c r="BB68" s="131"/>
      <c r="BC68" s="131"/>
      <c r="BD68" s="132"/>
      <c r="BE68" s="131"/>
      <c r="BF68" s="131"/>
      <c r="BG68" s="131"/>
      <c r="BH68" s="131"/>
    </row>
    <row r="69" spans="19:60" s="20" customFormat="1" ht="22.5" customHeight="1" x14ac:dyDescent="0.25">
      <c r="S69" s="1"/>
      <c r="V69" s="133"/>
      <c r="W69" s="133"/>
      <c r="AF69" s="1"/>
      <c r="AN69" s="1"/>
      <c r="AV69" s="1"/>
      <c r="AW69" s="131"/>
      <c r="AX69" s="131"/>
      <c r="AY69" s="131"/>
      <c r="AZ69" s="131"/>
      <c r="BA69" s="131"/>
      <c r="BB69" s="131"/>
      <c r="BC69" s="131"/>
      <c r="BD69" s="132"/>
      <c r="BE69" s="131"/>
      <c r="BF69" s="131"/>
      <c r="BG69" s="131"/>
      <c r="BH69" s="131"/>
    </row>
    <row r="70" spans="19:60" s="20" customFormat="1" ht="22.5" customHeight="1" x14ac:dyDescent="0.25">
      <c r="S70" s="1"/>
      <c r="V70" s="133"/>
      <c r="W70" s="133"/>
      <c r="AF70" s="1"/>
      <c r="AN70" s="1"/>
      <c r="AV70" s="1"/>
      <c r="AW70" s="131"/>
      <c r="AX70" s="131"/>
      <c r="AY70" s="131"/>
      <c r="AZ70" s="131"/>
      <c r="BA70" s="131"/>
      <c r="BB70" s="131"/>
      <c r="BC70" s="131"/>
      <c r="BD70" s="132"/>
      <c r="BE70" s="131"/>
      <c r="BF70" s="131"/>
      <c r="BG70" s="131"/>
      <c r="BH70" s="131"/>
    </row>
    <row r="71" spans="19:60" s="20" customFormat="1" ht="22.5" customHeight="1" x14ac:dyDescent="0.25">
      <c r="S71" s="1"/>
      <c r="V71" s="133"/>
      <c r="W71" s="133"/>
      <c r="AF71" s="1"/>
      <c r="AN71" s="1"/>
      <c r="AV71" s="1"/>
      <c r="AW71" s="131"/>
      <c r="AX71" s="131"/>
      <c r="AY71" s="131"/>
      <c r="AZ71" s="131"/>
      <c r="BA71" s="131"/>
      <c r="BB71" s="131"/>
      <c r="BC71" s="131"/>
      <c r="BD71" s="132"/>
      <c r="BE71" s="131"/>
      <c r="BF71" s="131"/>
      <c r="BG71" s="131"/>
      <c r="BH71" s="131"/>
    </row>
    <row r="72" spans="19:60" s="20" customFormat="1" ht="22.5" customHeight="1" x14ac:dyDescent="0.25">
      <c r="S72" s="1"/>
      <c r="V72" s="133"/>
      <c r="W72" s="133"/>
      <c r="AF72" s="1"/>
      <c r="AN72" s="1"/>
      <c r="AV72" s="1"/>
      <c r="AW72" s="131"/>
      <c r="AX72" s="131"/>
      <c r="AY72" s="131"/>
      <c r="AZ72" s="131"/>
      <c r="BA72" s="131"/>
      <c r="BB72" s="131"/>
      <c r="BC72" s="131"/>
      <c r="BD72" s="132"/>
      <c r="BE72" s="131"/>
      <c r="BF72" s="131"/>
      <c r="BG72" s="131"/>
      <c r="BH72" s="131"/>
    </row>
    <row r="73" spans="19:60" s="20" customFormat="1" ht="22.5" customHeight="1" x14ac:dyDescent="0.25">
      <c r="S73" s="1"/>
      <c r="V73" s="133"/>
      <c r="W73" s="133"/>
      <c r="AF73" s="1"/>
      <c r="AN73" s="1"/>
      <c r="AV73" s="1"/>
      <c r="AW73" s="131"/>
      <c r="AX73" s="131"/>
      <c r="AY73" s="131"/>
      <c r="AZ73" s="131"/>
      <c r="BA73" s="131"/>
      <c r="BB73" s="131"/>
      <c r="BC73" s="131"/>
      <c r="BD73" s="132"/>
      <c r="BE73" s="131"/>
      <c r="BF73" s="131"/>
      <c r="BG73" s="131"/>
      <c r="BH73" s="131"/>
    </row>
    <row r="74" spans="19:60" s="20" customFormat="1" ht="22.5" customHeight="1" x14ac:dyDescent="0.25">
      <c r="S74" s="1"/>
      <c r="V74" s="133"/>
      <c r="W74" s="133"/>
      <c r="AF74" s="1"/>
      <c r="AN74" s="1"/>
      <c r="AV74" s="1"/>
      <c r="AW74" s="131"/>
      <c r="AX74" s="131"/>
      <c r="AY74" s="131"/>
      <c r="AZ74" s="131"/>
      <c r="BA74" s="131"/>
      <c r="BB74" s="131"/>
      <c r="BC74" s="131"/>
      <c r="BD74" s="132"/>
      <c r="BE74" s="131"/>
      <c r="BF74" s="131"/>
      <c r="BG74" s="131"/>
      <c r="BH74" s="131"/>
    </row>
    <row r="75" spans="19:60" s="20" customFormat="1" ht="22.5" customHeight="1" x14ac:dyDescent="0.25">
      <c r="S75" s="1"/>
      <c r="V75" s="133"/>
      <c r="W75" s="133"/>
      <c r="AF75" s="1"/>
      <c r="AN75" s="1"/>
      <c r="AV75" s="1"/>
      <c r="AW75" s="131"/>
      <c r="AX75" s="131"/>
      <c r="AY75" s="131"/>
      <c r="AZ75" s="131"/>
      <c r="BA75" s="131"/>
      <c r="BB75" s="131"/>
      <c r="BC75" s="131"/>
      <c r="BD75" s="132"/>
      <c r="BE75" s="131"/>
      <c r="BF75" s="131"/>
      <c r="BG75" s="131"/>
      <c r="BH75" s="131"/>
    </row>
    <row r="76" spans="19:60" s="20" customFormat="1" ht="22.5" customHeight="1" x14ac:dyDescent="0.25">
      <c r="S76" s="1"/>
      <c r="V76" s="133"/>
      <c r="W76" s="133"/>
      <c r="AF76" s="1"/>
      <c r="AN76" s="1"/>
      <c r="AV76" s="1"/>
      <c r="AW76" s="131"/>
      <c r="AX76" s="131"/>
      <c r="AY76" s="131"/>
      <c r="AZ76" s="131"/>
      <c r="BA76" s="131"/>
      <c r="BB76" s="131"/>
      <c r="BC76" s="131"/>
      <c r="BD76" s="132"/>
      <c r="BE76" s="131"/>
      <c r="BF76" s="131"/>
      <c r="BG76" s="131"/>
      <c r="BH76" s="131"/>
    </row>
    <row r="77" spans="19:60" s="20" customFormat="1" ht="22.5" customHeight="1" x14ac:dyDescent="0.25">
      <c r="S77" s="1"/>
      <c r="V77" s="133"/>
      <c r="W77" s="133"/>
      <c r="AF77" s="1"/>
      <c r="AN77" s="1"/>
      <c r="AV77" s="1"/>
      <c r="AW77" s="131"/>
      <c r="AX77" s="131"/>
      <c r="AY77" s="131"/>
      <c r="AZ77" s="131"/>
      <c r="BA77" s="131"/>
      <c r="BB77" s="131"/>
      <c r="BC77" s="131"/>
      <c r="BD77" s="132"/>
      <c r="BE77" s="131"/>
      <c r="BF77" s="131"/>
      <c r="BG77" s="131"/>
      <c r="BH77" s="131"/>
    </row>
    <row r="78" spans="19:60" s="20" customFormat="1" ht="22.5" customHeight="1" x14ac:dyDescent="0.25">
      <c r="S78" s="1"/>
      <c r="V78" s="133"/>
      <c r="W78" s="133"/>
      <c r="AF78" s="1"/>
      <c r="AN78" s="1"/>
      <c r="AV78" s="1"/>
      <c r="AW78" s="131"/>
      <c r="AX78" s="131"/>
      <c r="AY78" s="131"/>
      <c r="AZ78" s="131"/>
      <c r="BA78" s="131"/>
      <c r="BB78" s="131"/>
      <c r="BC78" s="131"/>
      <c r="BD78" s="132"/>
      <c r="BE78" s="131"/>
      <c r="BF78" s="131"/>
      <c r="BG78" s="131"/>
      <c r="BH78" s="131"/>
    </row>
    <row r="79" spans="19:60" s="20" customFormat="1" ht="22.5" customHeight="1" x14ac:dyDescent="0.25">
      <c r="S79" s="1"/>
      <c r="V79" s="133"/>
      <c r="W79" s="133"/>
      <c r="AF79" s="1"/>
      <c r="AN79" s="1"/>
      <c r="AV79" s="1"/>
      <c r="AW79" s="131"/>
      <c r="AX79" s="131"/>
      <c r="AY79" s="131"/>
      <c r="AZ79" s="131"/>
      <c r="BA79" s="131"/>
      <c r="BB79" s="131"/>
      <c r="BC79" s="131"/>
      <c r="BD79" s="132"/>
      <c r="BE79" s="131"/>
      <c r="BF79" s="131"/>
      <c r="BG79" s="131"/>
      <c r="BH79" s="131"/>
    </row>
    <row r="80" spans="19:60" s="20" customFormat="1" ht="22.5" customHeight="1" x14ac:dyDescent="0.25">
      <c r="S80" s="1"/>
      <c r="V80" s="133"/>
      <c r="W80" s="133"/>
      <c r="AF80" s="1"/>
      <c r="AN80" s="1"/>
      <c r="AV80" s="1"/>
      <c r="AW80" s="131"/>
      <c r="AX80" s="131"/>
      <c r="AY80" s="131"/>
      <c r="AZ80" s="131"/>
      <c r="BA80" s="131"/>
      <c r="BB80" s="131"/>
      <c r="BC80" s="131"/>
      <c r="BD80" s="132"/>
      <c r="BE80" s="131"/>
      <c r="BF80" s="131"/>
      <c r="BG80" s="131"/>
      <c r="BH80" s="131"/>
    </row>
    <row r="81" spans="19:60" s="20" customFormat="1" ht="22.5" customHeight="1" x14ac:dyDescent="0.25">
      <c r="S81" s="1"/>
      <c r="V81" s="133"/>
      <c r="W81" s="133"/>
      <c r="AF81" s="1"/>
      <c r="AN81" s="1"/>
      <c r="AV81" s="1"/>
      <c r="AW81" s="131"/>
      <c r="AX81" s="131"/>
      <c r="AY81" s="131"/>
      <c r="AZ81" s="131"/>
      <c r="BA81" s="131"/>
      <c r="BB81" s="131"/>
      <c r="BC81" s="131"/>
      <c r="BD81" s="132"/>
      <c r="BE81" s="131"/>
      <c r="BF81" s="131"/>
      <c r="BG81" s="131"/>
      <c r="BH81" s="131"/>
    </row>
    <row r="82" spans="19:60" s="20" customFormat="1" ht="22.5" customHeight="1" x14ac:dyDescent="0.25">
      <c r="S82" s="1"/>
      <c r="V82" s="133"/>
      <c r="W82" s="133"/>
      <c r="AF82" s="1"/>
      <c r="AN82" s="1"/>
      <c r="AV82" s="1"/>
      <c r="AW82" s="131"/>
      <c r="AX82" s="131"/>
      <c r="AY82" s="131"/>
      <c r="AZ82" s="131"/>
      <c r="BA82" s="131"/>
      <c r="BB82" s="131"/>
      <c r="BC82" s="131"/>
      <c r="BD82" s="132"/>
      <c r="BE82" s="131"/>
      <c r="BF82" s="131"/>
      <c r="BG82" s="131"/>
      <c r="BH82" s="131"/>
    </row>
    <row r="83" spans="19:60" s="20" customFormat="1" ht="22.5" customHeight="1" x14ac:dyDescent="0.25">
      <c r="S83" s="1"/>
      <c r="V83" s="133"/>
      <c r="W83" s="133"/>
      <c r="AF83" s="1"/>
      <c r="AN83" s="1"/>
      <c r="AV83" s="1"/>
      <c r="AW83" s="131"/>
      <c r="AX83" s="131"/>
      <c r="AY83" s="131"/>
      <c r="AZ83" s="131"/>
      <c r="BA83" s="131"/>
      <c r="BB83" s="131"/>
      <c r="BC83" s="131"/>
      <c r="BD83" s="132"/>
      <c r="BE83" s="131"/>
      <c r="BF83" s="131"/>
      <c r="BG83" s="131"/>
      <c r="BH83" s="131"/>
    </row>
    <row r="84" spans="19:60" s="20" customFormat="1" ht="22.5" customHeight="1" x14ac:dyDescent="0.25">
      <c r="S84" s="1"/>
      <c r="V84" s="133"/>
      <c r="W84" s="133"/>
      <c r="AF84" s="1"/>
      <c r="AN84" s="1"/>
      <c r="AV84" s="1"/>
      <c r="AW84" s="131"/>
      <c r="AX84" s="131"/>
      <c r="AY84" s="131"/>
      <c r="AZ84" s="131"/>
      <c r="BA84" s="131"/>
      <c r="BB84" s="131"/>
      <c r="BC84" s="131"/>
      <c r="BD84" s="132"/>
      <c r="BE84" s="131"/>
      <c r="BF84" s="131"/>
      <c r="BG84" s="131"/>
      <c r="BH84" s="131"/>
    </row>
    <row r="85" spans="19:60" s="20" customFormat="1" ht="22.5" customHeight="1" x14ac:dyDescent="0.25">
      <c r="S85" s="1"/>
      <c r="V85" s="133"/>
      <c r="W85" s="133"/>
      <c r="AF85" s="1"/>
      <c r="AN85" s="1"/>
      <c r="AV85" s="1"/>
      <c r="AW85" s="131"/>
      <c r="AX85" s="131"/>
      <c r="AY85" s="131"/>
      <c r="AZ85" s="131"/>
      <c r="BA85" s="131"/>
      <c r="BB85" s="131"/>
      <c r="BC85" s="131"/>
      <c r="BD85" s="132"/>
      <c r="BE85" s="131"/>
      <c r="BF85" s="131"/>
      <c r="BG85" s="131"/>
      <c r="BH85" s="131"/>
    </row>
    <row r="86" spans="19:60" s="20" customFormat="1" ht="22.5" customHeight="1" x14ac:dyDescent="0.25">
      <c r="S86" s="1"/>
      <c r="V86" s="133"/>
      <c r="W86" s="133"/>
      <c r="AF86" s="1"/>
      <c r="AN86" s="1"/>
      <c r="AV86" s="1"/>
      <c r="AW86" s="131"/>
      <c r="AX86" s="131"/>
      <c r="AY86" s="131"/>
      <c r="AZ86" s="131"/>
      <c r="BA86" s="131"/>
      <c r="BB86" s="131"/>
      <c r="BC86" s="131"/>
      <c r="BD86" s="132"/>
      <c r="BE86" s="131"/>
      <c r="BF86" s="131"/>
      <c r="BG86" s="131"/>
      <c r="BH86" s="131"/>
    </row>
    <row r="87" spans="19:60" s="20" customFormat="1" ht="22.5" customHeight="1" x14ac:dyDescent="0.25">
      <c r="S87" s="1"/>
      <c r="V87" s="133"/>
      <c r="W87" s="133"/>
      <c r="AF87" s="1"/>
      <c r="AN87" s="1"/>
      <c r="AV87" s="1"/>
      <c r="AW87" s="131"/>
      <c r="AX87" s="131"/>
      <c r="AY87" s="131"/>
      <c r="AZ87" s="131"/>
      <c r="BA87" s="131"/>
      <c r="BB87" s="131"/>
      <c r="BC87" s="131"/>
      <c r="BD87" s="132"/>
      <c r="BE87" s="131"/>
      <c r="BF87" s="131"/>
      <c r="BG87" s="131"/>
      <c r="BH87" s="131"/>
    </row>
    <row r="88" spans="19:60" s="20" customFormat="1" ht="22.5" customHeight="1" x14ac:dyDescent="0.25">
      <c r="S88" s="1"/>
      <c r="V88" s="133"/>
      <c r="W88" s="133"/>
      <c r="AF88" s="1"/>
      <c r="AN88" s="1"/>
      <c r="AV88" s="1"/>
      <c r="AW88" s="131"/>
      <c r="AX88" s="131"/>
      <c r="AY88" s="131"/>
      <c r="AZ88" s="131"/>
      <c r="BA88" s="131"/>
      <c r="BB88" s="131"/>
      <c r="BC88" s="131"/>
      <c r="BD88" s="132"/>
      <c r="BE88" s="131"/>
      <c r="BF88" s="131"/>
      <c r="BG88" s="131"/>
      <c r="BH88" s="131"/>
    </row>
    <row r="89" spans="19:60" s="20" customFormat="1" ht="22.5" customHeight="1" x14ac:dyDescent="0.25">
      <c r="S89" s="1"/>
      <c r="V89" s="133"/>
      <c r="W89" s="133"/>
      <c r="AF89" s="1"/>
      <c r="AN89" s="1"/>
      <c r="AV89" s="1"/>
      <c r="AW89" s="131"/>
      <c r="AX89" s="131"/>
      <c r="AY89" s="131"/>
      <c r="AZ89" s="131"/>
      <c r="BA89" s="131"/>
      <c r="BB89" s="131"/>
      <c r="BC89" s="131"/>
      <c r="BD89" s="132"/>
      <c r="BE89" s="131"/>
      <c r="BF89" s="131"/>
      <c r="BG89" s="131"/>
      <c r="BH89" s="131"/>
    </row>
    <row r="90" spans="19:60" s="20" customFormat="1" ht="22.5" customHeight="1" x14ac:dyDescent="0.25">
      <c r="S90" s="1"/>
      <c r="V90" s="133"/>
      <c r="W90" s="133"/>
      <c r="AF90" s="1"/>
      <c r="AN90" s="1"/>
      <c r="AV90" s="1"/>
      <c r="AW90" s="131"/>
      <c r="AX90" s="131"/>
      <c r="AY90" s="131"/>
      <c r="AZ90" s="131"/>
      <c r="BA90" s="131"/>
      <c r="BB90" s="131"/>
      <c r="BC90" s="131"/>
      <c r="BD90" s="132"/>
      <c r="BE90" s="131"/>
      <c r="BF90" s="131"/>
      <c r="BG90" s="131"/>
      <c r="BH90" s="131"/>
    </row>
    <row r="91" spans="19:60" s="20" customFormat="1" ht="22.5" customHeight="1" x14ac:dyDescent="0.25">
      <c r="S91" s="1"/>
      <c r="V91" s="133"/>
      <c r="W91" s="133"/>
      <c r="AF91" s="1"/>
      <c r="AN91" s="1"/>
      <c r="AV91" s="1"/>
      <c r="AW91" s="131"/>
      <c r="AX91" s="131"/>
      <c r="AY91" s="131"/>
      <c r="AZ91" s="131"/>
      <c r="BA91" s="131"/>
      <c r="BB91" s="131"/>
      <c r="BC91" s="131"/>
      <c r="BD91" s="132"/>
      <c r="BE91" s="131"/>
      <c r="BF91" s="131"/>
      <c r="BG91" s="131"/>
      <c r="BH91" s="131"/>
    </row>
    <row r="92" spans="19:60" s="20" customFormat="1" ht="22.5" customHeight="1" x14ac:dyDescent="0.25">
      <c r="S92" s="1"/>
      <c r="V92" s="133"/>
      <c r="W92" s="133"/>
      <c r="AF92" s="1"/>
      <c r="AN92" s="1"/>
      <c r="AV92" s="1"/>
      <c r="AW92" s="131"/>
      <c r="AX92" s="131"/>
      <c r="AY92" s="131"/>
      <c r="AZ92" s="131"/>
      <c r="BA92" s="131"/>
      <c r="BB92" s="131"/>
      <c r="BC92" s="131"/>
      <c r="BD92" s="132"/>
      <c r="BE92" s="131"/>
      <c r="BF92" s="131"/>
      <c r="BG92" s="131"/>
      <c r="BH92" s="131"/>
    </row>
    <row r="93" spans="19:60" s="20" customFormat="1" ht="22.5" customHeight="1" x14ac:dyDescent="0.25">
      <c r="S93" s="1"/>
      <c r="V93" s="133"/>
      <c r="W93" s="133"/>
      <c r="AF93" s="1"/>
      <c r="AN93" s="1"/>
      <c r="AV93" s="1"/>
      <c r="AW93" s="131"/>
      <c r="AX93" s="131"/>
      <c r="AY93" s="131"/>
      <c r="AZ93" s="131"/>
      <c r="BA93" s="131"/>
      <c r="BB93" s="131"/>
      <c r="BC93" s="131"/>
      <c r="BD93" s="132"/>
      <c r="BE93" s="131"/>
      <c r="BF93" s="131"/>
      <c r="BG93" s="131"/>
      <c r="BH93" s="131"/>
    </row>
    <row r="94" spans="19:60" s="20" customFormat="1" ht="22.5" customHeight="1" x14ac:dyDescent="0.25">
      <c r="S94" s="1"/>
      <c r="V94" s="133"/>
      <c r="W94" s="133"/>
      <c r="AF94" s="1"/>
      <c r="AN94" s="1"/>
      <c r="AV94" s="1"/>
      <c r="AW94" s="131"/>
      <c r="AX94" s="131"/>
      <c r="AY94" s="131"/>
      <c r="AZ94" s="131"/>
      <c r="BA94" s="131"/>
      <c r="BB94" s="131"/>
      <c r="BC94" s="131"/>
      <c r="BD94" s="132"/>
      <c r="BE94" s="131"/>
      <c r="BF94" s="131"/>
      <c r="BG94" s="131"/>
      <c r="BH94" s="131"/>
    </row>
    <row r="95" spans="19:60" s="20" customFormat="1" ht="22.5" customHeight="1" x14ac:dyDescent="0.25">
      <c r="S95" s="1"/>
      <c r="V95" s="133"/>
      <c r="W95" s="133"/>
      <c r="AF95" s="1"/>
      <c r="AN95" s="1"/>
      <c r="AV95" s="1"/>
      <c r="AW95" s="131"/>
      <c r="AX95" s="131"/>
      <c r="AY95" s="131"/>
      <c r="AZ95" s="131"/>
      <c r="BA95" s="131"/>
      <c r="BB95" s="131"/>
      <c r="BC95" s="131"/>
      <c r="BD95" s="132"/>
      <c r="BE95" s="131"/>
      <c r="BF95" s="131"/>
      <c r="BG95" s="131"/>
      <c r="BH95" s="131"/>
    </row>
    <row r="96" spans="19:60" s="20" customFormat="1" ht="22.5" customHeight="1" x14ac:dyDescent="0.25">
      <c r="S96" s="1"/>
      <c r="V96" s="133"/>
      <c r="W96" s="133"/>
      <c r="AF96" s="1"/>
      <c r="AN96" s="1"/>
      <c r="AV96" s="1"/>
      <c r="AW96" s="131"/>
      <c r="AX96" s="131"/>
      <c r="AY96" s="131"/>
      <c r="AZ96" s="131"/>
      <c r="BA96" s="131"/>
      <c r="BB96" s="131"/>
      <c r="BC96" s="131"/>
      <c r="BD96" s="132"/>
      <c r="BE96" s="131"/>
      <c r="BF96" s="131"/>
      <c r="BG96" s="131"/>
      <c r="BH96" s="131"/>
    </row>
    <row r="97" spans="19:60" s="20" customFormat="1" ht="22.5" customHeight="1" x14ac:dyDescent="0.25">
      <c r="S97" s="1"/>
      <c r="V97" s="133"/>
      <c r="W97" s="133"/>
      <c r="AF97" s="1"/>
      <c r="AN97" s="1"/>
      <c r="AV97" s="1"/>
      <c r="AW97" s="131"/>
      <c r="AX97" s="131"/>
      <c r="AY97" s="131"/>
      <c r="AZ97" s="131"/>
      <c r="BA97" s="131"/>
      <c r="BB97" s="131"/>
      <c r="BC97" s="131"/>
      <c r="BD97" s="132"/>
      <c r="BE97" s="131"/>
      <c r="BF97" s="131"/>
      <c r="BG97" s="131"/>
      <c r="BH97" s="131"/>
    </row>
    <row r="98" spans="19:60" s="20" customFormat="1" ht="22.5" customHeight="1" x14ac:dyDescent="0.25">
      <c r="S98" s="1"/>
      <c r="V98" s="133"/>
      <c r="W98" s="133"/>
      <c r="AF98" s="1"/>
      <c r="AN98" s="1"/>
      <c r="AV98" s="1"/>
      <c r="AW98" s="131"/>
      <c r="AX98" s="131"/>
      <c r="AY98" s="131"/>
      <c r="AZ98" s="131"/>
      <c r="BA98" s="131"/>
      <c r="BB98" s="131"/>
      <c r="BC98" s="131"/>
      <c r="BD98" s="132"/>
      <c r="BE98" s="131"/>
      <c r="BF98" s="131"/>
      <c r="BG98" s="131"/>
      <c r="BH98" s="131"/>
    </row>
    <row r="99" spans="19:60" s="20" customFormat="1" ht="22.5" customHeight="1" x14ac:dyDescent="0.25">
      <c r="S99" s="1"/>
      <c r="V99" s="133"/>
      <c r="W99" s="133"/>
      <c r="AF99" s="1"/>
      <c r="AN99" s="1"/>
      <c r="AV99" s="1"/>
      <c r="AW99" s="131"/>
      <c r="AX99" s="131"/>
      <c r="AY99" s="131"/>
      <c r="AZ99" s="131"/>
      <c r="BA99" s="131"/>
      <c r="BB99" s="131"/>
      <c r="BC99" s="131"/>
      <c r="BD99" s="132"/>
      <c r="BE99" s="131"/>
      <c r="BF99" s="131"/>
      <c r="BG99" s="131"/>
      <c r="BH99" s="131"/>
    </row>
    <row r="100" spans="19:60" s="20" customFormat="1" ht="22.5" customHeight="1" x14ac:dyDescent="0.25">
      <c r="S100" s="1"/>
      <c r="V100" s="133"/>
      <c r="W100" s="133"/>
      <c r="AF100" s="1"/>
      <c r="AN100" s="1"/>
      <c r="AV100" s="1"/>
      <c r="AW100" s="131"/>
      <c r="AX100" s="131"/>
      <c r="AY100" s="131"/>
      <c r="AZ100" s="131"/>
      <c r="BA100" s="131"/>
      <c r="BB100" s="131"/>
      <c r="BC100" s="131"/>
      <c r="BD100" s="132"/>
      <c r="BE100" s="131"/>
      <c r="BF100" s="131"/>
      <c r="BG100" s="131"/>
      <c r="BH100" s="131"/>
    </row>
    <row r="101" spans="19:60" s="20" customFormat="1" ht="22.5" customHeight="1" x14ac:dyDescent="0.25">
      <c r="S101" s="1"/>
      <c r="V101" s="133"/>
      <c r="W101" s="133"/>
      <c r="AF101" s="1"/>
      <c r="AN101" s="1"/>
      <c r="AV101" s="1"/>
      <c r="AW101" s="131"/>
      <c r="AX101" s="131"/>
      <c r="AY101" s="131"/>
      <c r="AZ101" s="131"/>
      <c r="BA101" s="131"/>
      <c r="BB101" s="131"/>
      <c r="BC101" s="131"/>
      <c r="BD101" s="132"/>
      <c r="BE101" s="131"/>
      <c r="BF101" s="131"/>
      <c r="BG101" s="131"/>
      <c r="BH101" s="131"/>
    </row>
    <row r="102" spans="19:60" s="20" customFormat="1" ht="22.5" customHeight="1" x14ac:dyDescent="0.25">
      <c r="S102" s="1"/>
      <c r="V102" s="133"/>
      <c r="W102" s="133"/>
      <c r="AF102" s="1"/>
      <c r="AN102" s="1"/>
      <c r="AV102" s="1"/>
      <c r="AW102" s="131"/>
      <c r="AX102" s="131"/>
      <c r="AY102" s="131"/>
      <c r="AZ102" s="131"/>
      <c r="BA102" s="131"/>
      <c r="BB102" s="131"/>
      <c r="BC102" s="131"/>
      <c r="BD102" s="132"/>
      <c r="BE102" s="131"/>
      <c r="BF102" s="131"/>
      <c r="BG102" s="131"/>
      <c r="BH102" s="131"/>
    </row>
    <row r="103" spans="19:60" s="20" customFormat="1" ht="22.5" customHeight="1" x14ac:dyDescent="0.25">
      <c r="S103" s="1"/>
      <c r="V103" s="133"/>
      <c r="W103" s="133"/>
      <c r="AF103" s="1"/>
      <c r="AN103" s="1"/>
      <c r="AV103" s="1"/>
      <c r="AW103" s="131"/>
      <c r="AX103" s="131"/>
      <c r="AY103" s="131"/>
      <c r="AZ103" s="131"/>
      <c r="BA103" s="131"/>
      <c r="BB103" s="131"/>
      <c r="BC103" s="131"/>
      <c r="BD103" s="132"/>
      <c r="BE103" s="131"/>
      <c r="BF103" s="131"/>
      <c r="BG103" s="131"/>
      <c r="BH103" s="131"/>
    </row>
    <row r="104" spans="19:60" s="20" customFormat="1" ht="22.5" customHeight="1" x14ac:dyDescent="0.25">
      <c r="S104" s="1"/>
      <c r="V104" s="133"/>
      <c r="W104" s="133"/>
      <c r="AF104" s="1"/>
      <c r="AN104" s="1"/>
      <c r="AV104" s="1"/>
      <c r="AW104" s="131"/>
      <c r="AX104" s="131"/>
      <c r="AY104" s="131"/>
      <c r="AZ104" s="131"/>
      <c r="BA104" s="131"/>
      <c r="BB104" s="131"/>
      <c r="BC104" s="131"/>
      <c r="BD104" s="132"/>
      <c r="BE104" s="131"/>
      <c r="BF104" s="131"/>
      <c r="BG104" s="131"/>
      <c r="BH104" s="131"/>
    </row>
    <row r="105" spans="19:60" s="20" customFormat="1" ht="22.5" customHeight="1" x14ac:dyDescent="0.25">
      <c r="S105" s="1"/>
      <c r="V105" s="133"/>
      <c r="W105" s="133"/>
      <c r="AF105" s="1"/>
      <c r="AN105" s="1"/>
      <c r="AV105" s="1"/>
      <c r="AW105" s="131"/>
      <c r="AX105" s="131"/>
      <c r="AY105" s="131"/>
      <c r="AZ105" s="131"/>
      <c r="BA105" s="131"/>
      <c r="BB105" s="131"/>
      <c r="BC105" s="131"/>
      <c r="BD105" s="132"/>
      <c r="BE105" s="131"/>
      <c r="BF105" s="131"/>
      <c r="BG105" s="131"/>
      <c r="BH105" s="131"/>
    </row>
    <row r="106" spans="19:60" s="20" customFormat="1" ht="22.5" customHeight="1" x14ac:dyDescent="0.25">
      <c r="S106" s="1"/>
      <c r="V106" s="133"/>
      <c r="W106" s="133"/>
      <c r="AF106" s="1"/>
      <c r="AN106" s="1"/>
      <c r="AV106" s="1"/>
      <c r="AW106" s="131"/>
      <c r="AX106" s="131"/>
      <c r="AY106" s="131"/>
      <c r="AZ106" s="131"/>
      <c r="BA106" s="131"/>
      <c r="BB106" s="131"/>
      <c r="BC106" s="131"/>
      <c r="BD106" s="132"/>
      <c r="BE106" s="131"/>
      <c r="BF106" s="131"/>
      <c r="BG106" s="131"/>
      <c r="BH106" s="131"/>
    </row>
    <row r="107" spans="19:60" s="20" customFormat="1" ht="22.5" customHeight="1" x14ac:dyDescent="0.25">
      <c r="S107" s="1"/>
      <c r="V107" s="133"/>
      <c r="W107" s="133"/>
      <c r="AF107" s="1"/>
      <c r="AN107" s="1"/>
      <c r="AV107" s="1"/>
      <c r="AW107" s="131"/>
      <c r="AX107" s="131"/>
      <c r="AY107" s="131"/>
      <c r="AZ107" s="131"/>
      <c r="BA107" s="131"/>
      <c r="BB107" s="131"/>
      <c r="BC107" s="131"/>
      <c r="BD107" s="132"/>
      <c r="BE107" s="131"/>
      <c r="BF107" s="131"/>
      <c r="BG107" s="131"/>
      <c r="BH107" s="131"/>
    </row>
    <row r="108" spans="19:60" s="20" customFormat="1" ht="22.5" customHeight="1" x14ac:dyDescent="0.25">
      <c r="S108" s="1"/>
      <c r="V108" s="133"/>
      <c r="W108" s="133"/>
      <c r="AF108" s="1"/>
      <c r="AN108" s="1"/>
      <c r="AV108" s="1"/>
      <c r="AW108" s="131"/>
      <c r="AX108" s="131"/>
      <c r="AY108" s="131"/>
      <c r="AZ108" s="131"/>
      <c r="BA108" s="131"/>
      <c r="BB108" s="131"/>
      <c r="BC108" s="131"/>
      <c r="BD108" s="132"/>
      <c r="BE108" s="131"/>
      <c r="BF108" s="131"/>
      <c r="BG108" s="131"/>
      <c r="BH108" s="131"/>
    </row>
    <row r="109" spans="19:60" s="20" customFormat="1" ht="22.5" customHeight="1" x14ac:dyDescent="0.25">
      <c r="S109" s="1"/>
      <c r="V109" s="133"/>
      <c r="W109" s="133"/>
      <c r="AF109" s="1"/>
      <c r="AN109" s="1"/>
      <c r="AV109" s="1"/>
      <c r="AW109" s="131"/>
      <c r="AX109" s="131"/>
      <c r="AY109" s="131"/>
      <c r="AZ109" s="131"/>
      <c r="BA109" s="131"/>
      <c r="BB109" s="131"/>
      <c r="BC109" s="131"/>
      <c r="BD109" s="132"/>
      <c r="BE109" s="131"/>
      <c r="BF109" s="131"/>
      <c r="BG109" s="131"/>
      <c r="BH109" s="131"/>
    </row>
    <row r="110" spans="19:60" s="20" customFormat="1" ht="22.5" customHeight="1" x14ac:dyDescent="0.25">
      <c r="S110" s="1"/>
      <c r="V110" s="133"/>
      <c r="W110" s="133"/>
      <c r="AF110" s="1"/>
      <c r="AN110" s="1"/>
      <c r="AV110" s="1"/>
      <c r="AW110" s="131"/>
      <c r="AX110" s="131"/>
      <c r="AY110" s="131"/>
      <c r="AZ110" s="131"/>
      <c r="BA110" s="131"/>
      <c r="BB110" s="131"/>
      <c r="BC110" s="131"/>
      <c r="BD110" s="132"/>
      <c r="BE110" s="131"/>
      <c r="BF110" s="131"/>
      <c r="BG110" s="131"/>
      <c r="BH110" s="131"/>
    </row>
    <row r="111" spans="19:60" s="20" customFormat="1" ht="22.5" customHeight="1" x14ac:dyDescent="0.25">
      <c r="S111" s="1"/>
      <c r="V111" s="133"/>
      <c r="W111" s="133"/>
      <c r="AF111" s="1"/>
      <c r="AN111" s="1"/>
      <c r="AV111" s="1"/>
      <c r="AW111" s="131"/>
      <c r="AX111" s="131"/>
      <c r="AY111" s="131"/>
      <c r="AZ111" s="131"/>
      <c r="BA111" s="131"/>
      <c r="BB111" s="131"/>
      <c r="BC111" s="131"/>
      <c r="BD111" s="132"/>
      <c r="BE111" s="131"/>
      <c r="BF111" s="131"/>
      <c r="BG111" s="131"/>
      <c r="BH111" s="131"/>
    </row>
    <row r="112" spans="19:60" s="20" customFormat="1" ht="22.5" customHeight="1" x14ac:dyDescent="0.25">
      <c r="S112" s="1"/>
      <c r="V112" s="133"/>
      <c r="W112" s="133"/>
      <c r="AF112" s="1"/>
      <c r="AN112" s="1"/>
      <c r="AV112" s="1"/>
      <c r="AW112" s="131"/>
      <c r="AX112" s="131"/>
      <c r="AY112" s="131"/>
      <c r="AZ112" s="131"/>
      <c r="BA112" s="131"/>
      <c r="BB112" s="131"/>
      <c r="BC112" s="131"/>
      <c r="BD112" s="132"/>
      <c r="BE112" s="131"/>
      <c r="BF112" s="131"/>
      <c r="BG112" s="131"/>
      <c r="BH112" s="131"/>
    </row>
    <row r="113" spans="19:60" s="20" customFormat="1" ht="22.5" customHeight="1" x14ac:dyDescent="0.25">
      <c r="S113" s="1"/>
      <c r="V113" s="133"/>
      <c r="W113" s="133"/>
      <c r="AF113" s="1"/>
      <c r="AN113" s="1"/>
      <c r="AV113" s="1"/>
      <c r="AW113" s="131"/>
      <c r="AX113" s="131"/>
      <c r="AY113" s="131"/>
      <c r="AZ113" s="131"/>
      <c r="BA113" s="131"/>
      <c r="BB113" s="131"/>
      <c r="BC113" s="131"/>
      <c r="BD113" s="132"/>
      <c r="BE113" s="131"/>
      <c r="BF113" s="131"/>
      <c r="BG113" s="131"/>
      <c r="BH113" s="131"/>
    </row>
    <row r="114" spans="19:60" s="20" customFormat="1" ht="22.5" customHeight="1" x14ac:dyDescent="0.25">
      <c r="S114" s="1"/>
      <c r="V114" s="133"/>
      <c r="W114" s="133"/>
      <c r="AF114" s="1"/>
      <c r="AN114" s="1"/>
      <c r="AV114" s="1"/>
      <c r="AW114" s="131"/>
      <c r="AX114" s="131"/>
      <c r="AY114" s="131"/>
      <c r="AZ114" s="131"/>
      <c r="BA114" s="131"/>
      <c r="BB114" s="131"/>
      <c r="BC114" s="131"/>
      <c r="BD114" s="132"/>
      <c r="BE114" s="131"/>
      <c r="BF114" s="131"/>
      <c r="BG114" s="131"/>
      <c r="BH114" s="131"/>
    </row>
    <row r="115" spans="19:60" s="20" customFormat="1" ht="22.5" customHeight="1" x14ac:dyDescent="0.25">
      <c r="S115" s="1"/>
      <c r="V115" s="133"/>
      <c r="W115" s="133"/>
      <c r="AF115" s="1"/>
      <c r="AN115" s="1"/>
      <c r="AV115" s="1"/>
      <c r="AW115" s="131"/>
      <c r="AX115" s="131"/>
      <c r="AY115" s="131"/>
      <c r="AZ115" s="131"/>
      <c r="BA115" s="131"/>
      <c r="BB115" s="131"/>
      <c r="BC115" s="131"/>
      <c r="BD115" s="132"/>
      <c r="BE115" s="131"/>
      <c r="BF115" s="131"/>
      <c r="BG115" s="131"/>
      <c r="BH115" s="131"/>
    </row>
    <row r="116" spans="19:60" s="20" customFormat="1" ht="22.5" customHeight="1" x14ac:dyDescent="0.25">
      <c r="S116" s="1"/>
      <c r="V116" s="133"/>
      <c r="W116" s="133"/>
      <c r="AF116" s="1"/>
      <c r="AN116" s="1"/>
      <c r="AV116" s="1"/>
      <c r="AW116" s="131"/>
      <c r="AX116" s="131"/>
      <c r="AY116" s="131"/>
      <c r="AZ116" s="131"/>
      <c r="BA116" s="131"/>
      <c r="BB116" s="131"/>
      <c r="BC116" s="131"/>
      <c r="BD116" s="132"/>
      <c r="BE116" s="131"/>
      <c r="BF116" s="131"/>
      <c r="BG116" s="131"/>
      <c r="BH116" s="131"/>
    </row>
    <row r="117" spans="19:60" s="20" customFormat="1" ht="22.5" customHeight="1" x14ac:dyDescent="0.25">
      <c r="S117" s="1"/>
      <c r="V117" s="133"/>
      <c r="W117" s="133"/>
      <c r="AF117" s="1"/>
      <c r="AN117" s="1"/>
      <c r="AV117" s="1"/>
      <c r="AW117" s="131"/>
      <c r="AX117" s="131"/>
      <c r="AY117" s="131"/>
      <c r="AZ117" s="131"/>
      <c r="BA117" s="131"/>
      <c r="BB117" s="131"/>
      <c r="BC117" s="131"/>
      <c r="BD117" s="132"/>
      <c r="BE117" s="131"/>
      <c r="BF117" s="131"/>
      <c r="BG117" s="131"/>
      <c r="BH117" s="131"/>
    </row>
    <row r="118" spans="19:60" s="20" customFormat="1" ht="22.5" customHeight="1" x14ac:dyDescent="0.25">
      <c r="S118" s="1"/>
      <c r="V118" s="133"/>
      <c r="W118" s="133"/>
      <c r="AF118" s="1"/>
      <c r="AN118" s="1"/>
      <c r="AV118" s="1"/>
      <c r="AW118" s="131"/>
      <c r="AX118" s="131"/>
      <c r="AY118" s="131"/>
      <c r="AZ118" s="131"/>
      <c r="BA118" s="131"/>
      <c r="BB118" s="131"/>
      <c r="BC118" s="131"/>
      <c r="BD118" s="132"/>
      <c r="BE118" s="131"/>
      <c r="BF118" s="131"/>
      <c r="BG118" s="131"/>
      <c r="BH118" s="131"/>
    </row>
    <row r="119" spans="19:60" s="20" customFormat="1" ht="22.5" customHeight="1" x14ac:dyDescent="0.25">
      <c r="S119" s="1"/>
      <c r="V119" s="133"/>
      <c r="W119" s="133"/>
      <c r="AF119" s="1"/>
      <c r="AN119" s="1"/>
      <c r="AV119" s="1"/>
      <c r="AW119" s="131"/>
      <c r="AX119" s="131"/>
      <c r="AY119" s="131"/>
      <c r="AZ119" s="131"/>
      <c r="BA119" s="131"/>
      <c r="BB119" s="131"/>
      <c r="BC119" s="131"/>
      <c r="BD119" s="132"/>
      <c r="BE119" s="131"/>
      <c r="BF119" s="131"/>
      <c r="BG119" s="131"/>
      <c r="BH119" s="131"/>
    </row>
    <row r="120" spans="19:60" s="20" customFormat="1" ht="22.5" customHeight="1" x14ac:dyDescent="0.25">
      <c r="S120" s="1"/>
      <c r="V120" s="133"/>
      <c r="W120" s="133"/>
      <c r="AF120" s="1"/>
      <c r="AN120" s="1"/>
      <c r="AV120" s="1"/>
      <c r="AW120" s="131"/>
      <c r="AX120" s="131"/>
      <c r="AY120" s="131"/>
      <c r="AZ120" s="131"/>
      <c r="BA120" s="131"/>
      <c r="BB120" s="131"/>
      <c r="BC120" s="131"/>
      <c r="BD120" s="132"/>
      <c r="BE120" s="131"/>
      <c r="BF120" s="131"/>
      <c r="BG120" s="131"/>
      <c r="BH120" s="131"/>
    </row>
    <row r="121" spans="19:60" s="20" customFormat="1" ht="22.5" customHeight="1" x14ac:dyDescent="0.25">
      <c r="S121" s="1"/>
      <c r="V121" s="133"/>
      <c r="W121" s="133"/>
      <c r="AF121" s="1"/>
      <c r="AN121" s="1"/>
      <c r="AV121" s="1"/>
      <c r="AW121" s="131"/>
      <c r="AX121" s="131"/>
      <c r="AY121" s="131"/>
      <c r="AZ121" s="131"/>
      <c r="BA121" s="131"/>
      <c r="BB121" s="131"/>
      <c r="BC121" s="131"/>
      <c r="BD121" s="132"/>
      <c r="BE121" s="131"/>
      <c r="BF121" s="131"/>
      <c r="BG121" s="131"/>
      <c r="BH121" s="131"/>
    </row>
    <row r="122" spans="19:60" s="20" customFormat="1" ht="22.5" customHeight="1" x14ac:dyDescent="0.25">
      <c r="S122" s="1"/>
      <c r="V122" s="133"/>
      <c r="W122" s="133"/>
      <c r="AF122" s="1"/>
      <c r="AN122" s="1"/>
      <c r="AV122" s="1"/>
      <c r="AW122" s="131"/>
      <c r="AX122" s="131"/>
      <c r="AY122" s="131"/>
      <c r="AZ122" s="131"/>
      <c r="BA122" s="131"/>
      <c r="BB122" s="131"/>
      <c r="BC122" s="131"/>
      <c r="BD122" s="132"/>
      <c r="BE122" s="131"/>
      <c r="BF122" s="131"/>
      <c r="BG122" s="131"/>
      <c r="BH122" s="131"/>
    </row>
    <row r="123" spans="19:60" s="20" customFormat="1" ht="22.5" customHeight="1" x14ac:dyDescent="0.25">
      <c r="S123" s="1"/>
      <c r="V123" s="133"/>
      <c r="W123" s="133"/>
      <c r="AF123" s="1"/>
      <c r="AN123" s="1"/>
      <c r="AV123" s="1"/>
      <c r="AW123" s="131"/>
      <c r="AX123" s="131"/>
      <c r="AY123" s="131"/>
      <c r="AZ123" s="131"/>
      <c r="BA123" s="131"/>
      <c r="BB123" s="131"/>
      <c r="BC123" s="131"/>
      <c r="BD123" s="132"/>
      <c r="BE123" s="131"/>
      <c r="BF123" s="131"/>
      <c r="BG123" s="131"/>
      <c r="BH123" s="131"/>
    </row>
    <row r="124" spans="19:60" s="20" customFormat="1" ht="22.5" customHeight="1" x14ac:dyDescent="0.25">
      <c r="S124" s="1"/>
      <c r="V124" s="133"/>
      <c r="W124" s="133"/>
      <c r="AF124" s="1"/>
      <c r="AN124" s="1"/>
      <c r="AV124" s="1"/>
      <c r="AW124" s="131"/>
      <c r="AX124" s="131"/>
      <c r="AY124" s="131"/>
      <c r="AZ124" s="131"/>
      <c r="BA124" s="131"/>
      <c r="BB124" s="131"/>
      <c r="BC124" s="131"/>
      <c r="BD124" s="132"/>
      <c r="BE124" s="131"/>
      <c r="BF124" s="131"/>
      <c r="BG124" s="131"/>
      <c r="BH124" s="131"/>
    </row>
    <row r="125" spans="19:60" s="20" customFormat="1" ht="22.5" customHeight="1" x14ac:dyDescent="0.25">
      <c r="S125" s="1"/>
      <c r="V125" s="133"/>
      <c r="W125" s="133"/>
      <c r="AF125" s="1"/>
      <c r="AN125" s="1"/>
      <c r="AV125" s="1"/>
      <c r="AW125" s="131"/>
      <c r="AX125" s="131"/>
      <c r="AY125" s="131"/>
      <c r="AZ125" s="131"/>
      <c r="BA125" s="131"/>
      <c r="BB125" s="131"/>
      <c r="BC125" s="131"/>
      <c r="BD125" s="132"/>
      <c r="BE125" s="131"/>
      <c r="BF125" s="131"/>
      <c r="BG125" s="131"/>
      <c r="BH125" s="131"/>
    </row>
    <row r="126" spans="19:60" s="20" customFormat="1" ht="22.5" customHeight="1" x14ac:dyDescent="0.25">
      <c r="S126" s="1"/>
      <c r="V126" s="133"/>
      <c r="W126" s="133"/>
      <c r="AF126" s="1"/>
      <c r="AN126" s="1"/>
      <c r="AV126" s="1"/>
      <c r="AW126" s="131"/>
      <c r="AX126" s="131"/>
      <c r="AY126" s="131"/>
      <c r="AZ126" s="131"/>
      <c r="BA126" s="131"/>
      <c r="BB126" s="131"/>
      <c r="BC126" s="131"/>
      <c r="BD126" s="132"/>
      <c r="BE126" s="131"/>
      <c r="BF126" s="131"/>
      <c r="BG126" s="131"/>
      <c r="BH126" s="131"/>
    </row>
    <row r="127" spans="19:60" s="20" customFormat="1" ht="22.5" customHeight="1" x14ac:dyDescent="0.25">
      <c r="S127" s="1"/>
      <c r="V127" s="133"/>
      <c r="W127" s="133"/>
      <c r="AF127" s="1"/>
      <c r="AN127" s="1"/>
      <c r="AV127" s="1"/>
      <c r="AW127" s="131"/>
      <c r="AX127" s="131"/>
      <c r="AY127" s="131"/>
      <c r="AZ127" s="131"/>
      <c r="BA127" s="131"/>
      <c r="BB127" s="131"/>
      <c r="BC127" s="131"/>
      <c r="BD127" s="132"/>
      <c r="BE127" s="131"/>
      <c r="BF127" s="131"/>
      <c r="BG127" s="131"/>
      <c r="BH127" s="131"/>
    </row>
    <row r="128" spans="19:60" s="20" customFormat="1" ht="22.5" customHeight="1" x14ac:dyDescent="0.25">
      <c r="S128" s="1"/>
      <c r="V128" s="133"/>
      <c r="W128" s="133"/>
      <c r="AF128" s="1"/>
      <c r="AN128" s="1"/>
      <c r="AV128" s="1"/>
      <c r="AW128" s="131"/>
      <c r="AX128" s="131"/>
      <c r="AY128" s="131"/>
      <c r="AZ128" s="131"/>
      <c r="BA128" s="131"/>
      <c r="BB128" s="131"/>
      <c r="BC128" s="131"/>
      <c r="BD128" s="132"/>
      <c r="BE128" s="131"/>
      <c r="BF128" s="131"/>
      <c r="BG128" s="131"/>
      <c r="BH128" s="131"/>
    </row>
    <row r="129" spans="19:60" s="20" customFormat="1" ht="22.5" customHeight="1" x14ac:dyDescent="0.25">
      <c r="S129" s="1"/>
      <c r="V129" s="133"/>
      <c r="W129" s="133"/>
      <c r="AF129" s="1"/>
      <c r="AN129" s="1"/>
      <c r="AV129" s="1"/>
      <c r="AW129" s="131"/>
      <c r="AX129" s="131"/>
      <c r="AY129" s="131"/>
      <c r="AZ129" s="131"/>
      <c r="BA129" s="131"/>
      <c r="BB129" s="131"/>
      <c r="BC129" s="131"/>
      <c r="BD129" s="132"/>
      <c r="BE129" s="131"/>
      <c r="BF129" s="131"/>
      <c r="BG129" s="131"/>
      <c r="BH129" s="131"/>
    </row>
    <row r="130" spans="19:60" s="20" customFormat="1" ht="22.5" customHeight="1" x14ac:dyDescent="0.25">
      <c r="S130" s="1"/>
      <c r="V130" s="133"/>
      <c r="W130" s="133"/>
      <c r="AF130" s="1"/>
      <c r="AN130" s="1"/>
      <c r="AV130" s="1"/>
      <c r="AW130" s="131"/>
      <c r="AX130" s="131"/>
      <c r="AY130" s="131"/>
      <c r="AZ130" s="131"/>
      <c r="BA130" s="131"/>
      <c r="BB130" s="131"/>
      <c r="BC130" s="131"/>
      <c r="BD130" s="132"/>
      <c r="BE130" s="131"/>
      <c r="BF130" s="131"/>
      <c r="BG130" s="131"/>
      <c r="BH130" s="131"/>
    </row>
    <row r="131" spans="19:60" s="20" customFormat="1" ht="22.5" customHeight="1" x14ac:dyDescent="0.25">
      <c r="S131" s="1"/>
      <c r="V131" s="133"/>
      <c r="W131" s="133"/>
      <c r="AF131" s="1"/>
      <c r="AN131" s="1"/>
      <c r="AV131" s="1"/>
      <c r="AW131" s="131"/>
      <c r="AX131" s="131"/>
      <c r="AY131" s="131"/>
      <c r="AZ131" s="131"/>
      <c r="BA131" s="131"/>
      <c r="BB131" s="131"/>
      <c r="BC131" s="131"/>
      <c r="BD131" s="132"/>
      <c r="BE131" s="131"/>
      <c r="BF131" s="131"/>
      <c r="BG131" s="131"/>
      <c r="BH131" s="131"/>
    </row>
    <row r="132" spans="19:60" s="20" customFormat="1" ht="22.5" customHeight="1" x14ac:dyDescent="0.25">
      <c r="S132" s="1"/>
      <c r="V132" s="133"/>
      <c r="W132" s="133"/>
      <c r="AF132" s="1"/>
      <c r="AN132" s="1"/>
      <c r="AV132" s="1"/>
      <c r="AW132" s="131"/>
      <c r="AX132" s="131"/>
      <c r="AY132" s="131"/>
      <c r="AZ132" s="131"/>
      <c r="BA132" s="131"/>
      <c r="BB132" s="131"/>
      <c r="BC132" s="131"/>
      <c r="BD132" s="132"/>
      <c r="BE132" s="131"/>
      <c r="BF132" s="131"/>
      <c r="BG132" s="131"/>
      <c r="BH132" s="131"/>
    </row>
    <row r="133" spans="19:60" s="20" customFormat="1" ht="22.5" customHeight="1" x14ac:dyDescent="0.25">
      <c r="S133" s="1"/>
      <c r="V133" s="133"/>
      <c r="W133" s="133"/>
      <c r="AF133" s="1"/>
      <c r="AN133" s="1"/>
      <c r="AV133" s="1"/>
      <c r="AW133" s="131"/>
      <c r="AX133" s="131"/>
      <c r="AY133" s="131"/>
      <c r="AZ133" s="131"/>
      <c r="BA133" s="131"/>
      <c r="BB133" s="131"/>
      <c r="BC133" s="131"/>
      <c r="BD133" s="132"/>
      <c r="BE133" s="131"/>
      <c r="BF133" s="131"/>
      <c r="BG133" s="131"/>
      <c r="BH133" s="131"/>
    </row>
    <row r="134" spans="19:60" s="20" customFormat="1" ht="22.5" customHeight="1" x14ac:dyDescent="0.25">
      <c r="S134" s="1"/>
      <c r="V134" s="133"/>
      <c r="W134" s="133"/>
      <c r="AF134" s="1"/>
      <c r="AN134" s="1"/>
      <c r="AV134" s="1"/>
      <c r="AW134" s="131"/>
      <c r="AX134" s="131"/>
      <c r="AY134" s="131"/>
      <c r="AZ134" s="131"/>
      <c r="BA134" s="131"/>
      <c r="BB134" s="131"/>
      <c r="BC134" s="131"/>
      <c r="BD134" s="132"/>
      <c r="BE134" s="131"/>
      <c r="BF134" s="131"/>
      <c r="BG134" s="131"/>
      <c r="BH134" s="131"/>
    </row>
    <row r="135" spans="19:60" s="20" customFormat="1" ht="22.5" customHeight="1" x14ac:dyDescent="0.25">
      <c r="S135" s="1"/>
      <c r="V135" s="133"/>
      <c r="W135" s="133"/>
      <c r="AF135" s="1"/>
      <c r="AN135" s="1"/>
      <c r="AV135" s="1"/>
      <c r="AW135" s="131"/>
      <c r="AX135" s="131"/>
      <c r="AY135" s="131"/>
      <c r="AZ135" s="131"/>
      <c r="BA135" s="131"/>
      <c r="BB135" s="131"/>
      <c r="BC135" s="131"/>
      <c r="BD135" s="132"/>
      <c r="BE135" s="131"/>
      <c r="BF135" s="131"/>
      <c r="BG135" s="131"/>
      <c r="BH135" s="131"/>
    </row>
    <row r="136" spans="19:60" s="20" customFormat="1" ht="22.5" customHeight="1" x14ac:dyDescent="0.25">
      <c r="S136" s="1"/>
      <c r="V136" s="133"/>
      <c r="W136" s="133"/>
      <c r="AF136" s="1"/>
      <c r="AN136" s="1"/>
      <c r="AV136" s="1"/>
      <c r="AW136" s="131"/>
      <c r="AX136" s="131"/>
      <c r="AY136" s="131"/>
      <c r="AZ136" s="131"/>
      <c r="BA136" s="131"/>
      <c r="BB136" s="131"/>
      <c r="BC136" s="131"/>
      <c r="BD136" s="132"/>
      <c r="BE136" s="131"/>
      <c r="BF136" s="131"/>
      <c r="BG136" s="131"/>
      <c r="BH136" s="131"/>
    </row>
    <row r="137" spans="19:60" s="20" customFormat="1" ht="22.5" customHeight="1" x14ac:dyDescent="0.25">
      <c r="S137" s="1"/>
      <c r="V137" s="133"/>
      <c r="W137" s="133"/>
      <c r="AF137" s="1"/>
      <c r="AN137" s="1"/>
      <c r="AV137" s="1"/>
      <c r="AW137" s="131"/>
      <c r="AX137" s="131"/>
      <c r="AY137" s="131"/>
      <c r="AZ137" s="131"/>
      <c r="BA137" s="131"/>
      <c r="BB137" s="131"/>
      <c r="BC137" s="131"/>
      <c r="BD137" s="132"/>
      <c r="BE137" s="131"/>
      <c r="BF137" s="131"/>
      <c r="BG137" s="131"/>
      <c r="BH137" s="131"/>
    </row>
    <row r="138" spans="19:60" s="20" customFormat="1" ht="22.5" customHeight="1" x14ac:dyDescent="0.25">
      <c r="S138" s="1"/>
      <c r="V138" s="133"/>
      <c r="W138" s="133"/>
      <c r="AF138" s="1"/>
      <c r="AN138" s="1"/>
      <c r="AV138" s="1"/>
      <c r="AW138" s="131"/>
      <c r="AX138" s="131"/>
      <c r="AY138" s="131"/>
      <c r="AZ138" s="131"/>
      <c r="BA138" s="131"/>
      <c r="BB138" s="131"/>
      <c r="BC138" s="131"/>
      <c r="BD138" s="132"/>
      <c r="BE138" s="131"/>
      <c r="BF138" s="131"/>
      <c r="BG138" s="131"/>
      <c r="BH138" s="131"/>
    </row>
    <row r="139" spans="19:60" s="20" customFormat="1" ht="22.5" customHeight="1" x14ac:dyDescent="0.25">
      <c r="S139" s="1"/>
      <c r="V139" s="133"/>
      <c r="W139" s="133"/>
      <c r="AF139" s="1"/>
      <c r="AN139" s="1"/>
      <c r="AV139" s="1"/>
      <c r="AW139" s="131"/>
      <c r="AX139" s="131"/>
      <c r="AY139" s="131"/>
      <c r="AZ139" s="131"/>
      <c r="BA139" s="131"/>
      <c r="BB139" s="131"/>
      <c r="BC139" s="131"/>
      <c r="BD139" s="132"/>
      <c r="BE139" s="131"/>
      <c r="BF139" s="131"/>
      <c r="BG139" s="131"/>
      <c r="BH139" s="131"/>
    </row>
    <row r="140" spans="19:60" s="20" customFormat="1" ht="22.5" customHeight="1" x14ac:dyDescent="0.25">
      <c r="S140" s="1"/>
      <c r="V140" s="133"/>
      <c r="W140" s="133"/>
      <c r="AF140" s="1"/>
      <c r="AN140" s="1"/>
      <c r="AV140" s="1"/>
      <c r="AW140" s="131"/>
      <c r="AX140" s="131"/>
      <c r="AY140" s="131"/>
      <c r="AZ140" s="131"/>
      <c r="BA140" s="131"/>
      <c r="BB140" s="131"/>
      <c r="BC140" s="131"/>
      <c r="BD140" s="132"/>
      <c r="BE140" s="131"/>
      <c r="BF140" s="131"/>
      <c r="BG140" s="131"/>
      <c r="BH140" s="131"/>
    </row>
    <row r="141" spans="19:60" s="20" customFormat="1" ht="22.5" customHeight="1" x14ac:dyDescent="0.25">
      <c r="S141" s="1"/>
      <c r="V141" s="133"/>
      <c r="W141" s="133"/>
      <c r="AF141" s="1"/>
      <c r="AN141" s="1"/>
      <c r="AV141" s="1"/>
      <c r="AW141" s="131"/>
      <c r="AX141" s="131"/>
      <c r="AY141" s="131"/>
      <c r="AZ141" s="131"/>
      <c r="BA141" s="131"/>
      <c r="BB141" s="131"/>
      <c r="BC141" s="131"/>
      <c r="BD141" s="132"/>
      <c r="BE141" s="131"/>
      <c r="BF141" s="131"/>
      <c r="BG141" s="131"/>
      <c r="BH141" s="131"/>
    </row>
    <row r="142" spans="19:60" s="20" customFormat="1" ht="22.5" customHeight="1" x14ac:dyDescent="0.25">
      <c r="S142" s="1"/>
      <c r="V142" s="133"/>
      <c r="W142" s="133"/>
      <c r="AF142" s="1"/>
      <c r="AN142" s="1"/>
      <c r="AV142" s="1"/>
      <c r="AW142" s="131"/>
      <c r="AX142" s="131"/>
      <c r="AY142" s="131"/>
      <c r="AZ142" s="131"/>
      <c r="BA142" s="131"/>
      <c r="BB142" s="131"/>
      <c r="BC142" s="131"/>
      <c r="BD142" s="132"/>
      <c r="BE142" s="131"/>
      <c r="BF142" s="131"/>
      <c r="BG142" s="131"/>
      <c r="BH142" s="131"/>
    </row>
    <row r="143" spans="19:60" s="20" customFormat="1" ht="22.5" customHeight="1" x14ac:dyDescent="0.25">
      <c r="S143" s="1"/>
      <c r="V143" s="133"/>
      <c r="W143" s="133"/>
      <c r="AF143" s="1"/>
      <c r="AN143" s="1"/>
      <c r="AV143" s="1"/>
      <c r="AW143" s="131"/>
      <c r="AX143" s="131"/>
      <c r="AY143" s="131"/>
      <c r="AZ143" s="131"/>
      <c r="BA143" s="131"/>
      <c r="BB143" s="131"/>
      <c r="BC143" s="131"/>
      <c r="BD143" s="132"/>
      <c r="BE143" s="131"/>
      <c r="BF143" s="131"/>
      <c r="BG143" s="131"/>
      <c r="BH143" s="131"/>
    </row>
    <row r="144" spans="19:60" s="20" customFormat="1" ht="22.5" customHeight="1" x14ac:dyDescent="0.25">
      <c r="S144" s="1"/>
      <c r="V144" s="133"/>
      <c r="W144" s="133"/>
      <c r="AF144" s="1"/>
      <c r="AN144" s="1"/>
      <c r="AV144" s="1"/>
      <c r="AW144" s="131"/>
      <c r="AX144" s="131"/>
      <c r="AY144" s="131"/>
      <c r="AZ144" s="131"/>
      <c r="BA144" s="131"/>
      <c r="BB144" s="131"/>
      <c r="BC144" s="131"/>
      <c r="BD144" s="132"/>
      <c r="BE144" s="131"/>
      <c r="BF144" s="131"/>
      <c r="BG144" s="131"/>
      <c r="BH144" s="131"/>
    </row>
    <row r="145" spans="19:60" s="20" customFormat="1" ht="22.5" customHeight="1" x14ac:dyDescent="0.25">
      <c r="S145" s="1"/>
      <c r="V145" s="133"/>
      <c r="W145" s="133"/>
      <c r="AF145" s="1"/>
      <c r="AN145" s="1"/>
      <c r="AV145" s="1"/>
      <c r="AW145" s="131"/>
      <c r="AX145" s="131"/>
      <c r="AY145" s="131"/>
      <c r="AZ145" s="131"/>
      <c r="BA145" s="131"/>
      <c r="BB145" s="131"/>
      <c r="BC145" s="131"/>
      <c r="BD145" s="132"/>
      <c r="BE145" s="131"/>
      <c r="BF145" s="131"/>
      <c r="BG145" s="131"/>
      <c r="BH145" s="131"/>
    </row>
    <row r="146" spans="19:60" s="20" customFormat="1" ht="22.5" customHeight="1" x14ac:dyDescent="0.25">
      <c r="S146" s="1"/>
      <c r="V146" s="133"/>
      <c r="W146" s="133"/>
      <c r="AF146" s="1"/>
      <c r="AN146" s="1"/>
      <c r="AV146" s="1"/>
      <c r="AW146" s="131"/>
      <c r="AX146" s="131"/>
      <c r="AY146" s="131"/>
      <c r="AZ146" s="131"/>
      <c r="BA146" s="131"/>
      <c r="BB146" s="131"/>
      <c r="BC146" s="131"/>
      <c r="BD146" s="132"/>
      <c r="BE146" s="131"/>
      <c r="BF146" s="131"/>
      <c r="BG146" s="131"/>
      <c r="BH146" s="131"/>
    </row>
    <row r="147" spans="19:60" s="20" customFormat="1" ht="22.5" customHeight="1" x14ac:dyDescent="0.25">
      <c r="S147" s="1"/>
      <c r="V147" s="133"/>
      <c r="W147" s="133"/>
      <c r="AF147" s="1"/>
      <c r="AN147" s="1"/>
      <c r="AV147" s="1"/>
      <c r="AW147" s="131"/>
      <c r="AX147" s="131"/>
      <c r="AY147" s="131"/>
      <c r="AZ147" s="131"/>
      <c r="BA147" s="131"/>
      <c r="BB147" s="131"/>
      <c r="BC147" s="131"/>
      <c r="BD147" s="132"/>
      <c r="BE147" s="131"/>
      <c r="BF147" s="131"/>
      <c r="BG147" s="131"/>
      <c r="BH147" s="131"/>
    </row>
    <row r="148" spans="19:60" s="20" customFormat="1" ht="22.5" customHeight="1" x14ac:dyDescent="0.25">
      <c r="S148" s="1"/>
      <c r="V148" s="133"/>
      <c r="W148" s="133"/>
      <c r="AF148" s="1"/>
      <c r="AN148" s="1"/>
      <c r="AV148" s="1"/>
      <c r="AW148" s="131"/>
      <c r="AX148" s="131"/>
      <c r="AY148" s="131"/>
      <c r="AZ148" s="131"/>
      <c r="BA148" s="131"/>
      <c r="BB148" s="131"/>
      <c r="BC148" s="131"/>
      <c r="BD148" s="132"/>
      <c r="BE148" s="131"/>
      <c r="BF148" s="131"/>
      <c r="BG148" s="131"/>
      <c r="BH148" s="131"/>
    </row>
    <row r="149" spans="19:60" s="20" customFormat="1" ht="22.5" customHeight="1" x14ac:dyDescent="0.25">
      <c r="S149" s="1"/>
      <c r="V149" s="133"/>
      <c r="W149" s="133"/>
      <c r="AF149" s="1"/>
      <c r="AN149" s="1"/>
      <c r="AV149" s="1"/>
      <c r="AW149" s="131"/>
      <c r="AX149" s="131"/>
      <c r="AY149" s="131"/>
      <c r="AZ149" s="131"/>
      <c r="BA149" s="131"/>
      <c r="BB149" s="131"/>
      <c r="BC149" s="131"/>
      <c r="BD149" s="132"/>
      <c r="BE149" s="131"/>
      <c r="BF149" s="131"/>
      <c r="BG149" s="131"/>
      <c r="BH149" s="131"/>
    </row>
    <row r="150" spans="19:60" s="20" customFormat="1" ht="22.5" customHeight="1" x14ac:dyDescent="0.25">
      <c r="S150" s="1"/>
      <c r="V150" s="133"/>
      <c r="W150" s="133"/>
      <c r="AF150" s="1"/>
      <c r="AN150" s="1"/>
      <c r="AV150" s="1"/>
      <c r="AW150" s="131"/>
      <c r="AX150" s="131"/>
      <c r="AY150" s="131"/>
      <c r="AZ150" s="131"/>
      <c r="BA150" s="131"/>
      <c r="BB150" s="131"/>
      <c r="BC150" s="131"/>
      <c r="BD150" s="132"/>
      <c r="BE150" s="131"/>
      <c r="BF150" s="131"/>
      <c r="BG150" s="131"/>
      <c r="BH150" s="131"/>
    </row>
    <row r="151" spans="19:60" s="20" customFormat="1" ht="22.5" customHeight="1" x14ac:dyDescent="0.25">
      <c r="S151" s="1"/>
      <c r="V151" s="133"/>
      <c r="W151" s="133"/>
      <c r="AF151" s="1"/>
      <c r="AN151" s="1"/>
      <c r="AV151" s="1"/>
      <c r="AW151" s="131"/>
      <c r="AX151" s="131"/>
      <c r="AY151" s="131"/>
      <c r="AZ151" s="131"/>
      <c r="BA151" s="131"/>
      <c r="BB151" s="131"/>
      <c r="BC151" s="131"/>
      <c r="BD151" s="132"/>
      <c r="BE151" s="131"/>
      <c r="BF151" s="131"/>
      <c r="BG151" s="131"/>
      <c r="BH151" s="131"/>
    </row>
    <row r="152" spans="19:60" s="20" customFormat="1" ht="22.5" customHeight="1" x14ac:dyDescent="0.25">
      <c r="S152" s="1"/>
      <c r="V152" s="133"/>
      <c r="W152" s="133"/>
      <c r="AF152" s="1"/>
      <c r="AN152" s="1"/>
      <c r="AV152" s="1"/>
      <c r="AW152" s="131"/>
      <c r="AX152" s="131"/>
      <c r="AY152" s="131"/>
      <c r="AZ152" s="131"/>
      <c r="BA152" s="131"/>
      <c r="BB152" s="131"/>
      <c r="BC152" s="131"/>
      <c r="BD152" s="132"/>
      <c r="BE152" s="131"/>
      <c r="BF152" s="131"/>
      <c r="BG152" s="131"/>
      <c r="BH152" s="131"/>
    </row>
    <row r="153" spans="19:60" s="20" customFormat="1" ht="22.5" customHeight="1" x14ac:dyDescent="0.25">
      <c r="S153" s="1"/>
      <c r="V153" s="133"/>
      <c r="W153" s="133"/>
      <c r="AF153" s="1"/>
      <c r="AN153" s="1"/>
      <c r="AV153" s="1"/>
      <c r="AW153" s="131"/>
      <c r="AX153" s="131"/>
      <c r="AY153" s="131"/>
      <c r="AZ153" s="131"/>
      <c r="BA153" s="131"/>
      <c r="BB153" s="131"/>
      <c r="BC153" s="131"/>
      <c r="BD153" s="132"/>
      <c r="BE153" s="131"/>
      <c r="BF153" s="131"/>
      <c r="BG153" s="131"/>
      <c r="BH153" s="131"/>
    </row>
    <row r="154" spans="19:60" s="20" customFormat="1" ht="22.5" customHeight="1" x14ac:dyDescent="0.25">
      <c r="S154" s="1"/>
      <c r="V154" s="133"/>
      <c r="W154" s="133"/>
      <c r="AF154" s="1"/>
      <c r="AN154" s="1"/>
      <c r="AV154" s="1"/>
      <c r="AW154" s="131"/>
      <c r="AX154" s="131"/>
      <c r="AY154" s="131"/>
      <c r="AZ154" s="131"/>
      <c r="BA154" s="131"/>
      <c r="BB154" s="131"/>
      <c r="BC154" s="131"/>
      <c r="BD154" s="132"/>
      <c r="BE154" s="131"/>
      <c r="BF154" s="131"/>
      <c r="BG154" s="131"/>
      <c r="BH154" s="131"/>
    </row>
    <row r="155" spans="19:60" s="20" customFormat="1" ht="22.5" customHeight="1" x14ac:dyDescent="0.25">
      <c r="S155" s="1"/>
      <c r="V155" s="133"/>
      <c r="W155" s="133"/>
      <c r="AF155" s="1"/>
      <c r="AN155" s="1"/>
      <c r="AV155" s="1"/>
      <c r="AW155" s="131"/>
      <c r="AX155" s="131"/>
      <c r="AY155" s="131"/>
      <c r="AZ155" s="131"/>
      <c r="BA155" s="131"/>
      <c r="BB155" s="131"/>
      <c r="BC155" s="131"/>
      <c r="BD155" s="132"/>
      <c r="BE155" s="131"/>
      <c r="BF155" s="131"/>
      <c r="BG155" s="131"/>
      <c r="BH155" s="131"/>
    </row>
    <row r="156" spans="19:60" s="20" customFormat="1" ht="22.5" customHeight="1" x14ac:dyDescent="0.25">
      <c r="S156" s="1"/>
      <c r="V156" s="133"/>
      <c r="W156" s="133"/>
      <c r="AF156" s="1"/>
      <c r="AN156" s="1"/>
      <c r="AV156" s="1"/>
      <c r="AW156" s="131"/>
      <c r="AX156" s="131"/>
      <c r="AY156" s="131"/>
      <c r="AZ156" s="131"/>
      <c r="BA156" s="131"/>
      <c r="BB156" s="131"/>
      <c r="BC156" s="131"/>
      <c r="BD156" s="132"/>
      <c r="BE156" s="131"/>
      <c r="BF156" s="131"/>
      <c r="BG156" s="131"/>
      <c r="BH156" s="131"/>
    </row>
    <row r="157" spans="19:60" s="20" customFormat="1" ht="22.5" customHeight="1" x14ac:dyDescent="0.25">
      <c r="S157" s="1"/>
      <c r="V157" s="133"/>
      <c r="W157" s="133"/>
      <c r="AF157" s="1"/>
      <c r="AN157" s="1"/>
      <c r="AV157" s="1"/>
      <c r="AW157" s="131"/>
      <c r="AX157" s="131"/>
      <c r="AY157" s="131"/>
      <c r="AZ157" s="131"/>
      <c r="BA157" s="131"/>
      <c r="BB157" s="131"/>
      <c r="BC157" s="131"/>
      <c r="BD157" s="132"/>
      <c r="BE157" s="131"/>
      <c r="BF157" s="131"/>
      <c r="BG157" s="131"/>
      <c r="BH157" s="131"/>
    </row>
    <row r="158" spans="19:60" s="20" customFormat="1" ht="22.5" customHeight="1" x14ac:dyDescent="0.25">
      <c r="S158" s="1"/>
      <c r="V158" s="133"/>
      <c r="W158" s="133"/>
      <c r="AF158" s="1"/>
      <c r="AN158" s="1"/>
      <c r="AV158" s="1"/>
      <c r="AW158" s="131"/>
      <c r="AX158" s="131"/>
      <c r="AY158" s="131"/>
      <c r="AZ158" s="131"/>
      <c r="BA158" s="131"/>
      <c r="BB158" s="131"/>
      <c r="BC158" s="131"/>
      <c r="BD158" s="132"/>
      <c r="BE158" s="131"/>
      <c r="BF158" s="131"/>
      <c r="BG158" s="131"/>
      <c r="BH158" s="131"/>
    </row>
    <row r="159" spans="19:60" s="20" customFormat="1" ht="22.5" customHeight="1" x14ac:dyDescent="0.25">
      <c r="S159" s="1"/>
      <c r="V159" s="133"/>
      <c r="W159" s="133"/>
      <c r="AF159" s="1"/>
      <c r="AN159" s="1"/>
      <c r="AV159" s="1"/>
      <c r="AW159" s="131"/>
      <c r="AX159" s="131"/>
      <c r="AY159" s="131"/>
      <c r="AZ159" s="131"/>
      <c r="BA159" s="131"/>
      <c r="BB159" s="131"/>
      <c r="BC159" s="131"/>
      <c r="BD159" s="132"/>
      <c r="BE159" s="131"/>
      <c r="BF159" s="131"/>
      <c r="BG159" s="131"/>
      <c r="BH159" s="131"/>
    </row>
    <row r="160" spans="19:60" s="20" customFormat="1" ht="22.5" customHeight="1" x14ac:dyDescent="0.25">
      <c r="S160" s="1"/>
      <c r="V160" s="133"/>
      <c r="W160" s="133"/>
      <c r="AF160" s="1"/>
      <c r="AN160" s="1"/>
      <c r="AV160" s="1"/>
      <c r="AW160" s="131"/>
      <c r="AX160" s="131"/>
      <c r="AY160" s="131"/>
      <c r="AZ160" s="131"/>
      <c r="BA160" s="131"/>
      <c r="BB160" s="131"/>
      <c r="BC160" s="131"/>
      <c r="BD160" s="132"/>
      <c r="BE160" s="131"/>
      <c r="BF160" s="131"/>
      <c r="BG160" s="131"/>
      <c r="BH160" s="131"/>
    </row>
    <row r="161" spans="19:60" s="20" customFormat="1" ht="22.5" customHeight="1" x14ac:dyDescent="0.25">
      <c r="S161" s="1"/>
      <c r="V161" s="133"/>
      <c r="W161" s="133"/>
      <c r="AF161" s="1"/>
      <c r="AN161" s="1"/>
      <c r="AV161" s="1"/>
      <c r="AW161" s="131"/>
      <c r="AX161" s="131"/>
      <c r="AY161" s="131"/>
      <c r="AZ161" s="131"/>
      <c r="BA161" s="131"/>
      <c r="BB161" s="131"/>
      <c r="BC161" s="131"/>
      <c r="BD161" s="132"/>
      <c r="BE161" s="131"/>
      <c r="BF161" s="131"/>
      <c r="BG161" s="131"/>
      <c r="BH161" s="131"/>
    </row>
    <row r="162" spans="19:60" s="20" customFormat="1" ht="22.5" customHeight="1" x14ac:dyDescent="0.25">
      <c r="S162" s="1"/>
      <c r="V162" s="133"/>
      <c r="W162" s="133"/>
      <c r="AF162" s="1"/>
      <c r="AN162" s="1"/>
      <c r="AV162" s="1"/>
      <c r="AW162" s="131"/>
      <c r="AX162" s="131"/>
      <c r="AY162" s="131"/>
      <c r="AZ162" s="131"/>
      <c r="BA162" s="131"/>
      <c r="BB162" s="131"/>
      <c r="BC162" s="131"/>
      <c r="BD162" s="132"/>
      <c r="BE162" s="131"/>
      <c r="BF162" s="131"/>
      <c r="BG162" s="131"/>
      <c r="BH162" s="131"/>
    </row>
    <row r="163" spans="19:60" s="20" customFormat="1" ht="22.5" customHeight="1" x14ac:dyDescent="0.25">
      <c r="S163" s="1"/>
      <c r="V163" s="133"/>
      <c r="W163" s="133"/>
      <c r="AF163" s="1"/>
      <c r="AN163" s="1"/>
      <c r="AV163" s="1"/>
      <c r="AW163" s="131"/>
      <c r="AX163" s="131"/>
      <c r="AY163" s="131"/>
      <c r="AZ163" s="131"/>
      <c r="BA163" s="131"/>
      <c r="BB163" s="131"/>
      <c r="BC163" s="131"/>
      <c r="BD163" s="132"/>
      <c r="BE163" s="131"/>
      <c r="BF163" s="131"/>
      <c r="BG163" s="131"/>
      <c r="BH163" s="131"/>
    </row>
    <row r="164" spans="19:60" s="20" customFormat="1" ht="22.5" customHeight="1" x14ac:dyDescent="0.25">
      <c r="S164" s="1"/>
      <c r="V164" s="133"/>
      <c r="W164" s="133"/>
      <c r="AF164" s="1"/>
      <c r="AN164" s="1"/>
      <c r="AV164" s="1"/>
      <c r="AW164" s="131"/>
      <c r="AX164" s="131"/>
      <c r="AY164" s="131"/>
      <c r="AZ164" s="131"/>
      <c r="BA164" s="131"/>
      <c r="BB164" s="131"/>
      <c r="BC164" s="131"/>
      <c r="BD164" s="132"/>
      <c r="BE164" s="131"/>
      <c r="BF164" s="131"/>
      <c r="BG164" s="131"/>
      <c r="BH164" s="131"/>
    </row>
    <row r="165" spans="19:60" s="20" customFormat="1" ht="22.5" customHeight="1" x14ac:dyDescent="0.25">
      <c r="S165" s="1"/>
      <c r="V165" s="133"/>
      <c r="W165" s="133"/>
      <c r="AF165" s="1"/>
      <c r="AN165" s="1"/>
      <c r="AV165" s="1"/>
      <c r="AW165" s="131"/>
      <c r="AX165" s="131"/>
      <c r="AY165" s="131"/>
      <c r="AZ165" s="131"/>
      <c r="BA165" s="131"/>
      <c r="BB165" s="131"/>
      <c r="BC165" s="131"/>
      <c r="BD165" s="132"/>
      <c r="BE165" s="131"/>
      <c r="BF165" s="131"/>
      <c r="BG165" s="131"/>
      <c r="BH165" s="131"/>
    </row>
    <row r="166" spans="19:60" s="20" customFormat="1" ht="22.5" customHeight="1" x14ac:dyDescent="0.25">
      <c r="S166" s="1"/>
      <c r="V166" s="133"/>
      <c r="W166" s="133"/>
      <c r="AF166" s="1"/>
      <c r="AN166" s="1"/>
      <c r="AV166" s="1"/>
      <c r="AW166" s="131"/>
      <c r="AX166" s="131"/>
      <c r="AY166" s="131"/>
      <c r="AZ166" s="131"/>
      <c r="BA166" s="131"/>
      <c r="BB166" s="131"/>
      <c r="BC166" s="131"/>
      <c r="BD166" s="132"/>
      <c r="BE166" s="131"/>
      <c r="BF166" s="131"/>
      <c r="BG166" s="131"/>
      <c r="BH166" s="131"/>
    </row>
    <row r="167" spans="19:60" s="20" customFormat="1" ht="22.5" customHeight="1" x14ac:dyDescent="0.25">
      <c r="S167" s="1"/>
      <c r="V167" s="133"/>
      <c r="W167" s="133"/>
      <c r="AF167" s="1"/>
      <c r="AN167" s="1"/>
      <c r="AV167" s="1"/>
      <c r="AW167" s="131"/>
      <c r="AX167" s="131"/>
      <c r="AY167" s="131"/>
      <c r="AZ167" s="131"/>
      <c r="BA167" s="131"/>
      <c r="BB167" s="131"/>
      <c r="BC167" s="131"/>
      <c r="BD167" s="132"/>
      <c r="BE167" s="131"/>
      <c r="BF167" s="131"/>
      <c r="BG167" s="131"/>
      <c r="BH167" s="131"/>
    </row>
    <row r="168" spans="19:60" s="20" customFormat="1" ht="22.5" customHeight="1" x14ac:dyDescent="0.25">
      <c r="S168" s="1"/>
      <c r="V168" s="133"/>
      <c r="W168" s="133"/>
      <c r="AF168" s="1"/>
      <c r="AN168" s="1"/>
      <c r="AV168" s="1"/>
      <c r="AW168" s="131"/>
      <c r="AX168" s="131"/>
      <c r="AY168" s="131"/>
      <c r="AZ168" s="131"/>
      <c r="BA168" s="131"/>
      <c r="BB168" s="131"/>
      <c r="BC168" s="131"/>
      <c r="BD168" s="132"/>
      <c r="BE168" s="131"/>
      <c r="BF168" s="131"/>
      <c r="BG168" s="131"/>
      <c r="BH168" s="131"/>
    </row>
    <row r="169" spans="19:60" s="20" customFormat="1" ht="22.5" customHeight="1" x14ac:dyDescent="0.25">
      <c r="S169" s="1"/>
      <c r="V169" s="133"/>
      <c r="W169" s="133"/>
      <c r="AF169" s="1"/>
      <c r="AN169" s="1"/>
      <c r="AV169" s="1"/>
      <c r="AW169" s="131"/>
      <c r="AX169" s="131"/>
      <c r="AY169" s="131"/>
      <c r="AZ169" s="131"/>
      <c r="BA169" s="131"/>
      <c r="BB169" s="131"/>
      <c r="BC169" s="131"/>
      <c r="BD169" s="132"/>
      <c r="BE169" s="131"/>
      <c r="BF169" s="131"/>
      <c r="BG169" s="131"/>
      <c r="BH169" s="131"/>
    </row>
    <row r="170" spans="19:60" s="20" customFormat="1" ht="22.5" customHeight="1" x14ac:dyDescent="0.25">
      <c r="S170" s="1"/>
      <c r="V170" s="133"/>
      <c r="W170" s="133"/>
      <c r="AF170" s="1"/>
      <c r="AN170" s="1"/>
      <c r="AV170" s="1"/>
      <c r="AW170" s="131"/>
      <c r="AX170" s="131"/>
      <c r="AY170" s="131"/>
      <c r="AZ170" s="131"/>
      <c r="BA170" s="131"/>
      <c r="BB170" s="131"/>
      <c r="BC170" s="131"/>
      <c r="BD170" s="132"/>
      <c r="BE170" s="131"/>
      <c r="BF170" s="131"/>
      <c r="BG170" s="131"/>
      <c r="BH170" s="131"/>
    </row>
    <row r="171" spans="19:60" s="20" customFormat="1" ht="22.5" customHeight="1" x14ac:dyDescent="0.25">
      <c r="S171" s="1"/>
      <c r="V171" s="133"/>
      <c r="W171" s="133"/>
      <c r="AF171" s="1"/>
      <c r="AN171" s="1"/>
      <c r="AV171" s="1"/>
      <c r="AW171" s="131"/>
      <c r="AX171" s="131"/>
      <c r="AY171" s="131"/>
      <c r="AZ171" s="131"/>
      <c r="BA171" s="131"/>
      <c r="BB171" s="131"/>
      <c r="BC171" s="131"/>
      <c r="BD171" s="132"/>
      <c r="BE171" s="131"/>
      <c r="BF171" s="131"/>
      <c r="BG171" s="131"/>
      <c r="BH171" s="131"/>
    </row>
    <row r="172" spans="19:60" s="20" customFormat="1" ht="22.5" customHeight="1" x14ac:dyDescent="0.25">
      <c r="S172" s="1"/>
      <c r="V172" s="133"/>
      <c r="W172" s="133"/>
      <c r="AF172" s="1"/>
      <c r="AN172" s="1"/>
      <c r="AV172" s="1"/>
      <c r="AW172" s="131"/>
      <c r="AX172" s="131"/>
      <c r="AY172" s="131"/>
      <c r="AZ172" s="131"/>
      <c r="BA172" s="131"/>
      <c r="BB172" s="131"/>
      <c r="BC172" s="131"/>
      <c r="BD172" s="132"/>
      <c r="BE172" s="131"/>
      <c r="BF172" s="131"/>
      <c r="BG172" s="131"/>
      <c r="BH172" s="131"/>
    </row>
    <row r="173" spans="19:60" s="20" customFormat="1" ht="22.5" customHeight="1" x14ac:dyDescent="0.25">
      <c r="S173" s="1"/>
      <c r="V173" s="133"/>
      <c r="W173" s="133"/>
      <c r="AF173" s="1"/>
      <c r="AN173" s="1"/>
      <c r="AV173" s="1"/>
      <c r="AW173" s="131"/>
      <c r="AX173" s="131"/>
      <c r="AY173" s="131"/>
      <c r="AZ173" s="131"/>
      <c r="BA173" s="131"/>
      <c r="BB173" s="131"/>
      <c r="BC173" s="131"/>
      <c r="BD173" s="132"/>
      <c r="BE173" s="131"/>
      <c r="BF173" s="131"/>
      <c r="BG173" s="131"/>
      <c r="BH173" s="131"/>
    </row>
    <row r="174" spans="19:60" s="20" customFormat="1" ht="22.5" customHeight="1" x14ac:dyDescent="0.25">
      <c r="S174" s="1"/>
      <c r="V174" s="133"/>
      <c r="W174" s="133"/>
      <c r="AF174" s="1"/>
      <c r="AN174" s="1"/>
      <c r="AV174" s="1"/>
      <c r="AW174" s="131"/>
      <c r="AX174" s="131"/>
      <c r="AY174" s="131"/>
      <c r="AZ174" s="131"/>
      <c r="BA174" s="131"/>
      <c r="BB174" s="131"/>
      <c r="BC174" s="131"/>
      <c r="BD174" s="132"/>
      <c r="BE174" s="131"/>
      <c r="BF174" s="131"/>
      <c r="BG174" s="131"/>
      <c r="BH174" s="131"/>
    </row>
    <row r="175" spans="19:60" s="20" customFormat="1" ht="22.5" customHeight="1" x14ac:dyDescent="0.25">
      <c r="S175" s="1"/>
      <c r="V175" s="133"/>
      <c r="W175" s="133"/>
      <c r="AF175" s="1"/>
      <c r="AN175" s="1"/>
      <c r="AV175" s="1"/>
      <c r="AW175" s="131"/>
      <c r="AX175" s="131"/>
      <c r="AY175" s="131"/>
      <c r="AZ175" s="131"/>
      <c r="BA175" s="131"/>
      <c r="BB175" s="131"/>
      <c r="BC175" s="131"/>
      <c r="BD175" s="132"/>
      <c r="BE175" s="131"/>
      <c r="BF175" s="131"/>
      <c r="BG175" s="131"/>
      <c r="BH175" s="131"/>
    </row>
    <row r="176" spans="19:60" s="20" customFormat="1" ht="22.5" customHeight="1" x14ac:dyDescent="0.25">
      <c r="S176" s="1"/>
      <c r="V176" s="133"/>
      <c r="W176" s="133"/>
      <c r="AF176" s="1"/>
      <c r="AN176" s="1"/>
      <c r="AV176" s="1"/>
      <c r="AW176" s="131"/>
      <c r="AX176" s="131"/>
      <c r="AY176" s="131"/>
      <c r="AZ176" s="131"/>
      <c r="BA176" s="131"/>
      <c r="BB176" s="131"/>
      <c r="BC176" s="131"/>
      <c r="BD176" s="132"/>
      <c r="BE176" s="131"/>
      <c r="BF176" s="131"/>
      <c r="BG176" s="131"/>
      <c r="BH176" s="131"/>
    </row>
    <row r="177" spans="19:60" s="20" customFormat="1" ht="22.5" customHeight="1" x14ac:dyDescent="0.25">
      <c r="S177" s="1"/>
      <c r="V177" s="133"/>
      <c r="W177" s="133"/>
      <c r="AF177" s="1"/>
      <c r="AN177" s="1"/>
      <c r="AV177" s="1"/>
      <c r="AW177" s="131"/>
      <c r="AX177" s="131"/>
      <c r="AY177" s="131"/>
      <c r="AZ177" s="131"/>
      <c r="BA177" s="131"/>
      <c r="BB177" s="131"/>
      <c r="BC177" s="131"/>
      <c r="BD177" s="132"/>
      <c r="BE177" s="131"/>
      <c r="BF177" s="131"/>
      <c r="BG177" s="131"/>
      <c r="BH177" s="131"/>
    </row>
    <row r="178" spans="19:60" s="20" customFormat="1" ht="22.5" customHeight="1" x14ac:dyDescent="0.25">
      <c r="S178" s="1"/>
      <c r="V178" s="133"/>
      <c r="W178" s="133"/>
      <c r="AF178" s="1"/>
      <c r="AN178" s="1"/>
      <c r="AV178" s="1"/>
      <c r="AW178" s="131"/>
      <c r="AX178" s="131"/>
      <c r="AY178" s="131"/>
      <c r="AZ178" s="131"/>
      <c r="BA178" s="131"/>
      <c r="BB178" s="131"/>
      <c r="BC178" s="131"/>
      <c r="BD178" s="132"/>
      <c r="BE178" s="131"/>
      <c r="BF178" s="131"/>
      <c r="BG178" s="131"/>
      <c r="BH178" s="131"/>
    </row>
    <row r="179" spans="19:60" s="20" customFormat="1" ht="22.5" customHeight="1" x14ac:dyDescent="0.25">
      <c r="S179" s="1"/>
      <c r="V179" s="133"/>
      <c r="W179" s="133"/>
      <c r="AF179" s="1"/>
      <c r="AN179" s="1"/>
      <c r="AV179" s="1"/>
      <c r="AW179" s="131"/>
      <c r="AX179" s="131"/>
      <c r="AY179" s="131"/>
      <c r="AZ179" s="131"/>
      <c r="BA179" s="131"/>
      <c r="BB179" s="131"/>
      <c r="BC179" s="131"/>
      <c r="BD179" s="132"/>
      <c r="BE179" s="131"/>
      <c r="BF179" s="131"/>
      <c r="BG179" s="131"/>
      <c r="BH179" s="131"/>
    </row>
    <row r="180" spans="19:60" s="20" customFormat="1" ht="22.5" customHeight="1" x14ac:dyDescent="0.25">
      <c r="S180" s="1"/>
      <c r="V180" s="133"/>
      <c r="W180" s="133"/>
      <c r="AF180" s="1"/>
      <c r="AN180" s="1"/>
      <c r="AV180" s="1"/>
      <c r="AW180" s="131"/>
      <c r="AX180" s="131"/>
      <c r="AY180" s="131"/>
      <c r="AZ180" s="131"/>
      <c r="BA180" s="131"/>
      <c r="BB180" s="131"/>
      <c r="BC180" s="131"/>
      <c r="BD180" s="132"/>
      <c r="BE180" s="131"/>
      <c r="BF180" s="131"/>
      <c r="BG180" s="131"/>
      <c r="BH180" s="131"/>
    </row>
    <row r="181" spans="19:60" s="20" customFormat="1" ht="22.5" customHeight="1" x14ac:dyDescent="0.25">
      <c r="S181" s="1"/>
      <c r="V181" s="133"/>
      <c r="W181" s="133"/>
      <c r="AF181" s="1"/>
      <c r="AN181" s="1"/>
      <c r="AV181" s="1"/>
      <c r="AW181" s="131"/>
      <c r="AX181" s="131"/>
      <c r="AY181" s="131"/>
      <c r="AZ181" s="131"/>
      <c r="BA181" s="131"/>
      <c r="BB181" s="131"/>
      <c r="BC181" s="131"/>
      <c r="BD181" s="132"/>
      <c r="BE181" s="131"/>
      <c r="BF181" s="131"/>
      <c r="BG181" s="131"/>
      <c r="BH181" s="131"/>
    </row>
    <row r="182" spans="19:60" s="20" customFormat="1" ht="22.5" customHeight="1" x14ac:dyDescent="0.25">
      <c r="S182" s="1"/>
      <c r="V182" s="133"/>
      <c r="W182" s="133"/>
      <c r="AF182" s="1"/>
      <c r="AN182" s="1"/>
      <c r="AV182" s="1"/>
      <c r="AW182" s="131"/>
      <c r="AX182" s="131"/>
      <c r="AY182" s="131"/>
      <c r="AZ182" s="131"/>
      <c r="BA182" s="131"/>
      <c r="BB182" s="131"/>
      <c r="BC182" s="131"/>
      <c r="BD182" s="132"/>
      <c r="BE182" s="131"/>
      <c r="BF182" s="131"/>
      <c r="BG182" s="131"/>
      <c r="BH182" s="131"/>
    </row>
    <row r="183" spans="19:60" s="20" customFormat="1" ht="22.5" customHeight="1" x14ac:dyDescent="0.25">
      <c r="S183" s="1"/>
      <c r="V183" s="133"/>
      <c r="W183" s="133"/>
      <c r="AF183" s="1"/>
      <c r="AN183" s="1"/>
      <c r="AV183" s="1"/>
      <c r="AW183" s="131"/>
      <c r="AX183" s="131"/>
      <c r="AY183" s="131"/>
      <c r="AZ183" s="131"/>
      <c r="BA183" s="131"/>
      <c r="BB183" s="131"/>
      <c r="BC183" s="131"/>
      <c r="BD183" s="132"/>
      <c r="BE183" s="131"/>
      <c r="BF183" s="131"/>
      <c r="BG183" s="131"/>
      <c r="BH183" s="131"/>
    </row>
    <row r="184" spans="19:60" s="20" customFormat="1" ht="22.5" customHeight="1" x14ac:dyDescent="0.25">
      <c r="S184" s="1"/>
      <c r="V184" s="133"/>
      <c r="W184" s="133"/>
      <c r="AF184" s="1"/>
      <c r="AN184" s="1"/>
      <c r="AV184" s="1"/>
      <c r="AW184" s="131"/>
      <c r="AX184" s="131"/>
      <c r="AY184" s="131"/>
      <c r="AZ184" s="131"/>
      <c r="BA184" s="131"/>
      <c r="BB184" s="131"/>
      <c r="BC184" s="131"/>
      <c r="BD184" s="132"/>
      <c r="BE184" s="131"/>
      <c r="BF184" s="131"/>
      <c r="BG184" s="131"/>
      <c r="BH184" s="131"/>
    </row>
    <row r="185" spans="19:60" s="20" customFormat="1" ht="22.5" customHeight="1" x14ac:dyDescent="0.25">
      <c r="S185" s="1"/>
      <c r="V185" s="133"/>
      <c r="W185" s="133"/>
      <c r="AF185" s="1"/>
      <c r="AN185" s="1"/>
      <c r="AV185" s="1"/>
      <c r="AW185" s="131"/>
      <c r="AX185" s="131"/>
      <c r="AY185" s="131"/>
      <c r="AZ185" s="131"/>
      <c r="BA185" s="131"/>
      <c r="BB185" s="131"/>
      <c r="BC185" s="131"/>
      <c r="BD185" s="132"/>
      <c r="BE185" s="131"/>
      <c r="BF185" s="131"/>
      <c r="BG185" s="131"/>
      <c r="BH185" s="131"/>
    </row>
    <row r="186" spans="19:60" s="20" customFormat="1" ht="22.5" customHeight="1" x14ac:dyDescent="0.25">
      <c r="S186" s="1"/>
      <c r="V186" s="133"/>
      <c r="W186" s="133"/>
      <c r="AF186" s="1"/>
      <c r="AN186" s="1"/>
      <c r="AV186" s="1"/>
      <c r="AW186" s="131"/>
      <c r="AX186" s="131"/>
      <c r="AY186" s="131"/>
      <c r="AZ186" s="131"/>
      <c r="BA186" s="131"/>
      <c r="BB186" s="131"/>
      <c r="BC186" s="131"/>
      <c r="BD186" s="132"/>
      <c r="BE186" s="131"/>
      <c r="BF186" s="131"/>
      <c r="BG186" s="131"/>
      <c r="BH186" s="131"/>
    </row>
    <row r="187" spans="19:60" s="20" customFormat="1" ht="22.5" customHeight="1" x14ac:dyDescent="0.25">
      <c r="S187" s="1"/>
      <c r="V187" s="133"/>
      <c r="W187" s="133"/>
      <c r="AF187" s="1"/>
      <c r="AN187" s="1"/>
      <c r="AV187" s="1"/>
      <c r="AW187" s="131"/>
      <c r="AX187" s="131"/>
      <c r="AY187" s="131"/>
      <c r="AZ187" s="131"/>
      <c r="BA187" s="131"/>
      <c r="BB187" s="131"/>
      <c r="BC187" s="131"/>
      <c r="BD187" s="132"/>
      <c r="BE187" s="131"/>
      <c r="BF187" s="131"/>
      <c r="BG187" s="131"/>
      <c r="BH187" s="131"/>
    </row>
    <row r="188" spans="19:60" s="20" customFormat="1" ht="22.5" customHeight="1" x14ac:dyDescent="0.25">
      <c r="S188" s="1"/>
      <c r="V188" s="133"/>
      <c r="W188" s="133"/>
      <c r="AF188" s="1"/>
      <c r="AN188" s="1"/>
      <c r="AV188" s="1"/>
      <c r="AW188" s="131"/>
      <c r="AX188" s="131"/>
      <c r="AY188" s="131"/>
      <c r="AZ188" s="131"/>
      <c r="BA188" s="131"/>
      <c r="BB188" s="131"/>
      <c r="BC188" s="131"/>
      <c r="BD188" s="132"/>
      <c r="BE188" s="131"/>
      <c r="BF188" s="131"/>
      <c r="BG188" s="131"/>
      <c r="BH188" s="131"/>
    </row>
    <row r="189" spans="19:60" s="20" customFormat="1" ht="22.5" customHeight="1" x14ac:dyDescent="0.25">
      <c r="S189" s="1"/>
      <c r="V189" s="133"/>
      <c r="W189" s="133"/>
      <c r="AF189" s="1"/>
      <c r="AN189" s="1"/>
      <c r="AV189" s="1"/>
      <c r="AW189" s="131"/>
      <c r="AX189" s="131"/>
      <c r="AY189" s="131"/>
      <c r="AZ189" s="131"/>
      <c r="BA189" s="131"/>
      <c r="BB189" s="131"/>
      <c r="BC189" s="131"/>
      <c r="BD189" s="132"/>
      <c r="BE189" s="131"/>
      <c r="BF189" s="131"/>
      <c r="BG189" s="131"/>
      <c r="BH189" s="131"/>
    </row>
    <row r="190" spans="19:60" s="20" customFormat="1" ht="22.5" customHeight="1" x14ac:dyDescent="0.25">
      <c r="S190" s="1"/>
      <c r="V190" s="133"/>
      <c r="W190" s="133"/>
      <c r="AF190" s="1"/>
      <c r="AN190" s="1"/>
      <c r="AV190" s="1"/>
      <c r="AW190" s="131"/>
      <c r="AX190" s="131"/>
      <c r="AY190" s="131"/>
      <c r="AZ190" s="131"/>
      <c r="BA190" s="131"/>
      <c r="BB190" s="131"/>
      <c r="BC190" s="131"/>
      <c r="BD190" s="132"/>
      <c r="BE190" s="131"/>
      <c r="BF190" s="131"/>
      <c r="BG190" s="131"/>
      <c r="BH190" s="131"/>
    </row>
    <row r="191" spans="19:60" s="20" customFormat="1" ht="22.5" customHeight="1" x14ac:dyDescent="0.25">
      <c r="S191" s="1"/>
      <c r="V191" s="133"/>
      <c r="W191" s="133"/>
      <c r="AF191" s="1"/>
      <c r="AN191" s="1"/>
      <c r="AV191" s="1"/>
      <c r="AW191" s="131"/>
      <c r="AX191" s="131"/>
      <c r="AY191" s="131"/>
      <c r="AZ191" s="131"/>
      <c r="BA191" s="131"/>
      <c r="BB191" s="131"/>
      <c r="BC191" s="131"/>
      <c r="BD191" s="132"/>
      <c r="BE191" s="131"/>
      <c r="BF191" s="131"/>
      <c r="BG191" s="131"/>
      <c r="BH191" s="131"/>
    </row>
    <row r="192" spans="19:60" s="20" customFormat="1" ht="22.5" customHeight="1" x14ac:dyDescent="0.25">
      <c r="S192" s="1"/>
      <c r="V192" s="133"/>
      <c r="W192" s="133"/>
      <c r="AF192" s="1"/>
      <c r="AN192" s="1"/>
      <c r="AV192" s="1"/>
      <c r="AW192" s="131"/>
      <c r="AX192" s="131"/>
      <c r="AY192" s="131"/>
      <c r="AZ192" s="131"/>
      <c r="BA192" s="131"/>
      <c r="BB192" s="131"/>
      <c r="BC192" s="131"/>
      <c r="BD192" s="132"/>
      <c r="BE192" s="131"/>
      <c r="BF192" s="131"/>
      <c r="BG192" s="131"/>
      <c r="BH192" s="131"/>
    </row>
    <row r="193" spans="19:60" s="20" customFormat="1" ht="22.5" customHeight="1" x14ac:dyDescent="0.25">
      <c r="S193" s="1"/>
      <c r="V193" s="133"/>
      <c r="W193" s="133"/>
      <c r="AF193" s="1"/>
      <c r="AN193" s="1"/>
      <c r="AV193" s="1"/>
      <c r="AW193" s="131"/>
      <c r="AX193" s="131"/>
      <c r="AY193" s="131"/>
      <c r="AZ193" s="131"/>
      <c r="BA193" s="131"/>
      <c r="BB193" s="131"/>
      <c r="BC193" s="131"/>
      <c r="BD193" s="132"/>
      <c r="BE193" s="131"/>
      <c r="BF193" s="131"/>
      <c r="BG193" s="131"/>
      <c r="BH193" s="131"/>
    </row>
    <row r="194" spans="19:60" s="20" customFormat="1" ht="22.5" customHeight="1" x14ac:dyDescent="0.25">
      <c r="S194" s="1"/>
      <c r="V194" s="133"/>
      <c r="W194" s="133"/>
      <c r="AF194" s="1"/>
      <c r="AN194" s="1"/>
      <c r="AV194" s="1"/>
      <c r="AW194" s="131"/>
      <c r="AX194" s="131"/>
      <c r="AY194" s="131"/>
      <c r="AZ194" s="131"/>
      <c r="BA194" s="131"/>
      <c r="BB194" s="131"/>
      <c r="BC194" s="131"/>
      <c r="BD194" s="132"/>
      <c r="BE194" s="131"/>
      <c r="BF194" s="131"/>
      <c r="BG194" s="131"/>
      <c r="BH194" s="131"/>
    </row>
    <row r="195" spans="19:60" s="20" customFormat="1" ht="22.5" customHeight="1" x14ac:dyDescent="0.25">
      <c r="S195" s="1"/>
      <c r="V195" s="133"/>
      <c r="W195" s="133"/>
      <c r="AF195" s="1"/>
      <c r="AN195" s="1"/>
      <c r="AV195" s="1"/>
      <c r="AW195" s="131"/>
      <c r="AX195" s="131"/>
      <c r="AY195" s="131"/>
      <c r="AZ195" s="131"/>
      <c r="BA195" s="131"/>
      <c r="BB195" s="131"/>
      <c r="BC195" s="131"/>
      <c r="BD195" s="132"/>
      <c r="BE195" s="131"/>
      <c r="BF195" s="131"/>
      <c r="BG195" s="131"/>
      <c r="BH195" s="131"/>
    </row>
    <row r="196" spans="19:60" s="20" customFormat="1" ht="22.5" customHeight="1" x14ac:dyDescent="0.25">
      <c r="S196" s="1"/>
      <c r="V196" s="133"/>
      <c r="W196" s="133"/>
      <c r="AF196" s="1"/>
      <c r="AN196" s="1"/>
      <c r="AV196" s="1"/>
      <c r="AW196" s="131"/>
      <c r="AX196" s="131"/>
      <c r="AY196" s="131"/>
      <c r="AZ196" s="131"/>
      <c r="BA196" s="131"/>
      <c r="BB196" s="131"/>
      <c r="BC196" s="131"/>
      <c r="BD196" s="132"/>
      <c r="BE196" s="131"/>
      <c r="BF196" s="131"/>
      <c r="BG196" s="131"/>
      <c r="BH196" s="131"/>
    </row>
    <row r="197" spans="19:60" s="20" customFormat="1" ht="22.5" customHeight="1" x14ac:dyDescent="0.25">
      <c r="S197" s="1"/>
      <c r="V197" s="133"/>
      <c r="W197" s="133"/>
      <c r="AF197" s="1"/>
      <c r="AN197" s="1"/>
      <c r="AV197" s="1"/>
      <c r="AW197" s="131"/>
      <c r="AX197" s="131"/>
      <c r="AY197" s="131"/>
      <c r="AZ197" s="131"/>
      <c r="BA197" s="131"/>
      <c r="BB197" s="131"/>
      <c r="BC197" s="131"/>
      <c r="BD197" s="132"/>
      <c r="BE197" s="131"/>
      <c r="BF197" s="131"/>
      <c r="BG197" s="131"/>
      <c r="BH197" s="131"/>
    </row>
    <row r="198" spans="19:60" s="20" customFormat="1" ht="22.5" customHeight="1" x14ac:dyDescent="0.25">
      <c r="S198" s="1"/>
      <c r="V198" s="133"/>
      <c r="W198" s="133"/>
      <c r="AF198" s="1"/>
      <c r="AN198" s="1"/>
      <c r="AV198" s="1"/>
      <c r="AW198" s="131"/>
      <c r="AX198" s="131"/>
      <c r="AY198" s="131"/>
      <c r="AZ198" s="131"/>
      <c r="BA198" s="131"/>
      <c r="BB198" s="131"/>
      <c r="BC198" s="131"/>
      <c r="BD198" s="132"/>
      <c r="BE198" s="131"/>
      <c r="BF198" s="131"/>
      <c r="BG198" s="131"/>
      <c r="BH198" s="131"/>
    </row>
    <row r="199" spans="19:60" s="20" customFormat="1" ht="22.5" customHeight="1" x14ac:dyDescent="0.25">
      <c r="S199" s="1"/>
      <c r="V199" s="133"/>
      <c r="W199" s="133"/>
      <c r="AF199" s="1"/>
      <c r="AN199" s="1"/>
      <c r="AV199" s="1"/>
      <c r="AW199" s="131"/>
      <c r="AX199" s="131"/>
      <c r="AY199" s="131"/>
      <c r="AZ199" s="131"/>
      <c r="BA199" s="131"/>
      <c r="BB199" s="131"/>
      <c r="BC199" s="131"/>
      <c r="BD199" s="132"/>
      <c r="BE199" s="131"/>
      <c r="BF199" s="131"/>
      <c r="BG199" s="131"/>
      <c r="BH199" s="131"/>
    </row>
    <row r="200" spans="19:60" s="20" customFormat="1" ht="22.5" customHeight="1" x14ac:dyDescent="0.25">
      <c r="S200" s="1"/>
      <c r="V200" s="133"/>
      <c r="W200" s="133"/>
      <c r="AF200" s="1"/>
      <c r="AN200" s="1"/>
      <c r="AV200" s="1"/>
      <c r="AW200" s="131"/>
      <c r="AX200" s="131"/>
      <c r="AY200" s="131"/>
      <c r="AZ200" s="131"/>
      <c r="BA200" s="131"/>
      <c r="BB200" s="131"/>
      <c r="BC200" s="131"/>
      <c r="BD200" s="132"/>
      <c r="BE200" s="131"/>
      <c r="BF200" s="131"/>
      <c r="BG200" s="131"/>
      <c r="BH200" s="131"/>
    </row>
    <row r="201" spans="19:60" s="20" customFormat="1" ht="22.5" customHeight="1" x14ac:dyDescent="0.25">
      <c r="S201" s="1"/>
      <c r="V201" s="133"/>
      <c r="W201" s="133"/>
      <c r="AF201" s="1"/>
      <c r="AN201" s="1"/>
      <c r="AV201" s="1"/>
      <c r="AW201" s="131"/>
      <c r="AX201" s="131"/>
      <c r="AY201" s="131"/>
      <c r="AZ201" s="131"/>
      <c r="BA201" s="131"/>
      <c r="BB201" s="131"/>
      <c r="BC201" s="131"/>
      <c r="BD201" s="132"/>
      <c r="BE201" s="131"/>
      <c r="BF201" s="131"/>
      <c r="BG201" s="131"/>
      <c r="BH201" s="131"/>
    </row>
    <row r="202" spans="19:60" s="20" customFormat="1" ht="22.5" customHeight="1" x14ac:dyDescent="0.25">
      <c r="S202" s="1"/>
      <c r="V202" s="133"/>
      <c r="W202" s="133"/>
      <c r="AF202" s="1"/>
      <c r="AN202" s="1"/>
      <c r="AV202" s="1"/>
      <c r="AW202" s="131"/>
      <c r="AX202" s="131"/>
      <c r="AY202" s="131"/>
      <c r="AZ202" s="131"/>
      <c r="BA202" s="131"/>
      <c r="BB202" s="131"/>
      <c r="BC202" s="131"/>
      <c r="BD202" s="132"/>
      <c r="BE202" s="131"/>
      <c r="BF202" s="131"/>
      <c r="BG202" s="131"/>
      <c r="BH202" s="131"/>
    </row>
    <row r="203" spans="19:60" s="20" customFormat="1" ht="22.5" customHeight="1" x14ac:dyDescent="0.25">
      <c r="S203" s="1"/>
      <c r="V203" s="133"/>
      <c r="W203" s="133"/>
      <c r="AF203" s="1"/>
      <c r="AN203" s="1"/>
      <c r="AV203" s="1"/>
      <c r="AW203" s="131"/>
      <c r="AX203" s="131"/>
      <c r="AY203" s="131"/>
      <c r="AZ203" s="131"/>
      <c r="BA203" s="131"/>
      <c r="BB203" s="131"/>
      <c r="BC203" s="131"/>
      <c r="BD203" s="132"/>
      <c r="BE203" s="131"/>
      <c r="BF203" s="131"/>
      <c r="BG203" s="131"/>
      <c r="BH203" s="131"/>
    </row>
    <row r="204" spans="19:60" s="20" customFormat="1" ht="22.5" customHeight="1" x14ac:dyDescent="0.25">
      <c r="S204" s="1"/>
      <c r="V204" s="133"/>
      <c r="W204" s="133"/>
      <c r="AF204" s="1"/>
      <c r="AN204" s="1"/>
      <c r="AV204" s="1"/>
      <c r="AW204" s="131"/>
      <c r="AX204" s="131"/>
      <c r="AY204" s="131"/>
      <c r="AZ204" s="131"/>
      <c r="BA204" s="131"/>
      <c r="BB204" s="131"/>
      <c r="BC204" s="131"/>
      <c r="BD204" s="132"/>
      <c r="BE204" s="131"/>
      <c r="BF204" s="131"/>
      <c r="BG204" s="131"/>
      <c r="BH204" s="131"/>
    </row>
    <row r="205" spans="19:60" s="20" customFormat="1" ht="22.5" customHeight="1" x14ac:dyDescent="0.25">
      <c r="S205" s="1"/>
      <c r="V205" s="133"/>
      <c r="W205" s="133"/>
      <c r="AF205" s="1"/>
      <c r="AN205" s="1"/>
      <c r="AV205" s="1"/>
      <c r="AW205" s="131"/>
      <c r="AX205" s="131"/>
      <c r="AY205" s="131"/>
      <c r="AZ205" s="131"/>
      <c r="BA205" s="131"/>
      <c r="BB205" s="131"/>
      <c r="BC205" s="131"/>
      <c r="BD205" s="132"/>
      <c r="BE205" s="131"/>
      <c r="BF205" s="131"/>
      <c r="BG205" s="131"/>
      <c r="BH205" s="131"/>
    </row>
    <row r="206" spans="19:60" s="20" customFormat="1" ht="22.5" customHeight="1" x14ac:dyDescent="0.25">
      <c r="S206" s="1"/>
      <c r="V206" s="133"/>
      <c r="W206" s="133"/>
      <c r="AF206" s="1"/>
      <c r="AN206" s="1"/>
      <c r="AV206" s="1"/>
      <c r="AW206" s="131"/>
      <c r="AX206" s="131"/>
      <c r="AY206" s="131"/>
      <c r="AZ206" s="131"/>
      <c r="BA206" s="131"/>
      <c r="BB206" s="131"/>
      <c r="BC206" s="131"/>
      <c r="BD206" s="132"/>
      <c r="BE206" s="131"/>
      <c r="BF206" s="131"/>
      <c r="BG206" s="131"/>
      <c r="BH206" s="131"/>
    </row>
    <row r="207" spans="19:60" s="20" customFormat="1" ht="22.5" customHeight="1" x14ac:dyDescent="0.25">
      <c r="S207" s="1"/>
      <c r="V207" s="133"/>
      <c r="W207" s="133"/>
      <c r="AF207" s="1"/>
      <c r="AN207" s="1"/>
      <c r="AV207" s="1"/>
      <c r="AW207" s="131"/>
      <c r="AX207" s="131"/>
      <c r="AY207" s="131"/>
      <c r="AZ207" s="131"/>
      <c r="BA207" s="131"/>
      <c r="BB207" s="131"/>
      <c r="BC207" s="131"/>
      <c r="BD207" s="132"/>
      <c r="BE207" s="131"/>
      <c r="BF207" s="131"/>
      <c r="BG207" s="131"/>
      <c r="BH207" s="131"/>
    </row>
    <row r="208" spans="19:60" s="20" customFormat="1" ht="22.5" customHeight="1" x14ac:dyDescent="0.25">
      <c r="S208" s="1"/>
      <c r="V208" s="133"/>
      <c r="W208" s="133"/>
      <c r="AF208" s="1"/>
      <c r="AN208" s="1"/>
      <c r="AV208" s="1"/>
      <c r="AW208" s="131"/>
      <c r="AX208" s="131"/>
      <c r="AY208" s="131"/>
      <c r="AZ208" s="131"/>
      <c r="BA208" s="131"/>
      <c r="BB208" s="131"/>
      <c r="BC208" s="131"/>
      <c r="BD208" s="132"/>
      <c r="BE208" s="131"/>
      <c r="BF208" s="131"/>
      <c r="BG208" s="131"/>
      <c r="BH208" s="131"/>
    </row>
    <row r="209" spans="19:60" s="20" customFormat="1" ht="22.5" customHeight="1" x14ac:dyDescent="0.25">
      <c r="S209" s="1"/>
      <c r="V209" s="133"/>
      <c r="W209" s="133"/>
      <c r="AF209" s="1"/>
      <c r="AN209" s="1"/>
      <c r="AV209" s="1"/>
      <c r="AW209" s="131"/>
      <c r="AX209" s="131"/>
      <c r="AY209" s="131"/>
      <c r="AZ209" s="131"/>
      <c r="BA209" s="131"/>
      <c r="BB209" s="131"/>
      <c r="BC209" s="131"/>
      <c r="BD209" s="132"/>
      <c r="BE209" s="131"/>
      <c r="BF209" s="131"/>
      <c r="BG209" s="131"/>
      <c r="BH209" s="131"/>
    </row>
    <row r="210" spans="19:60" s="20" customFormat="1" ht="22.5" customHeight="1" x14ac:dyDescent="0.25">
      <c r="S210" s="1"/>
      <c r="V210" s="133"/>
      <c r="W210" s="133"/>
      <c r="AF210" s="1"/>
      <c r="AN210" s="1"/>
      <c r="AV210" s="1"/>
      <c r="AW210" s="131"/>
      <c r="AX210" s="131"/>
      <c r="AY210" s="131"/>
      <c r="AZ210" s="131"/>
      <c r="BA210" s="131"/>
      <c r="BB210" s="131"/>
      <c r="BC210" s="131"/>
      <c r="BD210" s="132"/>
      <c r="BE210" s="131"/>
      <c r="BF210" s="131"/>
      <c r="BG210" s="131"/>
      <c r="BH210" s="131"/>
    </row>
    <row r="211" spans="19:60" s="20" customFormat="1" ht="22.5" customHeight="1" x14ac:dyDescent="0.25">
      <c r="S211" s="1"/>
      <c r="V211" s="133"/>
      <c r="W211" s="133"/>
      <c r="AF211" s="1"/>
      <c r="AN211" s="1"/>
      <c r="AV211" s="1"/>
      <c r="AW211" s="131"/>
      <c r="AX211" s="131"/>
      <c r="AY211" s="131"/>
      <c r="AZ211" s="131"/>
      <c r="BA211" s="131"/>
      <c r="BB211" s="131"/>
      <c r="BC211" s="131"/>
      <c r="BD211" s="132"/>
      <c r="BE211" s="131"/>
      <c r="BF211" s="131"/>
      <c r="BG211" s="131"/>
      <c r="BH211" s="131"/>
    </row>
    <row r="212" spans="19:60" s="20" customFormat="1" ht="22.5" customHeight="1" x14ac:dyDescent="0.25">
      <c r="S212" s="1"/>
      <c r="V212" s="133"/>
      <c r="W212" s="133"/>
      <c r="AF212" s="1"/>
      <c r="AN212" s="1"/>
      <c r="AV212" s="1"/>
      <c r="AW212" s="131"/>
      <c r="AX212" s="131"/>
      <c r="AY212" s="131"/>
      <c r="AZ212" s="131"/>
      <c r="BA212" s="131"/>
      <c r="BB212" s="131"/>
      <c r="BC212" s="131"/>
      <c r="BD212" s="132"/>
      <c r="BE212" s="131"/>
      <c r="BF212" s="131"/>
      <c r="BG212" s="131"/>
      <c r="BH212" s="131"/>
    </row>
    <row r="213" spans="19:60" s="20" customFormat="1" ht="22.5" customHeight="1" x14ac:dyDescent="0.25">
      <c r="S213" s="1"/>
      <c r="V213" s="133"/>
      <c r="W213" s="133"/>
      <c r="AF213" s="1"/>
      <c r="AN213" s="1"/>
      <c r="AV213" s="1"/>
      <c r="AW213" s="131"/>
      <c r="AX213" s="131"/>
      <c r="AY213" s="131"/>
      <c r="AZ213" s="131"/>
      <c r="BA213" s="131"/>
      <c r="BB213" s="131"/>
      <c r="BC213" s="131"/>
      <c r="BD213" s="132"/>
      <c r="BE213" s="131"/>
      <c r="BF213" s="131"/>
      <c r="BG213" s="131"/>
      <c r="BH213" s="131"/>
    </row>
    <row r="214" spans="19:60" s="20" customFormat="1" ht="22.5" customHeight="1" x14ac:dyDescent="0.25">
      <c r="S214" s="1"/>
      <c r="V214" s="133"/>
      <c r="W214" s="133"/>
      <c r="AF214" s="1"/>
      <c r="AN214" s="1"/>
      <c r="AV214" s="1"/>
      <c r="AW214" s="131"/>
      <c r="AX214" s="131"/>
      <c r="AY214" s="131"/>
      <c r="AZ214" s="131"/>
      <c r="BA214" s="131"/>
      <c r="BB214" s="131"/>
      <c r="BC214" s="131"/>
      <c r="BD214" s="132"/>
      <c r="BE214" s="131"/>
      <c r="BF214" s="131"/>
      <c r="BG214" s="131"/>
      <c r="BH214" s="131"/>
    </row>
    <row r="215" spans="19:60" s="20" customFormat="1" ht="22.5" customHeight="1" x14ac:dyDescent="0.25">
      <c r="S215" s="1"/>
      <c r="V215" s="133"/>
      <c r="W215" s="133"/>
      <c r="AF215" s="1"/>
      <c r="AN215" s="1"/>
      <c r="AV215" s="1"/>
      <c r="AW215" s="131"/>
      <c r="AX215" s="131"/>
      <c r="AY215" s="131"/>
      <c r="AZ215" s="131"/>
      <c r="BA215" s="131"/>
      <c r="BB215" s="131"/>
      <c r="BC215" s="131"/>
      <c r="BD215" s="132"/>
      <c r="BE215" s="131"/>
      <c r="BF215" s="131"/>
      <c r="BG215" s="131"/>
      <c r="BH215" s="131"/>
    </row>
    <row r="216" spans="19:60" s="20" customFormat="1" ht="22.5" customHeight="1" x14ac:dyDescent="0.25">
      <c r="S216" s="1"/>
      <c r="V216" s="133"/>
      <c r="W216" s="133"/>
      <c r="AF216" s="1"/>
      <c r="AN216" s="1"/>
      <c r="AV216" s="1"/>
      <c r="AW216" s="131"/>
      <c r="AX216" s="131"/>
      <c r="AY216" s="131"/>
      <c r="AZ216" s="131"/>
      <c r="BA216" s="131"/>
      <c r="BB216" s="131"/>
      <c r="BC216" s="131"/>
      <c r="BD216" s="132"/>
      <c r="BE216" s="131"/>
      <c r="BF216" s="131"/>
      <c r="BG216" s="131"/>
      <c r="BH216" s="131"/>
    </row>
    <row r="217" spans="19:60" s="20" customFormat="1" ht="22.5" customHeight="1" x14ac:dyDescent="0.25">
      <c r="S217" s="1"/>
      <c r="V217" s="133"/>
      <c r="W217" s="133"/>
      <c r="AF217" s="1"/>
      <c r="AN217" s="1"/>
      <c r="AV217" s="1"/>
      <c r="AW217" s="131"/>
      <c r="AX217" s="131"/>
      <c r="AY217" s="131"/>
      <c r="AZ217" s="131"/>
      <c r="BA217" s="131"/>
      <c r="BB217" s="131"/>
      <c r="BC217" s="131"/>
      <c r="BD217" s="132"/>
      <c r="BE217" s="131"/>
      <c r="BF217" s="131"/>
      <c r="BG217" s="131"/>
      <c r="BH217" s="131"/>
    </row>
    <row r="218" spans="19:60" s="20" customFormat="1" ht="22.5" customHeight="1" x14ac:dyDescent="0.25">
      <c r="S218" s="1"/>
      <c r="V218" s="133"/>
      <c r="W218" s="133"/>
      <c r="AF218" s="1"/>
      <c r="AN218" s="1"/>
      <c r="AV218" s="1"/>
      <c r="AW218" s="131"/>
      <c r="AX218" s="131"/>
      <c r="AY218" s="131"/>
      <c r="AZ218" s="131"/>
      <c r="BA218" s="131"/>
      <c r="BB218" s="131"/>
      <c r="BC218" s="131"/>
      <c r="BD218" s="132"/>
      <c r="BE218" s="131"/>
      <c r="BF218" s="131"/>
      <c r="BG218" s="131"/>
      <c r="BH218" s="131"/>
    </row>
    <row r="219" spans="19:60" s="20" customFormat="1" ht="22.5" customHeight="1" x14ac:dyDescent="0.25">
      <c r="S219" s="1"/>
      <c r="V219" s="133"/>
      <c r="W219" s="133"/>
      <c r="AF219" s="1"/>
      <c r="AN219" s="1"/>
      <c r="AV219" s="1"/>
      <c r="AW219" s="131"/>
      <c r="AX219" s="131"/>
      <c r="AY219" s="131"/>
      <c r="AZ219" s="131"/>
      <c r="BA219" s="131"/>
      <c r="BB219" s="131"/>
      <c r="BC219" s="131"/>
      <c r="BD219" s="132"/>
      <c r="BE219" s="131"/>
      <c r="BF219" s="131"/>
      <c r="BG219" s="131"/>
      <c r="BH219" s="131"/>
    </row>
    <row r="220" spans="19:60" s="20" customFormat="1" ht="22.5" customHeight="1" x14ac:dyDescent="0.25">
      <c r="S220" s="1"/>
      <c r="V220" s="133"/>
      <c r="W220" s="133"/>
      <c r="AF220" s="1"/>
      <c r="AN220" s="1"/>
      <c r="AV220" s="1"/>
      <c r="AW220" s="131"/>
      <c r="AX220" s="131"/>
      <c r="AY220" s="131"/>
      <c r="AZ220" s="131"/>
      <c r="BA220" s="131"/>
      <c r="BB220" s="131"/>
      <c r="BC220" s="131"/>
      <c r="BD220" s="132"/>
      <c r="BE220" s="131"/>
      <c r="BF220" s="131"/>
      <c r="BG220" s="131"/>
      <c r="BH220" s="131"/>
    </row>
    <row r="221" spans="19:60" s="20" customFormat="1" ht="22.5" customHeight="1" x14ac:dyDescent="0.25">
      <c r="S221" s="1"/>
      <c r="V221" s="133"/>
      <c r="W221" s="133"/>
      <c r="AF221" s="1"/>
      <c r="AN221" s="1"/>
      <c r="AV221" s="1"/>
      <c r="AW221" s="131"/>
      <c r="AX221" s="131"/>
      <c r="AY221" s="131"/>
      <c r="AZ221" s="131"/>
      <c r="BA221" s="131"/>
      <c r="BB221" s="131"/>
      <c r="BC221" s="131"/>
      <c r="BD221" s="132"/>
      <c r="BE221" s="131"/>
      <c r="BF221" s="131"/>
      <c r="BG221" s="131"/>
      <c r="BH221" s="131"/>
    </row>
    <row r="222" spans="19:60" s="20" customFormat="1" ht="22.5" customHeight="1" x14ac:dyDescent="0.25">
      <c r="S222" s="1"/>
      <c r="V222" s="133"/>
      <c r="W222" s="133"/>
      <c r="AF222" s="1"/>
      <c r="AN222" s="1"/>
      <c r="AV222" s="1"/>
      <c r="AW222" s="131"/>
      <c r="AX222" s="131"/>
      <c r="AY222" s="131"/>
      <c r="AZ222" s="131"/>
      <c r="BA222" s="131"/>
      <c r="BB222" s="131"/>
      <c r="BC222" s="131"/>
      <c r="BD222" s="132"/>
      <c r="BE222" s="131"/>
      <c r="BF222" s="131"/>
      <c r="BG222" s="131"/>
      <c r="BH222" s="131"/>
    </row>
    <row r="223" spans="19:60" s="20" customFormat="1" ht="22.5" customHeight="1" x14ac:dyDescent="0.25">
      <c r="S223" s="1"/>
      <c r="V223" s="133"/>
      <c r="W223" s="133"/>
      <c r="AF223" s="1"/>
      <c r="AN223" s="1"/>
      <c r="AV223" s="1"/>
      <c r="AW223" s="131"/>
      <c r="AX223" s="131"/>
      <c r="AY223" s="131"/>
      <c r="AZ223" s="131"/>
      <c r="BA223" s="131"/>
      <c r="BB223" s="131"/>
      <c r="BC223" s="131"/>
      <c r="BD223" s="132"/>
      <c r="BE223" s="131"/>
      <c r="BF223" s="131"/>
      <c r="BG223" s="131"/>
      <c r="BH223" s="131"/>
    </row>
    <row r="224" spans="19:60" s="20" customFormat="1" ht="22.5" customHeight="1" x14ac:dyDescent="0.25">
      <c r="S224" s="1"/>
      <c r="V224" s="133"/>
      <c r="W224" s="133"/>
      <c r="AF224" s="1"/>
      <c r="AN224" s="1"/>
      <c r="AV224" s="1"/>
      <c r="AW224" s="131"/>
      <c r="AX224" s="131"/>
      <c r="AY224" s="131"/>
      <c r="AZ224" s="131"/>
      <c r="BA224" s="131"/>
      <c r="BB224" s="131"/>
      <c r="BC224" s="131"/>
      <c r="BD224" s="132"/>
      <c r="BE224" s="131"/>
      <c r="BF224" s="131"/>
      <c r="BG224" s="131"/>
      <c r="BH224" s="131"/>
    </row>
    <row r="225" spans="19:60" s="20" customFormat="1" ht="22.5" customHeight="1" x14ac:dyDescent="0.25">
      <c r="S225" s="1"/>
      <c r="V225" s="133"/>
      <c r="W225" s="133"/>
      <c r="AF225" s="1"/>
      <c r="AN225" s="1"/>
      <c r="AV225" s="1"/>
      <c r="AW225" s="131"/>
      <c r="AX225" s="131"/>
      <c r="AY225" s="131"/>
      <c r="AZ225" s="131"/>
      <c r="BA225" s="131"/>
      <c r="BB225" s="131"/>
      <c r="BC225" s="131"/>
      <c r="BD225" s="132"/>
      <c r="BE225" s="131"/>
      <c r="BF225" s="131"/>
      <c r="BG225" s="131"/>
      <c r="BH225" s="131"/>
    </row>
    <row r="226" spans="19:60" s="20" customFormat="1" ht="22.5" customHeight="1" x14ac:dyDescent="0.25">
      <c r="S226" s="1"/>
      <c r="V226" s="133"/>
      <c r="W226" s="133"/>
      <c r="AF226" s="1"/>
      <c r="AN226" s="1"/>
      <c r="AV226" s="1"/>
      <c r="AW226" s="131"/>
      <c r="AX226" s="131"/>
      <c r="AY226" s="131"/>
      <c r="AZ226" s="131"/>
      <c r="BA226" s="131"/>
      <c r="BB226" s="131"/>
      <c r="BC226" s="131"/>
      <c r="BD226" s="132"/>
      <c r="BE226" s="131"/>
      <c r="BF226" s="131"/>
      <c r="BG226" s="131"/>
      <c r="BH226" s="131"/>
    </row>
    <row r="227" spans="19:60" s="20" customFormat="1" ht="22.5" customHeight="1" x14ac:dyDescent="0.25">
      <c r="S227" s="1"/>
      <c r="V227" s="133"/>
      <c r="W227" s="133"/>
      <c r="AF227" s="1"/>
      <c r="AN227" s="1"/>
      <c r="AV227" s="1"/>
      <c r="AW227" s="131"/>
      <c r="AX227" s="131"/>
      <c r="AY227" s="131"/>
      <c r="AZ227" s="131"/>
      <c r="BA227" s="131"/>
      <c r="BB227" s="131"/>
      <c r="BC227" s="131"/>
      <c r="BD227" s="132"/>
      <c r="BE227" s="131"/>
      <c r="BF227" s="131"/>
      <c r="BG227" s="131"/>
      <c r="BH227" s="131"/>
    </row>
    <row r="228" spans="19:60" s="20" customFormat="1" ht="22.5" customHeight="1" x14ac:dyDescent="0.25">
      <c r="S228" s="1"/>
      <c r="V228" s="133"/>
      <c r="W228" s="133"/>
      <c r="AF228" s="1"/>
      <c r="AN228" s="1"/>
      <c r="AV228" s="1"/>
      <c r="AW228" s="131"/>
      <c r="AX228" s="131"/>
      <c r="AY228" s="131"/>
      <c r="AZ228" s="131"/>
      <c r="BA228" s="131"/>
      <c r="BB228" s="131"/>
      <c r="BC228" s="131"/>
      <c r="BD228" s="132"/>
      <c r="BE228" s="131"/>
      <c r="BF228" s="131"/>
      <c r="BG228" s="131"/>
      <c r="BH228" s="131"/>
    </row>
    <row r="229" spans="19:60" s="20" customFormat="1" ht="22.5" customHeight="1" x14ac:dyDescent="0.25">
      <c r="S229" s="1"/>
      <c r="V229" s="133"/>
      <c r="W229" s="133"/>
      <c r="AF229" s="1"/>
      <c r="AN229" s="1"/>
      <c r="AV229" s="1"/>
      <c r="AW229" s="131"/>
      <c r="AX229" s="131"/>
      <c r="AY229" s="131"/>
      <c r="AZ229" s="131"/>
      <c r="BA229" s="131"/>
      <c r="BB229" s="131"/>
      <c r="BC229" s="131"/>
      <c r="BD229" s="132"/>
      <c r="BE229" s="131"/>
      <c r="BF229" s="131"/>
      <c r="BG229" s="131"/>
      <c r="BH229" s="131"/>
    </row>
    <row r="230" spans="19:60" s="20" customFormat="1" ht="22.5" customHeight="1" x14ac:dyDescent="0.25">
      <c r="S230" s="1"/>
      <c r="V230" s="133"/>
      <c r="W230" s="133"/>
      <c r="AF230" s="1"/>
      <c r="AN230" s="1"/>
      <c r="AV230" s="1"/>
      <c r="AW230" s="131"/>
      <c r="AX230" s="131"/>
      <c r="AY230" s="131"/>
      <c r="AZ230" s="131"/>
      <c r="BA230" s="131"/>
      <c r="BB230" s="131"/>
      <c r="BC230" s="131"/>
      <c r="BD230" s="132"/>
      <c r="BE230" s="131"/>
      <c r="BF230" s="131"/>
      <c r="BG230" s="131"/>
      <c r="BH230" s="131"/>
    </row>
    <row r="231" spans="19:60" s="20" customFormat="1" ht="22.5" customHeight="1" x14ac:dyDescent="0.25">
      <c r="S231" s="1"/>
      <c r="V231" s="133"/>
      <c r="W231" s="133"/>
      <c r="AF231" s="1"/>
      <c r="AN231" s="1"/>
      <c r="AV231" s="1"/>
      <c r="AW231" s="131"/>
      <c r="AX231" s="131"/>
      <c r="AY231" s="131"/>
      <c r="AZ231" s="131"/>
      <c r="BA231" s="131"/>
      <c r="BB231" s="131"/>
      <c r="BC231" s="131"/>
      <c r="BD231" s="132"/>
      <c r="BE231" s="131"/>
      <c r="BF231" s="131"/>
      <c r="BG231" s="131"/>
      <c r="BH231" s="131"/>
    </row>
    <row r="232" spans="19:60" s="20" customFormat="1" ht="22.5" customHeight="1" x14ac:dyDescent="0.25">
      <c r="S232" s="1"/>
      <c r="V232" s="133"/>
      <c r="W232" s="133"/>
      <c r="AF232" s="1"/>
      <c r="AN232" s="1"/>
      <c r="AV232" s="1"/>
      <c r="AW232" s="131"/>
      <c r="AX232" s="131"/>
      <c r="AY232" s="131"/>
      <c r="AZ232" s="131"/>
      <c r="BA232" s="131"/>
      <c r="BB232" s="131"/>
      <c r="BC232" s="131"/>
      <c r="BD232" s="132"/>
      <c r="BE232" s="131"/>
      <c r="BF232" s="131"/>
      <c r="BG232" s="131"/>
      <c r="BH232" s="131"/>
    </row>
    <row r="233" spans="19:60" s="20" customFormat="1" ht="22.5" customHeight="1" x14ac:dyDescent="0.25">
      <c r="S233" s="1"/>
      <c r="V233" s="133"/>
      <c r="W233" s="133"/>
      <c r="AF233" s="1"/>
      <c r="AN233" s="1"/>
      <c r="AV233" s="1"/>
      <c r="AW233" s="131"/>
      <c r="AX233" s="131"/>
      <c r="AY233" s="131"/>
      <c r="AZ233" s="131"/>
      <c r="BA233" s="131"/>
      <c r="BB233" s="131"/>
      <c r="BC233" s="131"/>
      <c r="BD233" s="132"/>
      <c r="BE233" s="131"/>
      <c r="BF233" s="131"/>
      <c r="BG233" s="131"/>
      <c r="BH233" s="131"/>
    </row>
    <row r="234" spans="19:60" s="20" customFormat="1" ht="22.5" customHeight="1" x14ac:dyDescent="0.25">
      <c r="S234" s="1"/>
      <c r="V234" s="133"/>
      <c r="W234" s="133"/>
      <c r="AF234" s="1"/>
      <c r="AN234" s="1"/>
      <c r="AV234" s="1"/>
      <c r="AW234" s="131"/>
      <c r="AX234" s="131"/>
      <c r="AY234" s="131"/>
      <c r="AZ234" s="131"/>
      <c r="BA234" s="131"/>
      <c r="BB234" s="131"/>
      <c r="BC234" s="131"/>
      <c r="BD234" s="132"/>
      <c r="BE234" s="131"/>
      <c r="BF234" s="131"/>
      <c r="BG234" s="131"/>
      <c r="BH234" s="131"/>
    </row>
    <row r="235" spans="19:60" s="20" customFormat="1" ht="22.5" customHeight="1" x14ac:dyDescent="0.25">
      <c r="S235" s="1"/>
      <c r="V235" s="133"/>
      <c r="W235" s="133"/>
      <c r="AF235" s="1"/>
      <c r="AN235" s="1"/>
      <c r="AV235" s="1"/>
      <c r="AW235" s="131"/>
      <c r="AX235" s="131"/>
      <c r="AY235" s="131"/>
      <c r="AZ235" s="131"/>
      <c r="BA235" s="131"/>
      <c r="BB235" s="131"/>
      <c r="BC235" s="131"/>
      <c r="BD235" s="132"/>
      <c r="BE235" s="131"/>
      <c r="BF235" s="131"/>
      <c r="BG235" s="131"/>
      <c r="BH235" s="131"/>
    </row>
    <row r="236" spans="19:60" s="20" customFormat="1" ht="22.5" customHeight="1" x14ac:dyDescent="0.25">
      <c r="S236" s="1"/>
      <c r="V236" s="133"/>
      <c r="W236" s="133"/>
      <c r="AF236" s="1"/>
      <c r="AN236" s="1"/>
      <c r="AV236" s="1"/>
      <c r="AW236" s="131"/>
      <c r="AX236" s="131"/>
      <c r="AY236" s="131"/>
      <c r="AZ236" s="131"/>
      <c r="BA236" s="131"/>
      <c r="BB236" s="131"/>
      <c r="BC236" s="131"/>
      <c r="BD236" s="132"/>
      <c r="BE236" s="131"/>
      <c r="BF236" s="131"/>
      <c r="BG236" s="131"/>
      <c r="BH236" s="131"/>
    </row>
    <row r="237" spans="19:60" s="20" customFormat="1" ht="22.5" customHeight="1" x14ac:dyDescent="0.25">
      <c r="S237" s="1"/>
      <c r="V237" s="133"/>
      <c r="W237" s="133"/>
      <c r="AF237" s="1"/>
      <c r="AN237" s="1"/>
      <c r="AV237" s="1"/>
      <c r="AW237" s="131"/>
      <c r="AX237" s="131"/>
      <c r="AY237" s="131"/>
      <c r="AZ237" s="131"/>
      <c r="BA237" s="131"/>
      <c r="BB237" s="131"/>
      <c r="BC237" s="131"/>
      <c r="BD237" s="132"/>
      <c r="BE237" s="131"/>
      <c r="BF237" s="131"/>
      <c r="BG237" s="131"/>
      <c r="BH237" s="131"/>
    </row>
    <row r="238" spans="19:60" s="20" customFormat="1" ht="22.5" customHeight="1" x14ac:dyDescent="0.25">
      <c r="S238" s="1"/>
      <c r="V238" s="133"/>
      <c r="W238" s="133"/>
      <c r="AF238" s="1"/>
      <c r="AN238" s="1"/>
      <c r="AV238" s="1"/>
      <c r="AW238" s="131"/>
      <c r="AX238" s="131"/>
      <c r="AY238" s="131"/>
      <c r="AZ238" s="131"/>
      <c r="BA238" s="131"/>
      <c r="BB238" s="131"/>
      <c r="BC238" s="131"/>
      <c r="BD238" s="132"/>
      <c r="BE238" s="131"/>
      <c r="BF238" s="131"/>
      <c r="BG238" s="131"/>
      <c r="BH238" s="131"/>
    </row>
    <row r="239" spans="19:60" s="20" customFormat="1" ht="22.5" customHeight="1" x14ac:dyDescent="0.25">
      <c r="S239" s="1"/>
      <c r="V239" s="133"/>
      <c r="W239" s="133"/>
      <c r="AF239" s="1"/>
      <c r="AN239" s="1"/>
      <c r="AV239" s="1"/>
      <c r="AW239" s="131"/>
      <c r="AX239" s="131"/>
      <c r="AY239" s="131"/>
      <c r="AZ239" s="131"/>
      <c r="BA239" s="131"/>
      <c r="BB239" s="131"/>
      <c r="BC239" s="131"/>
      <c r="BD239" s="132"/>
      <c r="BE239" s="131"/>
      <c r="BF239" s="131"/>
      <c r="BG239" s="131"/>
      <c r="BH239" s="131"/>
    </row>
    <row r="240" spans="19:60" s="20" customFormat="1" ht="22.5" customHeight="1" x14ac:dyDescent="0.25">
      <c r="S240" s="1"/>
      <c r="V240" s="133"/>
      <c r="W240" s="133"/>
      <c r="AF240" s="1"/>
      <c r="AN240" s="1"/>
      <c r="AV240" s="1"/>
      <c r="AW240" s="131"/>
      <c r="AX240" s="131"/>
      <c r="AY240" s="131"/>
      <c r="AZ240" s="131"/>
      <c r="BA240" s="131"/>
      <c r="BB240" s="131"/>
      <c r="BC240" s="131"/>
      <c r="BD240" s="132"/>
      <c r="BE240" s="131"/>
      <c r="BF240" s="131"/>
      <c r="BG240" s="131"/>
      <c r="BH240" s="131"/>
    </row>
    <row r="241" spans="19:60" s="20" customFormat="1" ht="22.5" customHeight="1" x14ac:dyDescent="0.25">
      <c r="S241" s="1"/>
      <c r="V241" s="133"/>
      <c r="W241" s="133"/>
      <c r="AF241" s="1"/>
      <c r="AN241" s="1"/>
      <c r="AV241" s="1"/>
      <c r="AW241" s="131"/>
      <c r="AX241" s="131"/>
      <c r="AY241" s="131"/>
      <c r="AZ241" s="131"/>
      <c r="BA241" s="131"/>
      <c r="BB241" s="131"/>
      <c r="BC241" s="131"/>
      <c r="BD241" s="132"/>
      <c r="BE241" s="131"/>
      <c r="BF241" s="131"/>
      <c r="BG241" s="131"/>
      <c r="BH241" s="131"/>
    </row>
    <row r="242" spans="19:60" s="20" customFormat="1" ht="22.5" customHeight="1" x14ac:dyDescent="0.25">
      <c r="S242" s="1"/>
      <c r="V242" s="133"/>
      <c r="W242" s="133"/>
      <c r="AF242" s="1"/>
      <c r="AN242" s="1"/>
      <c r="AV242" s="1"/>
      <c r="AW242" s="131"/>
      <c r="AX242" s="131"/>
      <c r="AY242" s="131"/>
      <c r="AZ242" s="131"/>
      <c r="BA242" s="131"/>
      <c r="BB242" s="131"/>
      <c r="BC242" s="131"/>
      <c r="BD242" s="132"/>
      <c r="BE242" s="131"/>
      <c r="BF242" s="131"/>
      <c r="BG242" s="131"/>
      <c r="BH242" s="131"/>
    </row>
    <row r="243" spans="19:60" s="20" customFormat="1" ht="22.5" customHeight="1" x14ac:dyDescent="0.25">
      <c r="S243" s="1"/>
      <c r="V243" s="133"/>
      <c r="W243" s="133"/>
      <c r="AF243" s="1"/>
      <c r="AN243" s="1"/>
      <c r="AV243" s="1"/>
      <c r="AW243" s="131"/>
      <c r="AX243" s="131"/>
      <c r="AY243" s="131"/>
      <c r="AZ243" s="131"/>
      <c r="BA243" s="131"/>
      <c r="BB243" s="131"/>
      <c r="BC243" s="131"/>
      <c r="BD243" s="132"/>
      <c r="BE243" s="131"/>
      <c r="BF243" s="131"/>
      <c r="BG243" s="131"/>
      <c r="BH243" s="131"/>
    </row>
    <row r="244" spans="19:60" s="20" customFormat="1" ht="22.5" customHeight="1" x14ac:dyDescent="0.25">
      <c r="S244" s="1"/>
      <c r="V244" s="133"/>
      <c r="W244" s="133"/>
      <c r="AF244" s="1"/>
      <c r="AN244" s="1"/>
      <c r="AV244" s="1"/>
      <c r="AW244" s="131"/>
      <c r="AX244" s="131"/>
      <c r="AY244" s="131"/>
      <c r="AZ244" s="131"/>
      <c r="BA244" s="131"/>
      <c r="BB244" s="131"/>
      <c r="BC244" s="131"/>
      <c r="BD244" s="132"/>
      <c r="BE244" s="131"/>
      <c r="BF244" s="131"/>
      <c r="BG244" s="131"/>
      <c r="BH244" s="131"/>
    </row>
    <row r="245" spans="19:60" s="20" customFormat="1" ht="22.5" customHeight="1" x14ac:dyDescent="0.25">
      <c r="S245" s="1"/>
      <c r="V245" s="133"/>
      <c r="W245" s="133"/>
      <c r="AF245" s="1"/>
      <c r="AN245" s="1"/>
      <c r="AV245" s="1"/>
      <c r="AW245" s="131"/>
      <c r="AX245" s="131"/>
      <c r="AY245" s="131"/>
      <c r="AZ245" s="131"/>
      <c r="BA245" s="131"/>
      <c r="BB245" s="131"/>
      <c r="BC245" s="131"/>
      <c r="BD245" s="132"/>
      <c r="BE245" s="131"/>
      <c r="BF245" s="131"/>
      <c r="BG245" s="131"/>
      <c r="BH245" s="131"/>
    </row>
    <row r="246" spans="19:60" s="20" customFormat="1" ht="22.5" customHeight="1" x14ac:dyDescent="0.25">
      <c r="S246" s="1"/>
      <c r="V246" s="133"/>
      <c r="W246" s="133"/>
      <c r="AF246" s="1"/>
      <c r="AN246" s="1"/>
      <c r="AV246" s="1"/>
      <c r="AW246" s="131"/>
      <c r="AX246" s="131"/>
      <c r="AY246" s="131"/>
      <c r="AZ246" s="131"/>
      <c r="BA246" s="131"/>
      <c r="BB246" s="131"/>
      <c r="BC246" s="131"/>
      <c r="BD246" s="132"/>
      <c r="BE246" s="131"/>
      <c r="BF246" s="131"/>
      <c r="BG246" s="131"/>
      <c r="BH246" s="131"/>
    </row>
    <row r="247" spans="19:60" s="20" customFormat="1" ht="22.5" customHeight="1" x14ac:dyDescent="0.25">
      <c r="S247" s="1"/>
      <c r="V247" s="133"/>
      <c r="W247" s="133"/>
      <c r="AF247" s="1"/>
      <c r="AN247" s="1"/>
      <c r="AV247" s="1"/>
      <c r="AW247" s="131"/>
      <c r="AX247" s="131"/>
      <c r="AY247" s="131"/>
      <c r="AZ247" s="131"/>
      <c r="BA247" s="131"/>
      <c r="BB247" s="131"/>
      <c r="BC247" s="131"/>
      <c r="BD247" s="132"/>
      <c r="BE247" s="131"/>
      <c r="BF247" s="131"/>
      <c r="BG247" s="131"/>
      <c r="BH247" s="131"/>
    </row>
    <row r="248" spans="19:60" s="20" customFormat="1" ht="22.5" customHeight="1" x14ac:dyDescent="0.25">
      <c r="S248" s="1"/>
      <c r="V248" s="133"/>
      <c r="W248" s="133"/>
      <c r="AF248" s="1"/>
      <c r="AN248" s="1"/>
      <c r="AV248" s="1"/>
      <c r="AW248" s="131"/>
      <c r="AX248" s="131"/>
      <c r="AY248" s="131"/>
      <c r="AZ248" s="131"/>
      <c r="BA248" s="131"/>
      <c r="BB248" s="131"/>
      <c r="BC248" s="131"/>
      <c r="BD248" s="132"/>
      <c r="BE248" s="131"/>
      <c r="BF248" s="131"/>
      <c r="BG248" s="131"/>
      <c r="BH248" s="131"/>
    </row>
    <row r="249" spans="19:60" s="20" customFormat="1" ht="22.5" customHeight="1" x14ac:dyDescent="0.25">
      <c r="S249" s="1"/>
      <c r="V249" s="133"/>
      <c r="W249" s="133"/>
      <c r="AF249" s="1"/>
      <c r="AN249" s="1"/>
      <c r="AV249" s="1"/>
      <c r="AW249" s="131"/>
      <c r="AX249" s="131"/>
      <c r="AY249" s="131"/>
      <c r="AZ249" s="131"/>
      <c r="BA249" s="131"/>
      <c r="BB249" s="131"/>
      <c r="BC249" s="131"/>
      <c r="BD249" s="132"/>
      <c r="BE249" s="131"/>
      <c r="BF249" s="131"/>
      <c r="BG249" s="131"/>
      <c r="BH249" s="131"/>
    </row>
    <row r="250" spans="19:60" s="20" customFormat="1" ht="22.5" customHeight="1" x14ac:dyDescent="0.25">
      <c r="S250" s="1"/>
      <c r="V250" s="133"/>
      <c r="W250" s="133"/>
      <c r="AF250" s="1"/>
      <c r="AN250" s="1"/>
      <c r="AV250" s="1"/>
      <c r="AW250" s="131"/>
      <c r="AX250" s="131"/>
      <c r="AY250" s="131"/>
      <c r="AZ250" s="131"/>
      <c r="BA250" s="131"/>
      <c r="BB250" s="131"/>
      <c r="BC250" s="131"/>
      <c r="BD250" s="132"/>
      <c r="BE250" s="131"/>
      <c r="BF250" s="131"/>
      <c r="BG250" s="131"/>
      <c r="BH250" s="131"/>
    </row>
    <row r="251" spans="19:60" s="20" customFormat="1" ht="22.5" customHeight="1" x14ac:dyDescent="0.25">
      <c r="S251" s="1"/>
      <c r="V251" s="133"/>
      <c r="W251" s="133"/>
      <c r="AF251" s="1"/>
      <c r="AN251" s="1"/>
      <c r="AV251" s="1"/>
      <c r="AW251" s="131"/>
      <c r="AX251" s="131"/>
      <c r="AY251" s="131"/>
      <c r="AZ251" s="131"/>
      <c r="BA251" s="131"/>
      <c r="BB251" s="131"/>
      <c r="BC251" s="131"/>
      <c r="BD251" s="132"/>
      <c r="BE251" s="131"/>
      <c r="BF251" s="131"/>
      <c r="BG251" s="131"/>
      <c r="BH251" s="131"/>
    </row>
    <row r="252" spans="19:60" s="20" customFormat="1" ht="22.5" customHeight="1" x14ac:dyDescent="0.25">
      <c r="S252" s="1"/>
      <c r="V252" s="133"/>
      <c r="W252" s="133"/>
      <c r="AF252" s="1"/>
      <c r="AN252" s="1"/>
      <c r="AV252" s="1"/>
      <c r="AW252" s="131"/>
      <c r="AX252" s="131"/>
      <c r="AY252" s="131"/>
      <c r="AZ252" s="131"/>
      <c r="BA252" s="131"/>
      <c r="BB252" s="131"/>
      <c r="BC252" s="131"/>
      <c r="BD252" s="132"/>
      <c r="BE252" s="131"/>
      <c r="BF252" s="131"/>
      <c r="BG252" s="131"/>
      <c r="BH252" s="131"/>
    </row>
    <row r="253" spans="19:60" s="20" customFormat="1" ht="22.5" customHeight="1" x14ac:dyDescent="0.25">
      <c r="S253" s="1"/>
      <c r="V253" s="133"/>
      <c r="W253" s="133"/>
      <c r="AF253" s="1"/>
      <c r="AN253" s="1"/>
      <c r="AV253" s="1"/>
      <c r="AW253" s="131"/>
      <c r="AX253" s="131"/>
      <c r="AY253" s="131"/>
      <c r="AZ253" s="131"/>
      <c r="BA253" s="131"/>
      <c r="BB253" s="131"/>
      <c r="BC253" s="131"/>
      <c r="BD253" s="132"/>
      <c r="BE253" s="131"/>
      <c r="BF253" s="131"/>
      <c r="BG253" s="131"/>
      <c r="BH253" s="131"/>
    </row>
    <row r="254" spans="19:60" s="20" customFormat="1" ht="22.5" customHeight="1" x14ac:dyDescent="0.25">
      <c r="S254" s="1"/>
      <c r="V254" s="133"/>
      <c r="W254" s="133"/>
      <c r="AF254" s="1"/>
      <c r="AN254" s="1"/>
      <c r="AV254" s="1"/>
      <c r="AW254" s="131"/>
      <c r="AX254" s="131"/>
      <c r="AY254" s="131"/>
      <c r="AZ254" s="131"/>
      <c r="BA254" s="131"/>
      <c r="BB254" s="131"/>
      <c r="BC254" s="131"/>
      <c r="BD254" s="132"/>
      <c r="BE254" s="131"/>
      <c r="BF254" s="131"/>
      <c r="BG254" s="131"/>
      <c r="BH254" s="131"/>
    </row>
    <row r="255" spans="19:60" s="20" customFormat="1" ht="22.5" customHeight="1" x14ac:dyDescent="0.25">
      <c r="S255" s="1"/>
      <c r="V255" s="133"/>
      <c r="W255" s="133"/>
      <c r="AF255" s="1"/>
      <c r="AN255" s="1"/>
      <c r="AV255" s="1"/>
      <c r="AW255" s="131"/>
      <c r="AX255" s="131"/>
      <c r="AY255" s="131"/>
      <c r="AZ255" s="131"/>
      <c r="BA255" s="131"/>
      <c r="BB255" s="131"/>
      <c r="BC255" s="131"/>
      <c r="BD255" s="132"/>
      <c r="BE255" s="131"/>
      <c r="BF255" s="131"/>
      <c r="BG255" s="131"/>
      <c r="BH255" s="131"/>
    </row>
    <row r="256" spans="19:60" s="20" customFormat="1" ht="22.5" customHeight="1" x14ac:dyDescent="0.25">
      <c r="S256" s="1"/>
      <c r="V256" s="133"/>
      <c r="W256" s="133"/>
      <c r="AF256" s="1"/>
      <c r="AN256" s="1"/>
      <c r="AV256" s="1"/>
      <c r="AW256" s="131"/>
      <c r="AX256" s="131"/>
      <c r="AY256" s="131"/>
      <c r="AZ256" s="131"/>
      <c r="BA256" s="131"/>
      <c r="BB256" s="131"/>
      <c r="BC256" s="131"/>
      <c r="BD256" s="132"/>
      <c r="BE256" s="131"/>
      <c r="BF256" s="131"/>
      <c r="BG256" s="131"/>
      <c r="BH256" s="131"/>
    </row>
    <row r="257" spans="19:60" s="20" customFormat="1" ht="22.5" customHeight="1" x14ac:dyDescent="0.25">
      <c r="S257" s="1"/>
      <c r="V257" s="133"/>
      <c r="W257" s="133"/>
      <c r="AF257" s="1"/>
      <c r="AN257" s="1"/>
      <c r="AV257" s="1"/>
      <c r="AW257" s="131"/>
      <c r="AX257" s="131"/>
      <c r="AY257" s="131"/>
      <c r="AZ257" s="131"/>
      <c r="BA257" s="131"/>
      <c r="BB257" s="131"/>
      <c r="BC257" s="131"/>
      <c r="BD257" s="132"/>
      <c r="BE257" s="131"/>
      <c r="BF257" s="131"/>
      <c r="BG257" s="131"/>
      <c r="BH257" s="131"/>
    </row>
    <row r="258" spans="19:60" s="20" customFormat="1" ht="22.5" customHeight="1" x14ac:dyDescent="0.25">
      <c r="S258" s="1"/>
      <c r="V258" s="133"/>
      <c r="W258" s="133"/>
      <c r="AF258" s="1"/>
      <c r="AN258" s="1"/>
      <c r="AV258" s="1"/>
      <c r="AW258" s="131"/>
      <c r="AX258" s="131"/>
      <c r="AY258" s="131"/>
      <c r="AZ258" s="131"/>
      <c r="BA258" s="131"/>
      <c r="BB258" s="131"/>
      <c r="BC258" s="131"/>
      <c r="BD258" s="132"/>
      <c r="BE258" s="131"/>
      <c r="BF258" s="131"/>
      <c r="BG258" s="131"/>
      <c r="BH258" s="131"/>
    </row>
    <row r="259" spans="19:60" s="20" customFormat="1" ht="22.5" customHeight="1" x14ac:dyDescent="0.25">
      <c r="S259" s="1"/>
      <c r="V259" s="133"/>
      <c r="W259" s="133"/>
      <c r="AF259" s="1"/>
      <c r="AN259" s="1"/>
      <c r="AV259" s="1"/>
      <c r="AW259" s="131"/>
      <c r="AX259" s="131"/>
      <c r="AY259" s="131"/>
      <c r="AZ259" s="131"/>
      <c r="BA259" s="131"/>
      <c r="BB259" s="131"/>
      <c r="BC259" s="131"/>
      <c r="BD259" s="132"/>
      <c r="BE259" s="131"/>
      <c r="BF259" s="131"/>
      <c r="BG259" s="131"/>
      <c r="BH259" s="131"/>
    </row>
    <row r="260" spans="19:60" s="20" customFormat="1" ht="22.5" customHeight="1" x14ac:dyDescent="0.25">
      <c r="S260" s="1"/>
      <c r="V260" s="133"/>
      <c r="W260" s="133"/>
      <c r="AF260" s="1"/>
      <c r="AN260" s="1"/>
      <c r="AV260" s="1"/>
      <c r="AW260" s="131"/>
      <c r="AX260" s="131"/>
      <c r="AY260" s="131"/>
      <c r="AZ260" s="131"/>
      <c r="BA260" s="131"/>
      <c r="BB260" s="131"/>
      <c r="BC260" s="131"/>
      <c r="BD260" s="132"/>
      <c r="BE260" s="131"/>
      <c r="BF260" s="131"/>
      <c r="BG260" s="131"/>
      <c r="BH260" s="131"/>
    </row>
    <row r="261" spans="19:60" s="20" customFormat="1" ht="22.5" customHeight="1" x14ac:dyDescent="0.25">
      <c r="S261" s="1"/>
      <c r="V261" s="133"/>
      <c r="W261" s="133"/>
      <c r="AF261" s="1"/>
      <c r="AN261" s="1"/>
      <c r="AV261" s="1"/>
      <c r="AW261" s="131"/>
      <c r="AX261" s="131"/>
      <c r="AY261" s="131"/>
      <c r="AZ261" s="131"/>
      <c r="BA261" s="131"/>
      <c r="BB261" s="131"/>
      <c r="BC261" s="131"/>
      <c r="BD261" s="132"/>
      <c r="BE261" s="131"/>
      <c r="BF261" s="131"/>
      <c r="BG261" s="131"/>
      <c r="BH261" s="131"/>
    </row>
    <row r="262" spans="19:60" s="20" customFormat="1" ht="22.5" customHeight="1" x14ac:dyDescent="0.25">
      <c r="S262" s="1"/>
      <c r="V262" s="133"/>
      <c r="W262" s="133"/>
      <c r="AF262" s="1"/>
      <c r="AN262" s="1"/>
      <c r="AV262" s="1"/>
      <c r="AW262" s="131"/>
      <c r="AX262" s="131"/>
      <c r="AY262" s="131"/>
      <c r="AZ262" s="131"/>
      <c r="BA262" s="131"/>
      <c r="BB262" s="131"/>
      <c r="BC262" s="131"/>
      <c r="BD262" s="132"/>
      <c r="BE262" s="131"/>
      <c r="BF262" s="131"/>
      <c r="BG262" s="131"/>
      <c r="BH262" s="131"/>
    </row>
    <row r="263" spans="19:60" s="20" customFormat="1" ht="22.5" customHeight="1" x14ac:dyDescent="0.25">
      <c r="S263" s="1"/>
      <c r="V263" s="133"/>
      <c r="W263" s="133"/>
      <c r="AF263" s="1"/>
      <c r="AN263" s="1"/>
      <c r="AV263" s="1"/>
      <c r="AW263" s="131"/>
      <c r="AX263" s="131"/>
      <c r="AY263" s="131"/>
      <c r="AZ263" s="131"/>
      <c r="BA263" s="131"/>
      <c r="BB263" s="131"/>
      <c r="BC263" s="131"/>
      <c r="BD263" s="132"/>
      <c r="BE263" s="131"/>
      <c r="BF263" s="131"/>
      <c r="BG263" s="131"/>
      <c r="BH263" s="131"/>
    </row>
    <row r="264" spans="19:60" s="20" customFormat="1" ht="22.5" customHeight="1" x14ac:dyDescent="0.25">
      <c r="S264" s="1"/>
      <c r="V264" s="133"/>
      <c r="W264" s="133"/>
      <c r="AF264" s="1"/>
      <c r="AN264" s="1"/>
      <c r="AV264" s="1"/>
      <c r="AW264" s="131"/>
      <c r="AX264" s="131"/>
      <c r="AY264" s="131"/>
      <c r="AZ264" s="131"/>
      <c r="BA264" s="131"/>
      <c r="BB264" s="131"/>
      <c r="BC264" s="131"/>
      <c r="BD264" s="132"/>
      <c r="BE264" s="131"/>
      <c r="BF264" s="131"/>
      <c r="BG264" s="131"/>
      <c r="BH264" s="131"/>
    </row>
    <row r="265" spans="19:60" s="20" customFormat="1" ht="22.5" customHeight="1" x14ac:dyDescent="0.25">
      <c r="S265" s="1"/>
      <c r="V265" s="133"/>
      <c r="W265" s="133"/>
      <c r="AF265" s="1"/>
      <c r="AN265" s="1"/>
      <c r="AV265" s="1"/>
      <c r="AW265" s="131"/>
      <c r="AX265" s="131"/>
      <c r="AY265" s="131"/>
      <c r="AZ265" s="131"/>
      <c r="BA265" s="131"/>
      <c r="BB265" s="131"/>
      <c r="BC265" s="131"/>
      <c r="BD265" s="132"/>
      <c r="BE265" s="131"/>
      <c r="BF265" s="131"/>
      <c r="BG265" s="131"/>
      <c r="BH265" s="131"/>
    </row>
    <row r="266" spans="19:60" s="20" customFormat="1" ht="22.5" customHeight="1" x14ac:dyDescent="0.25">
      <c r="S266" s="1"/>
      <c r="V266" s="133"/>
      <c r="W266" s="133"/>
      <c r="AF266" s="1"/>
      <c r="AN266" s="1"/>
      <c r="AV266" s="1"/>
      <c r="AW266" s="131"/>
      <c r="AX266" s="131"/>
      <c r="AY266" s="131"/>
      <c r="AZ266" s="131"/>
      <c r="BA266" s="131"/>
      <c r="BB266" s="131"/>
      <c r="BC266" s="131"/>
      <c r="BD266" s="132"/>
      <c r="BE266" s="131"/>
      <c r="BF266" s="131"/>
      <c r="BG266" s="131"/>
      <c r="BH266" s="131"/>
    </row>
    <row r="267" spans="19:60" s="20" customFormat="1" ht="22.5" customHeight="1" x14ac:dyDescent="0.25">
      <c r="S267" s="1"/>
      <c r="V267" s="133"/>
      <c r="W267" s="133"/>
      <c r="AF267" s="1"/>
      <c r="AN267" s="1"/>
      <c r="AV267" s="1"/>
      <c r="AW267" s="131"/>
      <c r="AX267" s="131"/>
      <c r="AY267" s="131"/>
      <c r="AZ267" s="131"/>
      <c r="BA267" s="131"/>
      <c r="BB267" s="131"/>
      <c r="BC267" s="131"/>
      <c r="BD267" s="132"/>
      <c r="BE267" s="131"/>
      <c r="BF267" s="131"/>
      <c r="BG267" s="131"/>
      <c r="BH267" s="131"/>
    </row>
    <row r="268" spans="19:60" s="20" customFormat="1" ht="22.5" customHeight="1" x14ac:dyDescent="0.25">
      <c r="S268" s="1"/>
      <c r="V268" s="133"/>
      <c r="W268" s="133"/>
      <c r="AF268" s="1"/>
      <c r="AN268" s="1"/>
      <c r="AV268" s="1"/>
      <c r="AW268" s="131"/>
      <c r="AX268" s="131"/>
      <c r="AY268" s="131"/>
      <c r="AZ268" s="131"/>
      <c r="BA268" s="131"/>
      <c r="BB268" s="131"/>
      <c r="BC268" s="131"/>
      <c r="BD268" s="132"/>
      <c r="BE268" s="131"/>
      <c r="BF268" s="131"/>
      <c r="BG268" s="131"/>
      <c r="BH268" s="131"/>
    </row>
    <row r="269" spans="19:60" s="20" customFormat="1" ht="22.5" customHeight="1" x14ac:dyDescent="0.25">
      <c r="S269" s="1"/>
      <c r="V269" s="133"/>
      <c r="W269" s="133"/>
      <c r="AF269" s="1"/>
      <c r="AN269" s="1"/>
      <c r="AV269" s="1"/>
      <c r="AW269" s="131"/>
      <c r="AX269" s="131"/>
      <c r="AY269" s="131"/>
      <c r="AZ269" s="131"/>
      <c r="BA269" s="131"/>
      <c r="BB269" s="131"/>
      <c r="BC269" s="131"/>
      <c r="BD269" s="132"/>
      <c r="BE269" s="131"/>
      <c r="BF269" s="131"/>
      <c r="BG269" s="131"/>
      <c r="BH269" s="131"/>
    </row>
    <row r="270" spans="19:60" s="20" customFormat="1" ht="22.5" customHeight="1" x14ac:dyDescent="0.25">
      <c r="S270" s="1"/>
      <c r="V270" s="133"/>
      <c r="W270" s="133"/>
      <c r="AF270" s="1"/>
      <c r="AN270" s="1"/>
      <c r="AV270" s="1"/>
      <c r="AW270" s="131"/>
      <c r="AX270" s="131"/>
      <c r="AY270" s="131"/>
      <c r="AZ270" s="131"/>
      <c r="BA270" s="131"/>
      <c r="BB270" s="131"/>
      <c r="BC270" s="131"/>
      <c r="BD270" s="132"/>
      <c r="BE270" s="131"/>
      <c r="BF270" s="131"/>
      <c r="BG270" s="131"/>
      <c r="BH270" s="131"/>
    </row>
    <row r="271" spans="19:60" s="20" customFormat="1" ht="22.5" customHeight="1" x14ac:dyDescent="0.25">
      <c r="S271" s="1"/>
      <c r="V271" s="133"/>
      <c r="W271" s="133"/>
      <c r="AF271" s="1"/>
      <c r="AN271" s="1"/>
      <c r="AV271" s="1"/>
      <c r="AW271" s="131"/>
      <c r="AX271" s="131"/>
      <c r="AY271" s="131"/>
      <c r="AZ271" s="131"/>
      <c r="BA271" s="131"/>
      <c r="BB271" s="131"/>
      <c r="BC271" s="131"/>
      <c r="BD271" s="132"/>
      <c r="BE271" s="131"/>
      <c r="BF271" s="131"/>
      <c r="BG271" s="131"/>
      <c r="BH271" s="131"/>
    </row>
    <row r="272" spans="19:60" s="20" customFormat="1" ht="22.5" customHeight="1" x14ac:dyDescent="0.25">
      <c r="S272" s="1"/>
      <c r="V272" s="133"/>
      <c r="W272" s="133"/>
      <c r="AF272" s="1"/>
      <c r="AN272" s="1"/>
      <c r="AV272" s="1"/>
      <c r="AW272" s="131"/>
      <c r="AX272" s="131"/>
      <c r="AY272" s="131"/>
      <c r="AZ272" s="131"/>
      <c r="BA272" s="131"/>
      <c r="BB272" s="131"/>
      <c r="BC272" s="131"/>
      <c r="BD272" s="132"/>
      <c r="BE272" s="131"/>
      <c r="BF272" s="131"/>
      <c r="BG272" s="131"/>
      <c r="BH272" s="131"/>
    </row>
    <row r="273" spans="19:60" s="20" customFormat="1" ht="22.5" customHeight="1" x14ac:dyDescent="0.25">
      <c r="S273" s="1"/>
      <c r="V273" s="133"/>
      <c r="W273" s="133"/>
      <c r="AF273" s="1"/>
      <c r="AN273" s="1"/>
      <c r="AV273" s="1"/>
      <c r="AW273" s="131"/>
      <c r="AX273" s="131"/>
      <c r="AY273" s="131"/>
      <c r="AZ273" s="131"/>
      <c r="BA273" s="131"/>
      <c r="BB273" s="131"/>
      <c r="BC273" s="131"/>
      <c r="BD273" s="132"/>
      <c r="BE273" s="131"/>
      <c r="BF273" s="131"/>
      <c r="BG273" s="131"/>
      <c r="BH273" s="131"/>
    </row>
    <row r="274" spans="19:60" s="20" customFormat="1" ht="22.5" customHeight="1" x14ac:dyDescent="0.25">
      <c r="S274" s="1"/>
      <c r="V274" s="133"/>
      <c r="W274" s="133"/>
      <c r="AF274" s="1"/>
      <c r="AN274" s="1"/>
      <c r="AV274" s="1"/>
      <c r="AW274" s="131"/>
      <c r="AX274" s="131"/>
      <c r="AY274" s="131"/>
      <c r="AZ274" s="131"/>
      <c r="BA274" s="131"/>
      <c r="BB274" s="131"/>
      <c r="BC274" s="131"/>
      <c r="BD274" s="132"/>
      <c r="BE274" s="131"/>
      <c r="BF274" s="131"/>
      <c r="BG274" s="131"/>
      <c r="BH274" s="131"/>
    </row>
    <row r="275" spans="19:60" s="20" customFormat="1" ht="22.5" customHeight="1" x14ac:dyDescent="0.25">
      <c r="S275" s="1"/>
      <c r="V275" s="133"/>
      <c r="W275" s="133"/>
      <c r="AF275" s="1"/>
      <c r="AN275" s="1"/>
      <c r="AV275" s="1"/>
      <c r="AW275" s="131"/>
      <c r="AX275" s="131"/>
      <c r="AY275" s="131"/>
      <c r="AZ275" s="131"/>
      <c r="BA275" s="131"/>
      <c r="BB275" s="131"/>
      <c r="BC275" s="131"/>
      <c r="BD275" s="132"/>
      <c r="BE275" s="131"/>
      <c r="BF275" s="131"/>
      <c r="BG275" s="131"/>
      <c r="BH275" s="131"/>
    </row>
    <row r="276" spans="19:60" s="20" customFormat="1" ht="22.5" customHeight="1" x14ac:dyDescent="0.25">
      <c r="S276" s="1"/>
      <c r="V276" s="133"/>
      <c r="W276" s="133"/>
      <c r="AF276" s="1"/>
      <c r="AN276" s="1"/>
      <c r="AV276" s="1"/>
      <c r="AW276" s="131"/>
      <c r="AX276" s="131"/>
      <c r="AY276" s="131"/>
      <c r="AZ276" s="131"/>
      <c r="BA276" s="131"/>
      <c r="BB276" s="131"/>
      <c r="BC276" s="131"/>
      <c r="BD276" s="132"/>
      <c r="BE276" s="131"/>
      <c r="BF276" s="131"/>
      <c r="BG276" s="131"/>
      <c r="BH276" s="131"/>
    </row>
    <row r="277" spans="19:60" s="20" customFormat="1" ht="22.5" customHeight="1" x14ac:dyDescent="0.25">
      <c r="S277" s="1"/>
      <c r="V277" s="133"/>
      <c r="W277" s="133"/>
      <c r="AF277" s="1"/>
      <c r="AN277" s="1"/>
      <c r="AV277" s="1"/>
      <c r="AW277" s="131"/>
      <c r="AX277" s="131"/>
      <c r="AY277" s="131"/>
      <c r="AZ277" s="131"/>
      <c r="BA277" s="131"/>
      <c r="BB277" s="131"/>
      <c r="BC277" s="131"/>
      <c r="BD277" s="132"/>
      <c r="BE277" s="131"/>
      <c r="BF277" s="131"/>
      <c r="BG277" s="131"/>
      <c r="BH277" s="131"/>
    </row>
    <row r="278" spans="19:60" s="20" customFormat="1" ht="22.5" customHeight="1" x14ac:dyDescent="0.25">
      <c r="S278" s="1"/>
      <c r="V278" s="133"/>
      <c r="W278" s="133"/>
      <c r="AF278" s="1"/>
      <c r="AN278" s="1"/>
      <c r="AV278" s="1"/>
      <c r="AW278" s="131"/>
      <c r="AX278" s="131"/>
      <c r="AY278" s="131"/>
      <c r="AZ278" s="131"/>
      <c r="BA278" s="131"/>
      <c r="BB278" s="131"/>
      <c r="BC278" s="131"/>
      <c r="BD278" s="132"/>
      <c r="BE278" s="131"/>
      <c r="BF278" s="131"/>
      <c r="BG278" s="131"/>
      <c r="BH278" s="131"/>
    </row>
    <row r="279" spans="19:60" s="20" customFormat="1" ht="22.5" customHeight="1" x14ac:dyDescent="0.25">
      <c r="S279" s="1"/>
      <c r="V279" s="133"/>
      <c r="W279" s="133"/>
      <c r="AF279" s="1"/>
      <c r="AN279" s="1"/>
      <c r="AV279" s="1"/>
      <c r="AW279" s="131"/>
      <c r="AX279" s="131"/>
      <c r="AY279" s="131"/>
      <c r="AZ279" s="131"/>
      <c r="BA279" s="131"/>
      <c r="BB279" s="131"/>
      <c r="BC279" s="131"/>
      <c r="BD279" s="132"/>
      <c r="BE279" s="131"/>
      <c r="BF279" s="131"/>
      <c r="BG279" s="131"/>
      <c r="BH279" s="131"/>
    </row>
    <row r="280" spans="19:60" s="20" customFormat="1" ht="22.5" customHeight="1" x14ac:dyDescent="0.25">
      <c r="S280" s="1"/>
      <c r="V280" s="133"/>
      <c r="W280" s="133"/>
      <c r="AF280" s="1"/>
      <c r="AN280" s="1"/>
      <c r="AV280" s="1"/>
      <c r="AW280" s="131"/>
      <c r="AX280" s="131"/>
      <c r="AY280" s="131"/>
      <c r="AZ280" s="131"/>
      <c r="BA280" s="131"/>
      <c r="BB280" s="131"/>
      <c r="BC280" s="131"/>
      <c r="BD280" s="132"/>
      <c r="BE280" s="131"/>
      <c r="BF280" s="131"/>
      <c r="BG280" s="131"/>
      <c r="BH280" s="131"/>
    </row>
    <row r="281" spans="19:60" s="20" customFormat="1" ht="22.5" customHeight="1" x14ac:dyDescent="0.25">
      <c r="S281" s="1"/>
      <c r="V281" s="133"/>
      <c r="W281" s="133"/>
      <c r="AF281" s="1"/>
      <c r="AN281" s="1"/>
      <c r="AV281" s="1"/>
      <c r="AW281" s="131"/>
      <c r="AX281" s="131"/>
      <c r="AY281" s="131"/>
      <c r="AZ281" s="131"/>
      <c r="BA281" s="131"/>
      <c r="BB281" s="131"/>
      <c r="BC281" s="131"/>
      <c r="BD281" s="132"/>
      <c r="BE281" s="131"/>
      <c r="BF281" s="131"/>
      <c r="BG281" s="131"/>
      <c r="BH281" s="131"/>
    </row>
    <row r="282" spans="19:60" s="20" customFormat="1" ht="22.5" customHeight="1" x14ac:dyDescent="0.25">
      <c r="S282" s="1"/>
      <c r="V282" s="133"/>
      <c r="W282" s="133"/>
      <c r="AF282" s="1"/>
      <c r="AN282" s="1"/>
      <c r="AV282" s="1"/>
      <c r="AW282" s="131"/>
      <c r="AX282" s="131"/>
      <c r="AY282" s="131"/>
      <c r="AZ282" s="131"/>
      <c r="BA282" s="131"/>
      <c r="BB282" s="131"/>
      <c r="BC282" s="131"/>
      <c r="BD282" s="132"/>
      <c r="BE282" s="131"/>
      <c r="BF282" s="131"/>
      <c r="BG282" s="131"/>
      <c r="BH282" s="131"/>
    </row>
    <row r="283" spans="19:60" s="20" customFormat="1" ht="22.5" customHeight="1" x14ac:dyDescent="0.25">
      <c r="S283" s="1"/>
      <c r="V283" s="133"/>
      <c r="W283" s="133"/>
      <c r="AF283" s="1"/>
      <c r="AN283" s="1"/>
      <c r="AV283" s="1"/>
      <c r="AW283" s="131"/>
      <c r="AX283" s="131"/>
      <c r="AY283" s="131"/>
      <c r="AZ283" s="131"/>
      <c r="BA283" s="131"/>
      <c r="BB283" s="131"/>
      <c r="BC283" s="131"/>
      <c r="BD283" s="132"/>
      <c r="BE283" s="131"/>
      <c r="BF283" s="131"/>
      <c r="BG283" s="131"/>
      <c r="BH283" s="131"/>
    </row>
    <row r="284" spans="19:60" s="20" customFormat="1" ht="22.5" customHeight="1" x14ac:dyDescent="0.25">
      <c r="S284" s="1"/>
      <c r="V284" s="133"/>
      <c r="W284" s="133"/>
      <c r="AF284" s="1"/>
      <c r="AN284" s="1"/>
      <c r="AV284" s="1"/>
      <c r="AW284" s="131"/>
      <c r="AX284" s="131"/>
      <c r="AY284" s="131"/>
      <c r="AZ284" s="131"/>
      <c r="BA284" s="131"/>
      <c r="BB284" s="131"/>
      <c r="BC284" s="131"/>
      <c r="BD284" s="132"/>
      <c r="BE284" s="131"/>
      <c r="BF284" s="131"/>
      <c r="BG284" s="131"/>
      <c r="BH284" s="131"/>
    </row>
    <row r="285" spans="19:60" s="20" customFormat="1" ht="22.5" customHeight="1" x14ac:dyDescent="0.25">
      <c r="S285" s="1"/>
      <c r="V285" s="133"/>
      <c r="W285" s="133"/>
      <c r="AF285" s="1"/>
      <c r="AN285" s="1"/>
      <c r="AV285" s="1"/>
      <c r="AW285" s="131"/>
      <c r="AX285" s="131"/>
      <c r="AY285" s="131"/>
      <c r="AZ285" s="131"/>
      <c r="BA285" s="131"/>
      <c r="BB285" s="131"/>
      <c r="BC285" s="131"/>
      <c r="BD285" s="132"/>
      <c r="BE285" s="131"/>
      <c r="BF285" s="131"/>
      <c r="BG285" s="131"/>
      <c r="BH285" s="131"/>
    </row>
    <row r="286" spans="19:60" s="20" customFormat="1" ht="22.5" customHeight="1" x14ac:dyDescent="0.25">
      <c r="S286" s="1"/>
      <c r="V286" s="133"/>
      <c r="W286" s="133"/>
      <c r="AF286" s="1"/>
      <c r="AN286" s="1"/>
      <c r="AV286" s="1"/>
      <c r="AW286" s="131"/>
      <c r="AX286" s="131"/>
      <c r="AY286" s="131"/>
      <c r="AZ286" s="131"/>
      <c r="BA286" s="131"/>
      <c r="BB286" s="131"/>
      <c r="BC286" s="131"/>
      <c r="BD286" s="132"/>
      <c r="BE286" s="131"/>
      <c r="BF286" s="131"/>
      <c r="BG286" s="131"/>
      <c r="BH286" s="131"/>
    </row>
    <row r="287" spans="19:60" s="20" customFormat="1" ht="22.5" customHeight="1" x14ac:dyDescent="0.25">
      <c r="S287" s="1"/>
      <c r="V287" s="133"/>
      <c r="W287" s="133"/>
      <c r="AF287" s="1"/>
      <c r="AN287" s="1"/>
      <c r="AV287" s="1"/>
      <c r="AW287" s="131"/>
      <c r="AX287" s="131"/>
      <c r="AY287" s="131"/>
      <c r="AZ287" s="131"/>
      <c r="BA287" s="131"/>
      <c r="BB287" s="131"/>
      <c r="BC287" s="131"/>
      <c r="BD287" s="132"/>
      <c r="BE287" s="131"/>
      <c r="BF287" s="131"/>
      <c r="BG287" s="131"/>
      <c r="BH287" s="131"/>
    </row>
    <row r="288" spans="19:60" s="20" customFormat="1" ht="22.5" customHeight="1" x14ac:dyDescent="0.25">
      <c r="S288" s="1"/>
      <c r="V288" s="133"/>
      <c r="W288" s="133"/>
      <c r="AF288" s="1"/>
      <c r="AN288" s="1"/>
      <c r="AV288" s="1"/>
      <c r="AW288" s="131"/>
      <c r="AX288" s="131"/>
      <c r="AY288" s="131"/>
      <c r="AZ288" s="131"/>
      <c r="BA288" s="131"/>
      <c r="BB288" s="131"/>
      <c r="BC288" s="131"/>
      <c r="BD288" s="132"/>
      <c r="BE288" s="131"/>
      <c r="BF288" s="131"/>
      <c r="BG288" s="131"/>
      <c r="BH288" s="131"/>
    </row>
    <row r="289" spans="19:60" s="20" customFormat="1" ht="22.5" customHeight="1" x14ac:dyDescent="0.25">
      <c r="S289" s="1"/>
      <c r="V289" s="133"/>
      <c r="W289" s="133"/>
      <c r="AF289" s="1"/>
      <c r="AN289" s="1"/>
      <c r="AV289" s="1"/>
      <c r="AW289" s="131"/>
      <c r="AX289" s="131"/>
      <c r="AY289" s="131"/>
      <c r="AZ289" s="131"/>
      <c r="BA289" s="131"/>
      <c r="BB289" s="131"/>
      <c r="BC289" s="131"/>
      <c r="BD289" s="132"/>
      <c r="BE289" s="131"/>
      <c r="BF289" s="131"/>
      <c r="BG289" s="131"/>
      <c r="BH289" s="131"/>
    </row>
    <row r="290" spans="19:60" s="20" customFormat="1" ht="22.5" customHeight="1" x14ac:dyDescent="0.25">
      <c r="S290" s="1"/>
      <c r="V290" s="133"/>
      <c r="W290" s="133"/>
      <c r="AF290" s="1"/>
      <c r="AN290" s="1"/>
      <c r="AV290" s="1"/>
      <c r="AW290" s="131"/>
      <c r="AX290" s="131"/>
      <c r="AY290" s="131"/>
      <c r="AZ290" s="131"/>
      <c r="BA290" s="131"/>
      <c r="BB290" s="131"/>
      <c r="BC290" s="131"/>
      <c r="BD290" s="132"/>
      <c r="BE290" s="131"/>
      <c r="BF290" s="131"/>
      <c r="BG290" s="131"/>
      <c r="BH290" s="131"/>
    </row>
    <row r="291" spans="19:60" s="20" customFormat="1" ht="22.5" customHeight="1" x14ac:dyDescent="0.25">
      <c r="S291" s="1"/>
      <c r="V291" s="133"/>
      <c r="W291" s="133"/>
      <c r="AF291" s="1"/>
      <c r="AN291" s="1"/>
      <c r="AV291" s="1"/>
      <c r="AW291" s="131"/>
      <c r="AX291" s="131"/>
      <c r="AY291" s="131"/>
      <c r="AZ291" s="131"/>
      <c r="BA291" s="131"/>
      <c r="BB291" s="131"/>
      <c r="BC291" s="131"/>
      <c r="BD291" s="132"/>
      <c r="BE291" s="131"/>
      <c r="BF291" s="131"/>
      <c r="BG291" s="131"/>
      <c r="BH291" s="131"/>
    </row>
    <row r="292" spans="19:60" s="20" customFormat="1" ht="22.5" customHeight="1" x14ac:dyDescent="0.25">
      <c r="S292" s="1"/>
      <c r="V292" s="133"/>
      <c r="W292" s="133"/>
      <c r="AF292" s="1"/>
      <c r="AN292" s="1"/>
      <c r="AV292" s="1"/>
      <c r="AW292" s="131"/>
      <c r="AX292" s="131"/>
      <c r="AY292" s="131"/>
      <c r="AZ292" s="131"/>
      <c r="BA292" s="131"/>
      <c r="BB292" s="131"/>
      <c r="BC292" s="131"/>
      <c r="BD292" s="132"/>
      <c r="BE292" s="131"/>
      <c r="BF292" s="131"/>
      <c r="BG292" s="131"/>
      <c r="BH292" s="131"/>
    </row>
    <row r="293" spans="19:60" s="20" customFormat="1" ht="22.5" customHeight="1" x14ac:dyDescent="0.25">
      <c r="S293" s="1"/>
      <c r="V293" s="133"/>
      <c r="W293" s="133"/>
      <c r="AF293" s="1"/>
      <c r="AN293" s="1"/>
      <c r="AV293" s="1"/>
      <c r="AW293" s="131"/>
      <c r="AX293" s="131"/>
      <c r="AY293" s="131"/>
      <c r="AZ293" s="131"/>
      <c r="BA293" s="131"/>
      <c r="BB293" s="131"/>
      <c r="BC293" s="131"/>
      <c r="BD293" s="132"/>
      <c r="BE293" s="131"/>
      <c r="BF293" s="131"/>
      <c r="BG293" s="131"/>
      <c r="BH293" s="131"/>
    </row>
    <row r="294" spans="19:60" s="20" customFormat="1" ht="22.5" customHeight="1" x14ac:dyDescent="0.25">
      <c r="S294" s="1"/>
      <c r="V294" s="133"/>
      <c r="W294" s="133"/>
      <c r="AF294" s="1"/>
      <c r="AN294" s="1"/>
      <c r="AV294" s="1"/>
      <c r="AW294" s="131"/>
      <c r="AX294" s="131"/>
      <c r="AY294" s="131"/>
      <c r="AZ294" s="131"/>
      <c r="BA294" s="131"/>
      <c r="BB294" s="131"/>
      <c r="BC294" s="131"/>
      <c r="BD294" s="132"/>
      <c r="BE294" s="131"/>
      <c r="BF294" s="131"/>
      <c r="BG294" s="131"/>
      <c r="BH294" s="131"/>
    </row>
    <row r="295" spans="19:60" s="20" customFormat="1" ht="22.5" customHeight="1" x14ac:dyDescent="0.25">
      <c r="S295" s="1"/>
      <c r="V295" s="133"/>
      <c r="W295" s="133"/>
      <c r="AF295" s="1"/>
      <c r="AN295" s="1"/>
      <c r="AV295" s="1"/>
      <c r="AW295" s="131"/>
      <c r="AX295" s="131"/>
      <c r="AY295" s="131"/>
      <c r="AZ295" s="131"/>
      <c r="BA295" s="131"/>
      <c r="BB295" s="131"/>
      <c r="BC295" s="131"/>
      <c r="BD295" s="132"/>
      <c r="BE295" s="131"/>
      <c r="BF295" s="131"/>
      <c r="BG295" s="131"/>
      <c r="BH295" s="131"/>
    </row>
    <row r="296" spans="19:60" s="20" customFormat="1" ht="22.5" customHeight="1" x14ac:dyDescent="0.25">
      <c r="S296" s="1"/>
      <c r="V296" s="133"/>
      <c r="W296" s="133"/>
      <c r="AF296" s="1"/>
      <c r="AN296" s="1"/>
      <c r="AV296" s="1"/>
      <c r="AW296" s="131"/>
      <c r="AX296" s="131"/>
      <c r="AY296" s="131"/>
      <c r="AZ296" s="131"/>
      <c r="BA296" s="131"/>
      <c r="BB296" s="131"/>
      <c r="BC296" s="131"/>
      <c r="BD296" s="132"/>
      <c r="BE296" s="131"/>
      <c r="BF296" s="131"/>
      <c r="BG296" s="131"/>
      <c r="BH296" s="131"/>
    </row>
    <row r="297" spans="19:60" s="20" customFormat="1" ht="22.5" customHeight="1" x14ac:dyDescent="0.25">
      <c r="S297" s="1"/>
      <c r="V297" s="133"/>
      <c r="W297" s="133"/>
      <c r="AF297" s="1"/>
      <c r="AN297" s="1"/>
      <c r="AV297" s="1"/>
      <c r="AW297" s="131"/>
      <c r="AX297" s="131"/>
      <c r="AY297" s="131"/>
      <c r="AZ297" s="131"/>
      <c r="BA297" s="131"/>
      <c r="BB297" s="131"/>
      <c r="BC297" s="131"/>
      <c r="BD297" s="132"/>
      <c r="BE297" s="131"/>
      <c r="BF297" s="131"/>
      <c r="BG297" s="131"/>
      <c r="BH297" s="131"/>
    </row>
    <row r="298" spans="19:60" s="20" customFormat="1" ht="22.5" customHeight="1" x14ac:dyDescent="0.25">
      <c r="S298" s="1"/>
      <c r="V298" s="133"/>
      <c r="W298" s="133"/>
      <c r="AF298" s="1"/>
      <c r="AN298" s="1"/>
      <c r="AV298" s="1"/>
      <c r="AW298" s="131"/>
      <c r="AX298" s="131"/>
      <c r="AY298" s="131"/>
      <c r="AZ298" s="131"/>
      <c r="BA298" s="131"/>
      <c r="BB298" s="131"/>
      <c r="BC298" s="131"/>
      <c r="BD298" s="132"/>
      <c r="BE298" s="131"/>
      <c r="BF298" s="131"/>
      <c r="BG298" s="131"/>
      <c r="BH298" s="131"/>
    </row>
    <row r="299" spans="19:60" s="20" customFormat="1" ht="22.5" customHeight="1" x14ac:dyDescent="0.25">
      <c r="S299" s="1"/>
      <c r="V299" s="133"/>
      <c r="W299" s="133"/>
      <c r="AF299" s="1"/>
      <c r="AN299" s="1"/>
      <c r="AV299" s="1"/>
      <c r="AW299" s="131"/>
      <c r="AX299" s="131"/>
      <c r="AY299" s="131"/>
      <c r="AZ299" s="131"/>
      <c r="BA299" s="131"/>
      <c r="BB299" s="131"/>
      <c r="BC299" s="131"/>
      <c r="BD299" s="132"/>
      <c r="BE299" s="131"/>
      <c r="BF299" s="131"/>
      <c r="BG299" s="131"/>
      <c r="BH299" s="131"/>
    </row>
    <row r="300" spans="19:60" s="20" customFormat="1" ht="22.5" customHeight="1" x14ac:dyDescent="0.25">
      <c r="S300" s="1"/>
      <c r="V300" s="133"/>
      <c r="W300" s="133"/>
      <c r="AF300" s="1"/>
      <c r="AN300" s="1"/>
      <c r="AV300" s="1"/>
      <c r="AW300" s="131"/>
      <c r="AX300" s="131"/>
      <c r="AY300" s="131"/>
      <c r="AZ300" s="131"/>
      <c r="BA300" s="131"/>
      <c r="BB300" s="131"/>
      <c r="BC300" s="131"/>
      <c r="BD300" s="132"/>
      <c r="BE300" s="131"/>
      <c r="BF300" s="131"/>
      <c r="BG300" s="131"/>
      <c r="BH300" s="131"/>
    </row>
    <row r="301" spans="19:60" s="20" customFormat="1" ht="22.5" customHeight="1" x14ac:dyDescent="0.25">
      <c r="S301" s="1"/>
      <c r="V301" s="133"/>
      <c r="W301" s="133"/>
      <c r="AF301" s="1"/>
      <c r="AN301" s="1"/>
      <c r="AV301" s="1"/>
      <c r="AW301" s="131"/>
      <c r="AX301" s="131"/>
      <c r="AY301" s="131"/>
      <c r="AZ301" s="131"/>
      <c r="BA301" s="131"/>
      <c r="BB301" s="131"/>
      <c r="BC301" s="131"/>
      <c r="BD301" s="132"/>
      <c r="BE301" s="131"/>
      <c r="BF301" s="131"/>
      <c r="BG301" s="131"/>
      <c r="BH301" s="131"/>
    </row>
    <row r="302" spans="19:60" s="20" customFormat="1" ht="22.5" customHeight="1" x14ac:dyDescent="0.25">
      <c r="S302" s="1"/>
      <c r="V302" s="133"/>
      <c r="W302" s="133"/>
      <c r="AF302" s="1"/>
      <c r="AN302" s="1"/>
      <c r="AV302" s="1"/>
      <c r="AW302" s="131"/>
      <c r="AX302" s="131"/>
      <c r="AY302" s="131"/>
      <c r="AZ302" s="131"/>
      <c r="BA302" s="131"/>
      <c r="BB302" s="131"/>
      <c r="BC302" s="131"/>
      <c r="BD302" s="132"/>
      <c r="BE302" s="131"/>
      <c r="BF302" s="131"/>
      <c r="BG302" s="131"/>
      <c r="BH302" s="131"/>
    </row>
    <row r="303" spans="19:60" s="20" customFormat="1" ht="22.5" customHeight="1" x14ac:dyDescent="0.25">
      <c r="S303" s="1"/>
      <c r="V303" s="133"/>
      <c r="W303" s="133"/>
      <c r="AF303" s="1"/>
      <c r="AN303" s="1"/>
      <c r="AV303" s="1"/>
      <c r="AW303" s="131"/>
      <c r="AX303" s="131"/>
      <c r="AY303" s="131"/>
      <c r="AZ303" s="131"/>
      <c r="BA303" s="131"/>
      <c r="BB303" s="131"/>
      <c r="BC303" s="131"/>
      <c r="BD303" s="132"/>
      <c r="BE303" s="131"/>
      <c r="BF303" s="131"/>
      <c r="BG303" s="131"/>
      <c r="BH303" s="131"/>
    </row>
    <row r="304" spans="19:60" s="20" customFormat="1" ht="22.5" customHeight="1" x14ac:dyDescent="0.25">
      <c r="S304" s="1"/>
      <c r="V304" s="133"/>
      <c r="W304" s="133"/>
      <c r="AF304" s="1"/>
      <c r="AN304" s="1"/>
      <c r="AV304" s="1"/>
      <c r="AW304" s="131"/>
      <c r="AX304" s="131"/>
      <c r="AY304" s="131"/>
      <c r="AZ304" s="131"/>
      <c r="BA304" s="131"/>
      <c r="BB304" s="131"/>
      <c r="BC304" s="131"/>
      <c r="BD304" s="132"/>
      <c r="BE304" s="131"/>
      <c r="BF304" s="131"/>
      <c r="BG304" s="131"/>
      <c r="BH304" s="131"/>
    </row>
    <row r="305" spans="19:60" s="20" customFormat="1" ht="22.5" customHeight="1" x14ac:dyDescent="0.25">
      <c r="S305" s="1"/>
      <c r="V305" s="133"/>
      <c r="W305" s="133"/>
      <c r="AF305" s="1"/>
      <c r="AN305" s="1"/>
      <c r="AV305" s="1"/>
      <c r="AW305" s="131"/>
      <c r="AX305" s="131"/>
      <c r="AY305" s="131"/>
      <c r="AZ305" s="131"/>
      <c r="BA305" s="131"/>
      <c r="BB305" s="131"/>
      <c r="BC305" s="131"/>
      <c r="BD305" s="132"/>
      <c r="BE305" s="131"/>
      <c r="BF305" s="131"/>
      <c r="BG305" s="131"/>
      <c r="BH305" s="131"/>
    </row>
    <row r="306" spans="19:60" s="20" customFormat="1" ht="22.5" customHeight="1" x14ac:dyDescent="0.25">
      <c r="S306" s="1"/>
      <c r="V306" s="133"/>
      <c r="W306" s="133"/>
      <c r="AF306" s="1"/>
      <c r="AN306" s="1"/>
      <c r="AV306" s="1"/>
      <c r="AW306" s="131"/>
      <c r="AX306" s="131"/>
      <c r="AY306" s="131"/>
      <c r="AZ306" s="131"/>
      <c r="BA306" s="131"/>
      <c r="BB306" s="131"/>
      <c r="BC306" s="131"/>
      <c r="BD306" s="132"/>
      <c r="BE306" s="131"/>
      <c r="BF306" s="131"/>
      <c r="BG306" s="131"/>
      <c r="BH306" s="131"/>
    </row>
    <row r="307" spans="19:60" s="20" customFormat="1" ht="22.5" customHeight="1" x14ac:dyDescent="0.25">
      <c r="S307" s="1"/>
      <c r="V307" s="133"/>
      <c r="W307" s="133"/>
      <c r="AF307" s="1"/>
      <c r="AN307" s="1"/>
      <c r="AV307" s="1"/>
      <c r="AW307" s="131"/>
      <c r="AX307" s="131"/>
      <c r="AY307" s="131"/>
      <c r="AZ307" s="131"/>
      <c r="BA307" s="131"/>
      <c r="BB307" s="131"/>
      <c r="BC307" s="131"/>
      <c r="BD307" s="132"/>
      <c r="BE307" s="131"/>
      <c r="BF307" s="131"/>
      <c r="BG307" s="131"/>
      <c r="BH307" s="131"/>
    </row>
    <row r="308" spans="19:60" s="20" customFormat="1" ht="22.5" customHeight="1" x14ac:dyDescent="0.25">
      <c r="S308" s="1"/>
      <c r="V308" s="133"/>
      <c r="W308" s="133"/>
      <c r="AF308" s="1"/>
      <c r="AN308" s="1"/>
      <c r="AV308" s="1"/>
      <c r="AW308" s="131"/>
      <c r="AX308" s="131"/>
      <c r="AY308" s="131"/>
      <c r="AZ308" s="131"/>
      <c r="BA308" s="131"/>
      <c r="BB308" s="131"/>
      <c r="BC308" s="131"/>
      <c r="BD308" s="132"/>
      <c r="BE308" s="131"/>
      <c r="BF308" s="131"/>
      <c r="BG308" s="131"/>
      <c r="BH308" s="131"/>
    </row>
    <row r="309" spans="19:60" s="20" customFormat="1" ht="22.5" customHeight="1" x14ac:dyDescent="0.25">
      <c r="S309" s="1"/>
      <c r="V309" s="133"/>
      <c r="W309" s="133"/>
      <c r="AF309" s="1"/>
      <c r="AN309" s="1"/>
      <c r="AV309" s="1"/>
      <c r="AW309" s="131"/>
      <c r="AX309" s="131"/>
      <c r="AY309" s="131"/>
      <c r="AZ309" s="131"/>
      <c r="BA309" s="131"/>
      <c r="BB309" s="131"/>
      <c r="BC309" s="131"/>
      <c r="BD309" s="132"/>
      <c r="BE309" s="131"/>
      <c r="BF309" s="131"/>
      <c r="BG309" s="131"/>
      <c r="BH309" s="131"/>
    </row>
    <row r="310" spans="19:60" s="20" customFormat="1" ht="22.5" customHeight="1" x14ac:dyDescent="0.25">
      <c r="S310" s="1"/>
      <c r="V310" s="133"/>
      <c r="W310" s="133"/>
      <c r="AF310" s="1"/>
      <c r="AN310" s="1"/>
      <c r="AV310" s="1"/>
      <c r="AW310" s="131"/>
      <c r="AX310" s="131"/>
      <c r="AY310" s="131"/>
      <c r="AZ310" s="131"/>
      <c r="BA310" s="131"/>
      <c r="BB310" s="131"/>
      <c r="BC310" s="131"/>
      <c r="BD310" s="132"/>
      <c r="BE310" s="131"/>
      <c r="BF310" s="131"/>
      <c r="BG310" s="131"/>
      <c r="BH310" s="131"/>
    </row>
    <row r="311" spans="19:60" s="20" customFormat="1" ht="22.5" customHeight="1" x14ac:dyDescent="0.25">
      <c r="S311" s="1"/>
      <c r="V311" s="133"/>
      <c r="W311" s="133"/>
      <c r="AF311" s="1"/>
      <c r="AN311" s="1"/>
      <c r="AV311" s="1"/>
      <c r="AW311" s="131"/>
      <c r="AX311" s="131"/>
      <c r="AY311" s="131"/>
      <c r="AZ311" s="131"/>
      <c r="BA311" s="131"/>
      <c r="BB311" s="131"/>
      <c r="BC311" s="131"/>
      <c r="BD311" s="132"/>
      <c r="BE311" s="131"/>
      <c r="BF311" s="131"/>
      <c r="BG311" s="131"/>
      <c r="BH311" s="131"/>
    </row>
    <row r="312" spans="19:60" s="20" customFormat="1" ht="22.5" customHeight="1" x14ac:dyDescent="0.25">
      <c r="S312" s="1"/>
      <c r="V312" s="133"/>
      <c r="W312" s="133"/>
      <c r="AF312" s="1"/>
      <c r="AN312" s="1"/>
      <c r="AV312" s="1"/>
      <c r="AW312" s="131"/>
      <c r="AX312" s="131"/>
      <c r="AY312" s="131"/>
      <c r="AZ312" s="131"/>
      <c r="BA312" s="131"/>
      <c r="BB312" s="131"/>
      <c r="BC312" s="131"/>
      <c r="BD312" s="132"/>
      <c r="BE312" s="131"/>
      <c r="BF312" s="131"/>
      <c r="BG312" s="131"/>
      <c r="BH312" s="131"/>
    </row>
    <row r="313" spans="19:60" s="20" customFormat="1" ht="22.5" customHeight="1" x14ac:dyDescent="0.25">
      <c r="S313" s="1"/>
      <c r="V313" s="133"/>
      <c r="W313" s="133"/>
      <c r="AF313" s="1"/>
      <c r="AN313" s="1"/>
      <c r="AV313" s="1"/>
      <c r="AW313" s="131"/>
      <c r="AX313" s="131"/>
      <c r="AY313" s="131"/>
      <c r="AZ313" s="131"/>
      <c r="BA313" s="131"/>
      <c r="BB313" s="131"/>
      <c r="BC313" s="131"/>
      <c r="BD313" s="132"/>
      <c r="BE313" s="131"/>
      <c r="BF313" s="131"/>
      <c r="BG313" s="131"/>
      <c r="BH313" s="131"/>
    </row>
    <row r="314" spans="19:60" s="20" customFormat="1" ht="22.5" customHeight="1" x14ac:dyDescent="0.25">
      <c r="S314" s="1"/>
      <c r="V314" s="133"/>
      <c r="W314" s="133"/>
      <c r="AF314" s="1"/>
      <c r="AN314" s="1"/>
      <c r="AV314" s="1"/>
      <c r="AW314" s="131"/>
      <c r="AX314" s="131"/>
      <c r="AY314" s="131"/>
      <c r="AZ314" s="131"/>
      <c r="BA314" s="131"/>
      <c r="BB314" s="131"/>
      <c r="BC314" s="131"/>
      <c r="BD314" s="132"/>
      <c r="BE314" s="131"/>
      <c r="BF314" s="131"/>
      <c r="BG314" s="131"/>
      <c r="BH314" s="131"/>
    </row>
    <row r="315" spans="19:60" s="20" customFormat="1" ht="22.5" customHeight="1" x14ac:dyDescent="0.25">
      <c r="S315" s="1"/>
      <c r="V315" s="133"/>
      <c r="W315" s="133"/>
      <c r="AF315" s="1"/>
      <c r="AN315" s="1"/>
      <c r="AV315" s="1"/>
      <c r="AW315" s="131"/>
      <c r="AX315" s="131"/>
      <c r="AY315" s="131"/>
      <c r="AZ315" s="131"/>
      <c r="BA315" s="131"/>
      <c r="BB315" s="131"/>
      <c r="BC315" s="131"/>
      <c r="BD315" s="132"/>
      <c r="BE315" s="131"/>
      <c r="BF315" s="131"/>
      <c r="BG315" s="131"/>
      <c r="BH315" s="131"/>
    </row>
    <row r="316" spans="19:60" s="20" customFormat="1" ht="22.5" customHeight="1" x14ac:dyDescent="0.25">
      <c r="S316" s="1"/>
      <c r="V316" s="133"/>
      <c r="W316" s="133"/>
      <c r="AF316" s="1"/>
      <c r="AN316" s="1"/>
      <c r="AV316" s="1"/>
      <c r="AW316" s="131"/>
      <c r="AX316" s="131"/>
      <c r="AY316" s="131"/>
      <c r="AZ316" s="131"/>
      <c r="BA316" s="131"/>
      <c r="BB316" s="131"/>
      <c r="BC316" s="131"/>
      <c r="BD316" s="132"/>
      <c r="BE316" s="131"/>
      <c r="BF316" s="131"/>
      <c r="BG316" s="131"/>
      <c r="BH316" s="131"/>
    </row>
    <row r="317" spans="19:60" s="20" customFormat="1" ht="22.5" customHeight="1" x14ac:dyDescent="0.25">
      <c r="S317" s="1"/>
      <c r="V317" s="133"/>
      <c r="W317" s="133"/>
      <c r="AF317" s="1"/>
      <c r="AN317" s="1"/>
      <c r="AV317" s="1"/>
      <c r="AW317" s="131"/>
      <c r="AX317" s="131"/>
      <c r="AY317" s="131"/>
      <c r="AZ317" s="131"/>
      <c r="BA317" s="131"/>
      <c r="BB317" s="131"/>
      <c r="BC317" s="131"/>
      <c r="BD317" s="132"/>
      <c r="BE317" s="131"/>
      <c r="BF317" s="131"/>
      <c r="BG317" s="131"/>
      <c r="BH317" s="131"/>
    </row>
    <row r="318" spans="19:60" s="20" customFormat="1" ht="22.5" customHeight="1" x14ac:dyDescent="0.25">
      <c r="S318" s="1"/>
      <c r="V318" s="133"/>
      <c r="W318" s="133"/>
      <c r="AF318" s="1"/>
      <c r="AN318" s="1"/>
      <c r="AV318" s="1"/>
      <c r="AW318" s="131"/>
      <c r="AX318" s="131"/>
      <c r="AY318" s="131"/>
      <c r="AZ318" s="131"/>
      <c r="BA318" s="131"/>
      <c r="BB318" s="131"/>
      <c r="BC318" s="131"/>
      <c r="BD318" s="132"/>
      <c r="BE318" s="131"/>
      <c r="BF318" s="131"/>
      <c r="BG318" s="131"/>
      <c r="BH318" s="131"/>
    </row>
    <row r="319" spans="19:60" s="20" customFormat="1" ht="22.5" customHeight="1" x14ac:dyDescent="0.25">
      <c r="S319" s="1"/>
      <c r="V319" s="133"/>
      <c r="W319" s="133"/>
      <c r="AF319" s="1"/>
      <c r="AN319" s="1"/>
      <c r="AV319" s="1"/>
      <c r="AW319" s="131"/>
      <c r="AX319" s="131"/>
      <c r="AY319" s="131"/>
      <c r="AZ319" s="131"/>
      <c r="BA319" s="131"/>
      <c r="BB319" s="131"/>
      <c r="BC319" s="131"/>
      <c r="BD319" s="132"/>
      <c r="BE319" s="131"/>
      <c r="BF319" s="131"/>
      <c r="BG319" s="131"/>
      <c r="BH319" s="131"/>
    </row>
    <row r="320" spans="19:60" s="20" customFormat="1" ht="22.5" customHeight="1" x14ac:dyDescent="0.25">
      <c r="S320" s="1"/>
      <c r="V320" s="133"/>
      <c r="W320" s="133"/>
      <c r="AF320" s="1"/>
      <c r="AN320" s="1"/>
      <c r="AV320" s="1"/>
      <c r="AW320" s="131"/>
      <c r="AX320" s="131"/>
      <c r="AY320" s="131"/>
      <c r="AZ320" s="131"/>
      <c r="BA320" s="131"/>
      <c r="BB320" s="131"/>
      <c r="BC320" s="131"/>
      <c r="BD320" s="132"/>
      <c r="BE320" s="131"/>
      <c r="BF320" s="131"/>
      <c r="BG320" s="131"/>
      <c r="BH320" s="131"/>
    </row>
    <row r="321" spans="19:60" s="20" customFormat="1" ht="22.5" customHeight="1" x14ac:dyDescent="0.25">
      <c r="S321" s="1"/>
      <c r="V321" s="133"/>
      <c r="W321" s="133"/>
      <c r="AF321" s="1"/>
      <c r="AN321" s="1"/>
      <c r="AV321" s="1"/>
      <c r="AW321" s="131"/>
      <c r="AX321" s="131"/>
      <c r="AY321" s="131"/>
      <c r="AZ321" s="131"/>
      <c r="BA321" s="131"/>
      <c r="BB321" s="131"/>
      <c r="BC321" s="131"/>
      <c r="BD321" s="132"/>
      <c r="BE321" s="131"/>
      <c r="BF321" s="131"/>
      <c r="BG321" s="131"/>
      <c r="BH321" s="131"/>
    </row>
    <row r="322" spans="19:60" s="20" customFormat="1" ht="22.5" customHeight="1" x14ac:dyDescent="0.25">
      <c r="S322" s="1"/>
      <c r="V322" s="133"/>
      <c r="W322" s="133"/>
      <c r="AF322" s="1"/>
      <c r="AN322" s="1"/>
      <c r="AV322" s="1"/>
      <c r="AW322" s="131"/>
      <c r="AX322" s="131"/>
      <c r="AY322" s="131"/>
      <c r="AZ322" s="131"/>
      <c r="BA322" s="131"/>
      <c r="BB322" s="131"/>
      <c r="BC322" s="131"/>
      <c r="BD322" s="132"/>
      <c r="BE322" s="131"/>
      <c r="BF322" s="131"/>
      <c r="BG322" s="131"/>
      <c r="BH322" s="131"/>
    </row>
    <row r="323" spans="19:60" s="20" customFormat="1" ht="22.5" customHeight="1" x14ac:dyDescent="0.25">
      <c r="S323" s="1"/>
      <c r="V323" s="133"/>
      <c r="W323" s="133"/>
      <c r="AF323" s="1"/>
      <c r="AN323" s="1"/>
      <c r="AV323" s="1"/>
      <c r="AW323" s="131"/>
      <c r="AX323" s="131"/>
      <c r="AY323" s="131"/>
      <c r="AZ323" s="131"/>
      <c r="BA323" s="131"/>
      <c r="BB323" s="131"/>
      <c r="BC323" s="131"/>
      <c r="BD323" s="132"/>
      <c r="BE323" s="131"/>
      <c r="BF323" s="131"/>
      <c r="BG323" s="131"/>
      <c r="BH323" s="131"/>
    </row>
    <row r="324" spans="19:60" s="20" customFormat="1" ht="22.5" customHeight="1" x14ac:dyDescent="0.25">
      <c r="S324" s="1"/>
      <c r="V324" s="133"/>
      <c r="W324" s="133"/>
      <c r="AF324" s="1"/>
      <c r="AN324" s="1"/>
      <c r="AV324" s="1"/>
      <c r="AW324" s="131"/>
      <c r="AX324" s="131"/>
      <c r="AY324" s="131"/>
      <c r="AZ324" s="131"/>
      <c r="BA324" s="131"/>
      <c r="BB324" s="131"/>
      <c r="BC324" s="131"/>
      <c r="BD324" s="132"/>
      <c r="BE324" s="131"/>
      <c r="BF324" s="131"/>
      <c r="BG324" s="131"/>
      <c r="BH324" s="131"/>
    </row>
    <row r="325" spans="19:60" s="20" customFormat="1" ht="22.5" customHeight="1" x14ac:dyDescent="0.25">
      <c r="S325" s="1"/>
      <c r="V325" s="133"/>
      <c r="W325" s="133"/>
      <c r="AF325" s="1"/>
      <c r="AN325" s="1"/>
      <c r="AV325" s="1"/>
      <c r="AW325" s="131"/>
      <c r="AX325" s="131"/>
      <c r="AY325" s="131"/>
      <c r="AZ325" s="131"/>
      <c r="BA325" s="131"/>
      <c r="BB325" s="131"/>
      <c r="BC325" s="131"/>
      <c r="BD325" s="132"/>
      <c r="BE325" s="131"/>
      <c r="BF325" s="131"/>
      <c r="BG325" s="131"/>
      <c r="BH325" s="131"/>
    </row>
    <row r="326" spans="19:60" s="20" customFormat="1" ht="22.5" customHeight="1" x14ac:dyDescent="0.25">
      <c r="S326" s="1"/>
      <c r="V326" s="133"/>
      <c r="W326" s="133"/>
      <c r="AF326" s="1"/>
      <c r="AN326" s="1"/>
      <c r="AV326" s="1"/>
      <c r="AW326" s="131"/>
      <c r="AX326" s="131"/>
      <c r="AY326" s="131"/>
      <c r="AZ326" s="131"/>
      <c r="BA326" s="131"/>
      <c r="BB326" s="131"/>
      <c r="BC326" s="131"/>
      <c r="BD326" s="132"/>
      <c r="BE326" s="131"/>
      <c r="BF326" s="131"/>
      <c r="BG326" s="131"/>
      <c r="BH326" s="131"/>
    </row>
    <row r="327" spans="19:60" s="20" customFormat="1" ht="22.5" customHeight="1" x14ac:dyDescent="0.25">
      <c r="S327" s="1"/>
      <c r="V327" s="133"/>
      <c r="W327" s="133"/>
      <c r="AF327" s="1"/>
      <c r="AN327" s="1"/>
      <c r="AV327" s="1"/>
      <c r="AW327" s="131"/>
      <c r="AX327" s="131"/>
      <c r="AY327" s="131"/>
      <c r="AZ327" s="131"/>
      <c r="BA327" s="131"/>
      <c r="BB327" s="131"/>
      <c r="BC327" s="131"/>
      <c r="BD327" s="132"/>
      <c r="BE327" s="131"/>
      <c r="BF327" s="131"/>
      <c r="BG327" s="131"/>
      <c r="BH327" s="131"/>
    </row>
    <row r="328" spans="19:60" s="20" customFormat="1" ht="22.5" customHeight="1" x14ac:dyDescent="0.25">
      <c r="S328" s="1"/>
      <c r="V328" s="133"/>
      <c r="W328" s="133"/>
      <c r="AF328" s="1"/>
      <c r="AN328" s="1"/>
      <c r="AV328" s="1"/>
      <c r="AW328" s="131"/>
      <c r="AX328" s="131"/>
      <c r="AY328" s="131"/>
      <c r="AZ328" s="131"/>
      <c r="BA328" s="131"/>
      <c r="BB328" s="131"/>
      <c r="BC328" s="131"/>
      <c r="BD328" s="132"/>
      <c r="BE328" s="131"/>
      <c r="BF328" s="131"/>
      <c r="BG328" s="131"/>
      <c r="BH328" s="131"/>
    </row>
    <row r="329" spans="19:60" s="20" customFormat="1" ht="22.5" customHeight="1" x14ac:dyDescent="0.25">
      <c r="S329" s="1"/>
      <c r="V329" s="133"/>
      <c r="W329" s="133"/>
      <c r="AF329" s="1"/>
      <c r="AN329" s="1"/>
      <c r="AV329" s="1"/>
      <c r="AW329" s="131"/>
      <c r="AX329" s="131"/>
      <c r="AY329" s="131"/>
      <c r="AZ329" s="131"/>
      <c r="BA329" s="131"/>
      <c r="BB329" s="131"/>
      <c r="BC329" s="131"/>
      <c r="BD329" s="132"/>
      <c r="BE329" s="131"/>
      <c r="BF329" s="131"/>
      <c r="BG329" s="131"/>
      <c r="BH329" s="131"/>
    </row>
    <row r="330" spans="19:60" s="20" customFormat="1" ht="22.5" customHeight="1" x14ac:dyDescent="0.25">
      <c r="S330" s="1"/>
      <c r="V330" s="133"/>
      <c r="W330" s="133"/>
      <c r="AF330" s="1"/>
      <c r="AN330" s="1"/>
      <c r="AV330" s="1"/>
      <c r="AW330" s="131"/>
      <c r="AX330" s="131"/>
      <c r="AY330" s="131"/>
      <c r="AZ330" s="131"/>
      <c r="BA330" s="131"/>
      <c r="BB330" s="131"/>
      <c r="BC330" s="131"/>
      <c r="BD330" s="132"/>
      <c r="BE330" s="131"/>
      <c r="BF330" s="131"/>
      <c r="BG330" s="131"/>
      <c r="BH330" s="131"/>
    </row>
    <row r="331" spans="19:60" s="20" customFormat="1" ht="22.5" customHeight="1" x14ac:dyDescent="0.25">
      <c r="S331" s="1"/>
      <c r="V331" s="133"/>
      <c r="W331" s="133"/>
      <c r="AF331" s="1"/>
      <c r="AN331" s="1"/>
      <c r="AV331" s="1"/>
      <c r="AW331" s="131"/>
      <c r="AX331" s="131"/>
      <c r="AY331" s="131"/>
      <c r="AZ331" s="131"/>
      <c r="BA331" s="131"/>
      <c r="BB331" s="131"/>
      <c r="BC331" s="131"/>
      <c r="BD331" s="132"/>
      <c r="BE331" s="131"/>
      <c r="BF331" s="131"/>
      <c r="BG331" s="131"/>
      <c r="BH331" s="131"/>
    </row>
    <row r="332" spans="19:60" s="20" customFormat="1" ht="22.5" customHeight="1" x14ac:dyDescent="0.25">
      <c r="S332" s="1"/>
      <c r="V332" s="133"/>
      <c r="W332" s="133"/>
      <c r="AF332" s="1"/>
      <c r="AN332" s="1"/>
      <c r="AV332" s="1"/>
      <c r="AW332" s="131"/>
      <c r="AX332" s="131"/>
      <c r="AY332" s="131"/>
      <c r="AZ332" s="131"/>
      <c r="BA332" s="131"/>
      <c r="BB332" s="131"/>
      <c r="BC332" s="131"/>
      <c r="BD332" s="132"/>
      <c r="BE332" s="131"/>
      <c r="BF332" s="131"/>
      <c r="BG332" s="131"/>
      <c r="BH332" s="131"/>
    </row>
    <row r="333" spans="19:60" s="20" customFormat="1" ht="22.5" customHeight="1" x14ac:dyDescent="0.25">
      <c r="S333" s="1"/>
      <c r="V333" s="133"/>
      <c r="W333" s="133"/>
      <c r="AF333" s="1"/>
      <c r="AN333" s="1"/>
      <c r="AV333" s="1"/>
      <c r="AW333" s="131"/>
      <c r="AX333" s="131"/>
      <c r="AY333" s="131"/>
      <c r="AZ333" s="131"/>
      <c r="BA333" s="131"/>
      <c r="BB333" s="131"/>
      <c r="BC333" s="131"/>
      <c r="BD333" s="132"/>
      <c r="BE333" s="131"/>
      <c r="BF333" s="131"/>
      <c r="BG333" s="131"/>
      <c r="BH333" s="131"/>
    </row>
    <row r="334" spans="19:60" s="20" customFormat="1" ht="22.5" customHeight="1" x14ac:dyDescent="0.25">
      <c r="S334" s="1"/>
      <c r="V334" s="133"/>
      <c r="W334" s="133"/>
      <c r="AF334" s="1"/>
      <c r="AN334" s="1"/>
      <c r="AV334" s="1"/>
      <c r="AW334" s="131"/>
      <c r="AX334" s="131"/>
      <c r="AY334" s="131"/>
      <c r="AZ334" s="131"/>
      <c r="BA334" s="131"/>
      <c r="BB334" s="131"/>
      <c r="BC334" s="131"/>
      <c r="BD334" s="132"/>
      <c r="BE334" s="131"/>
      <c r="BF334" s="131"/>
      <c r="BG334" s="131"/>
      <c r="BH334" s="131"/>
    </row>
    <row r="335" spans="19:60" s="20" customFormat="1" ht="22.5" customHeight="1" x14ac:dyDescent="0.25">
      <c r="S335" s="1"/>
      <c r="V335" s="133"/>
      <c r="W335" s="133"/>
      <c r="AF335" s="1"/>
      <c r="AN335" s="1"/>
      <c r="AV335" s="1"/>
      <c r="AW335" s="131"/>
      <c r="AX335" s="131"/>
      <c r="AY335" s="131"/>
      <c r="AZ335" s="131"/>
      <c r="BA335" s="131"/>
      <c r="BB335" s="131"/>
      <c r="BC335" s="131"/>
      <c r="BD335" s="132"/>
      <c r="BE335" s="131"/>
      <c r="BF335" s="131"/>
      <c r="BG335" s="131"/>
      <c r="BH335" s="131"/>
    </row>
    <row r="336" spans="19:60" s="20" customFormat="1" ht="22.5" customHeight="1" x14ac:dyDescent="0.25">
      <c r="S336" s="1"/>
      <c r="V336" s="133"/>
      <c r="W336" s="133"/>
      <c r="AF336" s="1"/>
      <c r="AN336" s="1"/>
      <c r="AV336" s="1"/>
      <c r="AW336" s="131"/>
      <c r="AX336" s="131"/>
      <c r="AY336" s="131"/>
      <c r="AZ336" s="131"/>
      <c r="BA336" s="131"/>
      <c r="BB336" s="131"/>
      <c r="BC336" s="131"/>
      <c r="BD336" s="132"/>
      <c r="BE336" s="131"/>
      <c r="BF336" s="131"/>
      <c r="BG336" s="131"/>
      <c r="BH336" s="131"/>
    </row>
    <row r="337" spans="19:60" s="20" customFormat="1" ht="22.5" customHeight="1" x14ac:dyDescent="0.25">
      <c r="S337" s="1"/>
      <c r="V337" s="133"/>
      <c r="W337" s="133"/>
      <c r="AF337" s="1"/>
      <c r="AN337" s="1"/>
      <c r="AV337" s="1"/>
      <c r="AW337" s="131"/>
      <c r="AX337" s="131"/>
      <c r="AY337" s="131"/>
      <c r="AZ337" s="131"/>
      <c r="BA337" s="131"/>
      <c r="BB337" s="131"/>
      <c r="BC337" s="131"/>
      <c r="BD337" s="132"/>
      <c r="BE337" s="131"/>
      <c r="BF337" s="131"/>
      <c r="BG337" s="131"/>
      <c r="BH337" s="131"/>
    </row>
    <row r="338" spans="19:60" s="20" customFormat="1" ht="22.5" customHeight="1" x14ac:dyDescent="0.25">
      <c r="S338" s="1"/>
      <c r="V338" s="133"/>
      <c r="W338" s="133"/>
      <c r="AF338" s="1"/>
      <c r="AN338" s="1"/>
      <c r="AV338" s="1"/>
      <c r="AW338" s="131"/>
      <c r="AX338" s="131"/>
      <c r="AY338" s="131"/>
      <c r="AZ338" s="131"/>
      <c r="BA338" s="131"/>
      <c r="BB338" s="131"/>
      <c r="BC338" s="131"/>
      <c r="BD338" s="132"/>
      <c r="BE338" s="131"/>
      <c r="BF338" s="131"/>
      <c r="BG338" s="131"/>
      <c r="BH338" s="131"/>
    </row>
    <row r="339" spans="19:60" s="20" customFormat="1" ht="22.5" customHeight="1" x14ac:dyDescent="0.25">
      <c r="S339" s="1"/>
      <c r="V339" s="133"/>
      <c r="W339" s="133"/>
      <c r="AF339" s="1"/>
      <c r="AN339" s="1"/>
      <c r="AV339" s="1"/>
      <c r="AW339" s="131"/>
      <c r="AX339" s="131"/>
      <c r="AY339" s="131"/>
      <c r="AZ339" s="131"/>
      <c r="BA339" s="131"/>
      <c r="BB339" s="131"/>
      <c r="BC339" s="131"/>
      <c r="BD339" s="132"/>
      <c r="BE339" s="131"/>
      <c r="BF339" s="131"/>
      <c r="BG339" s="131"/>
      <c r="BH339" s="131"/>
    </row>
    <row r="340" spans="19:60" s="20" customFormat="1" ht="22.5" customHeight="1" x14ac:dyDescent="0.25">
      <c r="S340" s="1"/>
      <c r="V340" s="133"/>
      <c r="W340" s="133"/>
      <c r="AF340" s="1"/>
      <c r="AN340" s="1"/>
      <c r="AV340" s="1"/>
      <c r="AW340" s="131"/>
      <c r="AX340" s="131"/>
      <c r="AY340" s="131"/>
      <c r="AZ340" s="131"/>
      <c r="BA340" s="131"/>
      <c r="BB340" s="131"/>
      <c r="BC340" s="131"/>
      <c r="BD340" s="132"/>
      <c r="BE340" s="131"/>
      <c r="BF340" s="131"/>
      <c r="BG340" s="131"/>
      <c r="BH340" s="131"/>
    </row>
    <row r="341" spans="19:60" s="20" customFormat="1" ht="22.5" customHeight="1" x14ac:dyDescent="0.25">
      <c r="S341" s="1"/>
      <c r="V341" s="133"/>
      <c r="W341" s="133"/>
      <c r="AF341" s="1"/>
      <c r="AN341" s="1"/>
      <c r="AV341" s="1"/>
      <c r="AW341" s="131"/>
      <c r="AX341" s="131"/>
      <c r="AY341" s="131"/>
      <c r="AZ341" s="131"/>
      <c r="BA341" s="131"/>
      <c r="BB341" s="131"/>
      <c r="BC341" s="131"/>
      <c r="BD341" s="132"/>
      <c r="BE341" s="131"/>
      <c r="BF341" s="131"/>
      <c r="BG341" s="131"/>
      <c r="BH341" s="131"/>
    </row>
    <row r="342" spans="19:60" s="20" customFormat="1" ht="22.5" customHeight="1" x14ac:dyDescent="0.25">
      <c r="S342" s="1"/>
      <c r="V342" s="133"/>
      <c r="W342" s="133"/>
      <c r="AF342" s="1"/>
      <c r="AN342" s="1"/>
      <c r="AV342" s="1"/>
      <c r="AW342" s="131"/>
      <c r="AX342" s="131"/>
      <c r="AY342" s="131"/>
      <c r="AZ342" s="131"/>
      <c r="BA342" s="131"/>
      <c r="BB342" s="131"/>
      <c r="BC342" s="131"/>
      <c r="BD342" s="132"/>
      <c r="BE342" s="131"/>
      <c r="BF342" s="131"/>
      <c r="BG342" s="131"/>
      <c r="BH342" s="131"/>
    </row>
    <row r="343" spans="19:60" s="20" customFormat="1" ht="22.5" customHeight="1" x14ac:dyDescent="0.25">
      <c r="S343" s="1"/>
      <c r="V343" s="133"/>
      <c r="W343" s="133"/>
      <c r="AF343" s="1"/>
      <c r="AN343" s="1"/>
      <c r="AV343" s="1"/>
      <c r="AW343" s="131"/>
      <c r="AX343" s="131"/>
      <c r="AY343" s="131"/>
      <c r="AZ343" s="131"/>
      <c r="BA343" s="131"/>
      <c r="BB343" s="131"/>
      <c r="BC343" s="131"/>
      <c r="BD343" s="132"/>
      <c r="BE343" s="131"/>
      <c r="BF343" s="131"/>
      <c r="BG343" s="131"/>
      <c r="BH343" s="131"/>
    </row>
    <row r="344" spans="19:60" s="20" customFormat="1" ht="22.5" customHeight="1" x14ac:dyDescent="0.25">
      <c r="S344" s="1"/>
      <c r="V344" s="133"/>
      <c r="W344" s="133"/>
      <c r="AF344" s="1"/>
      <c r="AN344" s="1"/>
      <c r="AV344" s="1"/>
      <c r="AW344" s="131"/>
      <c r="AX344" s="131"/>
      <c r="AY344" s="131"/>
      <c r="AZ344" s="131"/>
      <c r="BA344" s="131"/>
      <c r="BB344" s="131"/>
      <c r="BC344" s="131"/>
      <c r="BD344" s="132"/>
      <c r="BE344" s="131"/>
      <c r="BF344" s="131"/>
      <c r="BG344" s="131"/>
      <c r="BH344" s="131"/>
    </row>
    <row r="345" spans="19:60" s="20" customFormat="1" ht="22.5" customHeight="1" x14ac:dyDescent="0.25">
      <c r="S345" s="1"/>
      <c r="V345" s="133"/>
      <c r="W345" s="133"/>
      <c r="AF345" s="1"/>
      <c r="AN345" s="1"/>
      <c r="AV345" s="1"/>
      <c r="AW345" s="131"/>
      <c r="AX345" s="131"/>
      <c r="AY345" s="131"/>
      <c r="AZ345" s="131"/>
      <c r="BA345" s="131"/>
      <c r="BB345" s="131"/>
      <c r="BC345" s="131"/>
      <c r="BD345" s="132"/>
      <c r="BE345" s="131"/>
      <c r="BF345" s="131"/>
      <c r="BG345" s="131"/>
      <c r="BH345" s="131"/>
    </row>
    <row r="346" spans="19:60" s="20" customFormat="1" ht="22.5" customHeight="1" x14ac:dyDescent="0.25">
      <c r="S346" s="1"/>
      <c r="V346" s="133"/>
      <c r="W346" s="133"/>
      <c r="AF346" s="1"/>
      <c r="AN346" s="1"/>
      <c r="AV346" s="1"/>
      <c r="AW346" s="131"/>
      <c r="AX346" s="131"/>
      <c r="AY346" s="131"/>
      <c r="AZ346" s="131"/>
      <c r="BA346" s="131"/>
      <c r="BB346" s="131"/>
      <c r="BC346" s="131"/>
      <c r="BD346" s="132"/>
      <c r="BE346" s="131"/>
      <c r="BF346" s="131"/>
      <c r="BG346" s="131"/>
      <c r="BH346" s="131"/>
    </row>
    <row r="347" spans="19:60" s="20" customFormat="1" ht="22.5" customHeight="1" x14ac:dyDescent="0.25">
      <c r="S347" s="1"/>
      <c r="V347" s="133"/>
      <c r="W347" s="133"/>
      <c r="AF347" s="1"/>
      <c r="AN347" s="1"/>
      <c r="AV347" s="1"/>
      <c r="AW347" s="131"/>
      <c r="AX347" s="131"/>
      <c r="AY347" s="131"/>
      <c r="AZ347" s="131"/>
      <c r="BA347" s="131"/>
      <c r="BB347" s="131"/>
      <c r="BC347" s="131"/>
      <c r="BD347" s="132"/>
      <c r="BE347" s="131"/>
      <c r="BF347" s="131"/>
      <c r="BG347" s="131"/>
      <c r="BH347" s="131"/>
    </row>
    <row r="348" spans="19:60" s="20" customFormat="1" ht="22.5" customHeight="1" x14ac:dyDescent="0.25">
      <c r="S348" s="1"/>
      <c r="V348" s="133"/>
      <c r="W348" s="133"/>
      <c r="AF348" s="1"/>
      <c r="AN348" s="1"/>
      <c r="AV348" s="1"/>
      <c r="AW348" s="131"/>
      <c r="AX348" s="131"/>
      <c r="AY348" s="131"/>
      <c r="AZ348" s="131"/>
      <c r="BA348" s="131"/>
      <c r="BB348" s="131"/>
      <c r="BC348" s="131"/>
      <c r="BD348" s="132"/>
      <c r="BE348" s="131"/>
      <c r="BF348" s="131"/>
      <c r="BG348" s="131"/>
      <c r="BH348" s="131"/>
    </row>
    <row r="349" spans="19:60" s="20" customFormat="1" ht="22.5" customHeight="1" x14ac:dyDescent="0.25">
      <c r="S349" s="1"/>
      <c r="V349" s="133"/>
      <c r="W349" s="133"/>
      <c r="AF349" s="1"/>
      <c r="AN349" s="1"/>
      <c r="AV349" s="1"/>
      <c r="AW349" s="131"/>
      <c r="AX349" s="131"/>
      <c r="AY349" s="131"/>
      <c r="AZ349" s="131"/>
      <c r="BA349" s="131"/>
      <c r="BB349" s="131"/>
      <c r="BC349" s="131"/>
      <c r="BD349" s="132"/>
      <c r="BE349" s="131"/>
      <c r="BF349" s="131"/>
      <c r="BG349" s="131"/>
      <c r="BH349" s="131"/>
    </row>
    <row r="350" spans="19:60" s="20" customFormat="1" ht="22.5" customHeight="1" x14ac:dyDescent="0.25">
      <c r="S350" s="1"/>
      <c r="V350" s="133"/>
      <c r="W350" s="133"/>
      <c r="AF350" s="1"/>
      <c r="AN350" s="1"/>
      <c r="AV350" s="1"/>
      <c r="AW350" s="131"/>
      <c r="AX350" s="131"/>
      <c r="AY350" s="131"/>
      <c r="AZ350" s="131"/>
      <c r="BA350" s="131"/>
      <c r="BB350" s="131"/>
      <c r="BC350" s="131"/>
      <c r="BD350" s="132"/>
      <c r="BE350" s="131"/>
      <c r="BF350" s="131"/>
      <c r="BG350" s="131"/>
      <c r="BH350" s="131"/>
    </row>
    <row r="351" spans="19:60" s="20" customFormat="1" ht="22.5" customHeight="1" x14ac:dyDescent="0.25">
      <c r="S351" s="1"/>
      <c r="V351" s="133"/>
      <c r="W351" s="133"/>
      <c r="AF351" s="1"/>
      <c r="AN351" s="1"/>
      <c r="AV351" s="1"/>
      <c r="AW351" s="131"/>
      <c r="AX351" s="131"/>
      <c r="AY351" s="131"/>
      <c r="AZ351" s="131"/>
      <c r="BA351" s="131"/>
      <c r="BB351" s="131"/>
      <c r="BC351" s="131"/>
      <c r="BD351" s="132"/>
      <c r="BE351" s="131"/>
      <c r="BF351" s="131"/>
      <c r="BG351" s="131"/>
      <c r="BH351" s="131"/>
    </row>
    <row r="352" spans="19:60" s="20" customFormat="1" ht="22.5" customHeight="1" x14ac:dyDescent="0.25">
      <c r="S352" s="1"/>
      <c r="V352" s="133"/>
      <c r="W352" s="133"/>
      <c r="AF352" s="1"/>
      <c r="AN352" s="1"/>
      <c r="AV352" s="1"/>
      <c r="AW352" s="131"/>
      <c r="AX352" s="131"/>
      <c r="AY352" s="131"/>
      <c r="AZ352" s="131"/>
      <c r="BA352" s="131"/>
      <c r="BB352" s="131"/>
      <c r="BC352" s="131"/>
      <c r="BD352" s="132"/>
      <c r="BE352" s="131"/>
      <c r="BF352" s="131"/>
      <c r="BG352" s="131"/>
      <c r="BH352" s="131"/>
    </row>
    <row r="353" spans="19:60" s="20" customFormat="1" ht="22.5" customHeight="1" x14ac:dyDescent="0.25">
      <c r="S353" s="1"/>
      <c r="V353" s="133"/>
      <c r="W353" s="133"/>
      <c r="AF353" s="1"/>
      <c r="AN353" s="1"/>
      <c r="AV353" s="1"/>
      <c r="AW353" s="131"/>
      <c r="AX353" s="131"/>
      <c r="AY353" s="131"/>
      <c r="AZ353" s="131"/>
      <c r="BA353" s="131"/>
      <c r="BB353" s="131"/>
      <c r="BC353" s="131"/>
      <c r="BD353" s="132"/>
      <c r="BE353" s="131"/>
      <c r="BF353" s="131"/>
      <c r="BG353" s="131"/>
      <c r="BH353" s="131"/>
    </row>
    <row r="354" spans="19:60" s="20" customFormat="1" ht="22.5" customHeight="1" x14ac:dyDescent="0.25">
      <c r="S354" s="1"/>
      <c r="V354" s="133"/>
      <c r="W354" s="133"/>
      <c r="AF354" s="1"/>
      <c r="AN354" s="1"/>
      <c r="AV354" s="1"/>
      <c r="AW354" s="131"/>
      <c r="AX354" s="131"/>
      <c r="AY354" s="131"/>
      <c r="AZ354" s="131"/>
      <c r="BA354" s="131"/>
      <c r="BB354" s="131"/>
      <c r="BC354" s="131"/>
      <c r="BD354" s="132"/>
      <c r="BE354" s="131"/>
      <c r="BF354" s="131"/>
      <c r="BG354" s="131"/>
      <c r="BH354" s="131"/>
    </row>
    <row r="355" spans="19:60" s="20" customFormat="1" ht="22.5" customHeight="1" x14ac:dyDescent="0.25">
      <c r="S355" s="1"/>
      <c r="V355" s="133"/>
      <c r="W355" s="133"/>
      <c r="AF355" s="1"/>
      <c r="AN355" s="1"/>
      <c r="AV355" s="1"/>
      <c r="AW355" s="131"/>
      <c r="AX355" s="131"/>
      <c r="AY355" s="131"/>
      <c r="AZ355" s="131"/>
      <c r="BA355" s="131"/>
      <c r="BB355" s="131"/>
      <c r="BC355" s="131"/>
      <c r="BD355" s="132"/>
      <c r="BE355" s="131"/>
      <c r="BF355" s="131"/>
      <c r="BG355" s="131"/>
      <c r="BH355" s="131"/>
    </row>
    <row r="356" spans="19:60" s="20" customFormat="1" ht="22.5" customHeight="1" x14ac:dyDescent="0.25">
      <c r="S356" s="1"/>
      <c r="V356" s="133"/>
      <c r="W356" s="133"/>
      <c r="AF356" s="1"/>
      <c r="AN356" s="1"/>
      <c r="AV356" s="1"/>
      <c r="AW356" s="131"/>
      <c r="AX356" s="131"/>
      <c r="AY356" s="131"/>
      <c r="AZ356" s="131"/>
      <c r="BA356" s="131"/>
      <c r="BB356" s="131"/>
      <c r="BC356" s="131"/>
      <c r="BD356" s="132"/>
      <c r="BE356" s="131"/>
      <c r="BF356" s="131"/>
      <c r="BG356" s="131"/>
      <c r="BH356" s="131"/>
    </row>
    <row r="357" spans="19:60" s="20" customFormat="1" ht="22.5" customHeight="1" x14ac:dyDescent="0.25">
      <c r="S357" s="1"/>
      <c r="V357" s="133"/>
      <c r="W357" s="133"/>
      <c r="AF357" s="1"/>
      <c r="AN357" s="1"/>
      <c r="AV357" s="1"/>
      <c r="AW357" s="131"/>
      <c r="AX357" s="131"/>
      <c r="AY357" s="131"/>
      <c r="AZ357" s="131"/>
      <c r="BA357" s="131"/>
      <c r="BB357" s="131"/>
      <c r="BC357" s="131"/>
      <c r="BD357" s="132"/>
      <c r="BE357" s="131"/>
      <c r="BF357" s="131"/>
      <c r="BG357" s="131"/>
      <c r="BH357" s="131"/>
    </row>
    <row r="358" spans="19:60" s="20" customFormat="1" ht="22.5" customHeight="1" x14ac:dyDescent="0.25">
      <c r="S358" s="1"/>
      <c r="V358" s="133"/>
      <c r="W358" s="133"/>
      <c r="AF358" s="1"/>
      <c r="AN358" s="1"/>
      <c r="AV358" s="1"/>
      <c r="AW358" s="131"/>
      <c r="AX358" s="131"/>
      <c r="AY358" s="131"/>
      <c r="AZ358" s="131"/>
      <c r="BA358" s="131"/>
      <c r="BB358" s="131"/>
      <c r="BC358" s="131"/>
      <c r="BD358" s="132"/>
      <c r="BE358" s="131"/>
      <c r="BF358" s="131"/>
      <c r="BG358" s="131"/>
      <c r="BH358" s="131"/>
    </row>
    <row r="359" spans="19:60" s="20" customFormat="1" ht="22.5" customHeight="1" x14ac:dyDescent="0.25">
      <c r="S359" s="1"/>
      <c r="V359" s="133"/>
      <c r="W359" s="133"/>
      <c r="AF359" s="1"/>
      <c r="AN359" s="1"/>
      <c r="AV359" s="1"/>
      <c r="AW359" s="131"/>
      <c r="AX359" s="131"/>
      <c r="AY359" s="131"/>
      <c r="AZ359" s="131"/>
      <c r="BA359" s="131"/>
      <c r="BB359" s="131"/>
      <c r="BC359" s="131"/>
      <c r="BD359" s="132"/>
      <c r="BE359" s="131"/>
      <c r="BF359" s="131"/>
      <c r="BG359" s="131"/>
      <c r="BH359" s="131"/>
    </row>
    <row r="360" spans="19:60" s="20" customFormat="1" ht="22.5" customHeight="1" x14ac:dyDescent="0.25">
      <c r="S360" s="1"/>
      <c r="V360" s="133"/>
      <c r="W360" s="133"/>
      <c r="AF360" s="1"/>
      <c r="AN360" s="1"/>
      <c r="AV360" s="1"/>
      <c r="AW360" s="131"/>
      <c r="AX360" s="131"/>
      <c r="AY360" s="131"/>
      <c r="AZ360" s="131"/>
      <c r="BA360" s="131"/>
      <c r="BB360" s="131"/>
      <c r="BC360" s="131"/>
      <c r="BD360" s="132"/>
      <c r="BE360" s="131"/>
      <c r="BF360" s="131"/>
      <c r="BG360" s="131"/>
      <c r="BH360" s="131"/>
    </row>
    <row r="361" spans="19:60" s="20" customFormat="1" ht="22.5" customHeight="1" x14ac:dyDescent="0.25">
      <c r="S361" s="1"/>
      <c r="V361" s="133"/>
      <c r="W361" s="133"/>
      <c r="AF361" s="1"/>
      <c r="AN361" s="1"/>
      <c r="AV361" s="1"/>
      <c r="AW361" s="131"/>
      <c r="AX361" s="131"/>
      <c r="AY361" s="131"/>
      <c r="AZ361" s="131"/>
      <c r="BA361" s="131"/>
      <c r="BB361" s="131"/>
      <c r="BC361" s="131"/>
      <c r="BD361" s="132"/>
      <c r="BE361" s="131"/>
      <c r="BF361" s="131"/>
      <c r="BG361" s="131"/>
      <c r="BH361" s="131"/>
    </row>
    <row r="362" spans="19:60" s="20" customFormat="1" ht="22.5" customHeight="1" x14ac:dyDescent="0.25">
      <c r="S362" s="1"/>
      <c r="V362" s="133"/>
      <c r="W362" s="133"/>
      <c r="AF362" s="1"/>
      <c r="AN362" s="1"/>
      <c r="AV362" s="1"/>
      <c r="AW362" s="131"/>
      <c r="AX362" s="131"/>
      <c r="AY362" s="131"/>
      <c r="AZ362" s="131"/>
      <c r="BA362" s="131"/>
      <c r="BB362" s="131"/>
      <c r="BC362" s="131"/>
      <c r="BD362" s="132"/>
      <c r="BE362" s="131"/>
      <c r="BF362" s="131"/>
      <c r="BG362" s="131"/>
      <c r="BH362" s="131"/>
    </row>
    <row r="363" spans="19:60" s="20" customFormat="1" ht="22.5" customHeight="1" x14ac:dyDescent="0.25">
      <c r="S363" s="1"/>
      <c r="V363" s="133"/>
      <c r="W363" s="133"/>
      <c r="AF363" s="1"/>
      <c r="AN363" s="1"/>
      <c r="AV363" s="1"/>
      <c r="AW363" s="131"/>
      <c r="AX363" s="131"/>
      <c r="AY363" s="131"/>
      <c r="AZ363" s="131"/>
      <c r="BA363" s="131"/>
      <c r="BB363" s="131"/>
      <c r="BC363" s="131"/>
      <c r="BD363" s="132"/>
      <c r="BE363" s="131"/>
      <c r="BF363" s="131"/>
      <c r="BG363" s="131"/>
      <c r="BH363" s="131"/>
    </row>
    <row r="364" spans="19:60" s="20" customFormat="1" ht="22.5" customHeight="1" x14ac:dyDescent="0.25">
      <c r="S364" s="1"/>
      <c r="V364" s="133"/>
      <c r="W364" s="133"/>
      <c r="AF364" s="1"/>
      <c r="AN364" s="1"/>
      <c r="AV364" s="1"/>
      <c r="AW364" s="131"/>
      <c r="AX364" s="131"/>
      <c r="AY364" s="131"/>
      <c r="AZ364" s="131"/>
      <c r="BA364" s="131"/>
      <c r="BB364" s="131"/>
      <c r="BC364" s="131"/>
      <c r="BD364" s="132"/>
      <c r="BE364" s="131"/>
      <c r="BF364" s="131"/>
      <c r="BG364" s="131"/>
      <c r="BH364" s="131"/>
    </row>
    <row r="365" spans="19:60" s="20" customFormat="1" ht="22.5" customHeight="1" x14ac:dyDescent="0.25">
      <c r="S365" s="1"/>
      <c r="V365" s="133"/>
      <c r="W365" s="133"/>
      <c r="AF365" s="1"/>
      <c r="AN365" s="1"/>
      <c r="AV365" s="1"/>
      <c r="AW365" s="131"/>
      <c r="AX365" s="131"/>
      <c r="AY365" s="131"/>
      <c r="AZ365" s="131"/>
      <c r="BA365" s="131"/>
      <c r="BB365" s="131"/>
      <c r="BC365" s="131"/>
      <c r="BD365" s="132"/>
      <c r="BE365" s="131"/>
      <c r="BF365" s="131"/>
      <c r="BG365" s="131"/>
      <c r="BH365" s="131"/>
    </row>
    <row r="366" spans="19:60" s="20" customFormat="1" ht="22.5" customHeight="1" x14ac:dyDescent="0.25">
      <c r="S366" s="1"/>
      <c r="V366" s="133"/>
      <c r="W366" s="133"/>
      <c r="AF366" s="1"/>
      <c r="AN366" s="1"/>
      <c r="AV366" s="1"/>
      <c r="AW366" s="131"/>
      <c r="AX366" s="131"/>
      <c r="AY366" s="131"/>
      <c r="AZ366" s="131"/>
      <c r="BA366" s="131"/>
      <c r="BB366" s="131"/>
      <c r="BC366" s="131"/>
      <c r="BD366" s="132"/>
      <c r="BE366" s="131"/>
      <c r="BF366" s="131"/>
      <c r="BG366" s="131"/>
      <c r="BH366" s="131"/>
    </row>
    <row r="367" spans="19:60" s="20" customFormat="1" ht="22.5" customHeight="1" x14ac:dyDescent="0.25">
      <c r="S367" s="1"/>
      <c r="V367" s="133"/>
      <c r="W367" s="133"/>
      <c r="AF367" s="1"/>
      <c r="AN367" s="1"/>
      <c r="AV367" s="1"/>
      <c r="AW367" s="131"/>
      <c r="AX367" s="131"/>
      <c r="AY367" s="131"/>
      <c r="AZ367" s="131"/>
      <c r="BA367" s="131"/>
      <c r="BB367" s="131"/>
      <c r="BC367" s="131"/>
      <c r="BD367" s="132"/>
      <c r="BE367" s="131"/>
      <c r="BF367" s="131"/>
      <c r="BG367" s="131"/>
      <c r="BH367" s="131"/>
    </row>
    <row r="368" spans="19:60" s="20" customFormat="1" ht="22.5" customHeight="1" x14ac:dyDescent="0.25">
      <c r="S368" s="1"/>
      <c r="V368" s="133"/>
      <c r="W368" s="133"/>
      <c r="AF368" s="1"/>
      <c r="AN368" s="1"/>
      <c r="AV368" s="1"/>
      <c r="AW368" s="131"/>
      <c r="AX368" s="131"/>
      <c r="AY368" s="131"/>
      <c r="AZ368" s="131"/>
      <c r="BA368" s="131"/>
      <c r="BB368" s="131"/>
      <c r="BC368" s="131"/>
      <c r="BD368" s="132"/>
      <c r="BE368" s="131"/>
      <c r="BF368" s="131"/>
      <c r="BG368" s="131"/>
      <c r="BH368" s="131"/>
    </row>
    <row r="369" spans="19:60" s="20" customFormat="1" ht="22.5" customHeight="1" x14ac:dyDescent="0.25">
      <c r="S369" s="1"/>
      <c r="V369" s="133"/>
      <c r="W369" s="133"/>
      <c r="AF369" s="1"/>
      <c r="AN369" s="1"/>
      <c r="AV369" s="1"/>
      <c r="AW369" s="131"/>
      <c r="AX369" s="131"/>
      <c r="AY369" s="131"/>
      <c r="AZ369" s="131"/>
      <c r="BA369" s="131"/>
      <c r="BB369" s="131"/>
      <c r="BC369" s="131"/>
      <c r="BD369" s="132"/>
      <c r="BE369" s="131"/>
      <c r="BF369" s="131"/>
      <c r="BG369" s="131"/>
      <c r="BH369" s="131"/>
    </row>
    <row r="370" spans="19:60" s="20" customFormat="1" ht="22.5" customHeight="1" x14ac:dyDescent="0.25">
      <c r="S370" s="1"/>
      <c r="V370" s="133"/>
      <c r="W370" s="133"/>
      <c r="AF370" s="1"/>
      <c r="AN370" s="1"/>
      <c r="AV370" s="1"/>
      <c r="AW370" s="131"/>
      <c r="AX370" s="131"/>
      <c r="AY370" s="131"/>
      <c r="AZ370" s="131"/>
      <c r="BA370" s="131"/>
      <c r="BB370" s="131"/>
      <c r="BC370" s="131"/>
      <c r="BD370" s="132"/>
      <c r="BE370" s="131"/>
      <c r="BF370" s="131"/>
      <c r="BG370" s="131"/>
      <c r="BH370" s="131"/>
    </row>
    <row r="371" spans="19:60" s="20" customFormat="1" ht="22.5" customHeight="1" x14ac:dyDescent="0.25">
      <c r="S371" s="1"/>
      <c r="V371" s="133"/>
      <c r="W371" s="133"/>
      <c r="AF371" s="1"/>
      <c r="AN371" s="1"/>
      <c r="AV371" s="1"/>
      <c r="AW371" s="131"/>
      <c r="AX371" s="131"/>
      <c r="AY371" s="131"/>
      <c r="AZ371" s="131"/>
      <c r="BA371" s="131"/>
      <c r="BB371" s="131"/>
      <c r="BC371" s="131"/>
      <c r="BD371" s="132"/>
      <c r="BE371" s="131"/>
      <c r="BF371" s="131"/>
      <c r="BG371" s="131"/>
      <c r="BH371" s="131"/>
    </row>
    <row r="372" spans="19:60" s="20" customFormat="1" ht="22.5" customHeight="1" x14ac:dyDescent="0.25">
      <c r="S372" s="1"/>
      <c r="V372" s="133"/>
      <c r="W372" s="133"/>
      <c r="AF372" s="1"/>
      <c r="AN372" s="1"/>
      <c r="AV372" s="1"/>
      <c r="AW372" s="131"/>
      <c r="AX372" s="131"/>
      <c r="AY372" s="131"/>
      <c r="AZ372" s="131"/>
      <c r="BA372" s="131"/>
      <c r="BB372" s="131"/>
      <c r="BC372" s="131"/>
      <c r="BD372" s="132"/>
      <c r="BE372" s="131"/>
      <c r="BF372" s="131"/>
      <c r="BG372" s="131"/>
      <c r="BH372" s="131"/>
    </row>
    <row r="373" spans="19:60" s="20" customFormat="1" ht="22.5" customHeight="1" x14ac:dyDescent="0.25">
      <c r="S373" s="1"/>
      <c r="V373" s="133"/>
      <c r="W373" s="133"/>
      <c r="AF373" s="1"/>
      <c r="AN373" s="1"/>
      <c r="AV373" s="1"/>
      <c r="AW373" s="131"/>
      <c r="AX373" s="131"/>
      <c r="AY373" s="131"/>
      <c r="AZ373" s="131"/>
      <c r="BA373" s="131"/>
      <c r="BB373" s="131"/>
      <c r="BC373" s="131"/>
      <c r="BD373" s="132"/>
      <c r="BE373" s="131"/>
      <c r="BF373" s="131"/>
      <c r="BG373" s="131"/>
      <c r="BH373" s="131"/>
    </row>
    <row r="374" spans="19:60" s="20" customFormat="1" ht="22.5" customHeight="1" x14ac:dyDescent="0.25">
      <c r="S374" s="1"/>
      <c r="V374" s="133"/>
      <c r="W374" s="133"/>
      <c r="AF374" s="1"/>
      <c r="AN374" s="1"/>
      <c r="AV374" s="1"/>
      <c r="AW374" s="131"/>
      <c r="AX374" s="131"/>
      <c r="AY374" s="131"/>
      <c r="AZ374" s="131"/>
      <c r="BA374" s="131"/>
      <c r="BB374" s="131"/>
      <c r="BC374" s="131"/>
      <c r="BD374" s="132"/>
      <c r="BE374" s="131"/>
      <c r="BF374" s="131"/>
      <c r="BG374" s="131"/>
      <c r="BH374" s="131"/>
    </row>
    <row r="375" spans="19:60" s="20" customFormat="1" ht="22.5" customHeight="1" x14ac:dyDescent="0.25">
      <c r="S375" s="1"/>
      <c r="V375" s="133"/>
      <c r="W375" s="133"/>
      <c r="AF375" s="1"/>
      <c r="AN375" s="1"/>
      <c r="AV375" s="1"/>
      <c r="AW375" s="131"/>
      <c r="AX375" s="131"/>
      <c r="AY375" s="131"/>
      <c r="AZ375" s="131"/>
      <c r="BA375" s="131"/>
      <c r="BB375" s="131"/>
      <c r="BC375" s="131"/>
      <c r="BD375" s="132"/>
      <c r="BE375" s="131"/>
      <c r="BF375" s="131"/>
      <c r="BG375" s="131"/>
      <c r="BH375" s="131"/>
    </row>
    <row r="376" spans="19:60" s="20" customFormat="1" ht="22.5" customHeight="1" x14ac:dyDescent="0.25">
      <c r="S376" s="1"/>
      <c r="V376" s="133"/>
      <c r="W376" s="133"/>
      <c r="AF376" s="1"/>
      <c r="AN376" s="1"/>
      <c r="AV376" s="1"/>
      <c r="AW376" s="131"/>
      <c r="AX376" s="131"/>
      <c r="AY376" s="131"/>
      <c r="AZ376" s="131"/>
      <c r="BA376" s="131"/>
      <c r="BB376" s="131"/>
      <c r="BC376" s="131"/>
      <c r="BD376" s="132"/>
      <c r="BE376" s="131"/>
      <c r="BF376" s="131"/>
      <c r="BG376" s="131"/>
      <c r="BH376" s="131"/>
    </row>
    <row r="377" spans="19:60" s="20" customFormat="1" ht="22.5" customHeight="1" x14ac:dyDescent="0.25">
      <c r="S377" s="1"/>
      <c r="V377" s="133"/>
      <c r="W377" s="133"/>
      <c r="AF377" s="1"/>
      <c r="AN377" s="1"/>
      <c r="AV377" s="1"/>
      <c r="AW377" s="131"/>
      <c r="AX377" s="131"/>
      <c r="AY377" s="131"/>
      <c r="AZ377" s="131"/>
      <c r="BA377" s="131"/>
      <c r="BB377" s="131"/>
      <c r="BC377" s="131"/>
      <c r="BD377" s="132"/>
      <c r="BE377" s="131"/>
      <c r="BF377" s="131"/>
      <c r="BG377" s="131"/>
      <c r="BH377" s="131"/>
    </row>
    <row r="378" spans="19:60" s="20" customFormat="1" ht="22.5" customHeight="1" x14ac:dyDescent="0.25">
      <c r="S378" s="1"/>
      <c r="V378" s="133"/>
      <c r="W378" s="133"/>
      <c r="AF378" s="1"/>
      <c r="AN378" s="1"/>
      <c r="AV378" s="1"/>
      <c r="AW378" s="131"/>
      <c r="AX378" s="131"/>
      <c r="AY378" s="131"/>
      <c r="AZ378" s="131"/>
      <c r="BA378" s="131"/>
      <c r="BB378" s="131"/>
      <c r="BC378" s="131"/>
      <c r="BD378" s="132"/>
      <c r="BE378" s="131"/>
      <c r="BF378" s="131"/>
      <c r="BG378" s="131"/>
      <c r="BH378" s="131"/>
    </row>
    <row r="379" spans="19:60" s="20" customFormat="1" ht="22.5" customHeight="1" x14ac:dyDescent="0.25">
      <c r="S379" s="1"/>
      <c r="V379" s="133"/>
      <c r="W379" s="133"/>
      <c r="AF379" s="1"/>
      <c r="AN379" s="1"/>
      <c r="AV379" s="1"/>
      <c r="AW379" s="131"/>
      <c r="AX379" s="131"/>
      <c r="AY379" s="131"/>
      <c r="AZ379" s="131"/>
      <c r="BA379" s="131"/>
      <c r="BB379" s="131"/>
      <c r="BC379" s="131"/>
      <c r="BD379" s="132"/>
      <c r="BE379" s="131"/>
      <c r="BF379" s="131"/>
      <c r="BG379" s="131"/>
      <c r="BH379" s="131"/>
    </row>
    <row r="380" spans="19:60" s="20" customFormat="1" ht="22.5" customHeight="1" x14ac:dyDescent="0.25">
      <c r="S380" s="1"/>
      <c r="V380" s="133"/>
      <c r="W380" s="133"/>
      <c r="AF380" s="1"/>
      <c r="AN380" s="1"/>
      <c r="AV380" s="1"/>
      <c r="AW380" s="131"/>
      <c r="AX380" s="131"/>
      <c r="AY380" s="131"/>
      <c r="AZ380" s="131"/>
      <c r="BA380" s="131"/>
      <c r="BB380" s="131"/>
      <c r="BC380" s="131"/>
      <c r="BD380" s="132"/>
      <c r="BE380" s="131"/>
      <c r="BF380" s="131"/>
      <c r="BG380" s="131"/>
      <c r="BH380" s="131"/>
    </row>
    <row r="381" spans="19:60" s="20" customFormat="1" ht="22.5" customHeight="1" x14ac:dyDescent="0.25">
      <c r="S381" s="1"/>
      <c r="V381" s="133"/>
      <c r="W381" s="133"/>
      <c r="AF381" s="1"/>
      <c r="AN381" s="1"/>
      <c r="AV381" s="1"/>
      <c r="AW381" s="131"/>
      <c r="AX381" s="131"/>
      <c r="AY381" s="131"/>
      <c r="AZ381" s="131"/>
      <c r="BA381" s="131"/>
      <c r="BB381" s="131"/>
      <c r="BC381" s="131"/>
      <c r="BD381" s="132"/>
      <c r="BE381" s="131"/>
      <c r="BF381" s="131"/>
      <c r="BG381" s="131"/>
      <c r="BH381" s="131"/>
    </row>
    <row r="382" spans="19:60" s="20" customFormat="1" ht="22.5" customHeight="1" x14ac:dyDescent="0.25">
      <c r="S382" s="1"/>
      <c r="V382" s="133"/>
      <c r="W382" s="133"/>
      <c r="AF382" s="1"/>
      <c r="AN382" s="1"/>
      <c r="AV382" s="1"/>
      <c r="AW382" s="131"/>
      <c r="AX382" s="131"/>
      <c r="AY382" s="131"/>
      <c r="AZ382" s="131"/>
      <c r="BA382" s="131"/>
      <c r="BB382" s="131"/>
      <c r="BC382" s="131"/>
      <c r="BD382" s="132"/>
      <c r="BE382" s="131"/>
      <c r="BF382" s="131"/>
      <c r="BG382" s="131"/>
      <c r="BH382" s="131"/>
    </row>
    <row r="383" spans="19:60" s="20" customFormat="1" ht="22.5" customHeight="1" x14ac:dyDescent="0.25">
      <c r="S383" s="1"/>
      <c r="V383" s="133"/>
      <c r="W383" s="133"/>
      <c r="AF383" s="1"/>
      <c r="AN383" s="1"/>
      <c r="AV383" s="1"/>
      <c r="AW383" s="131"/>
      <c r="AX383" s="131"/>
      <c r="AY383" s="131"/>
      <c r="AZ383" s="131"/>
      <c r="BA383" s="131"/>
      <c r="BB383" s="131"/>
      <c r="BC383" s="131"/>
      <c r="BD383" s="132"/>
      <c r="BE383" s="131"/>
      <c r="BF383" s="131"/>
      <c r="BG383" s="131"/>
      <c r="BH383" s="131"/>
    </row>
    <row r="384" spans="19:60" s="20" customFormat="1" ht="22.5" customHeight="1" x14ac:dyDescent="0.25">
      <c r="S384" s="1"/>
      <c r="V384" s="133"/>
      <c r="W384" s="133"/>
      <c r="AF384" s="1"/>
      <c r="AN384" s="1"/>
      <c r="AV384" s="1"/>
      <c r="AW384" s="131"/>
      <c r="AX384" s="131"/>
      <c r="AY384" s="131"/>
      <c r="AZ384" s="131"/>
      <c r="BA384" s="131"/>
      <c r="BB384" s="131"/>
      <c r="BC384" s="131"/>
      <c r="BD384" s="132"/>
      <c r="BE384" s="131"/>
      <c r="BF384" s="131"/>
      <c r="BG384" s="131"/>
      <c r="BH384" s="131"/>
    </row>
    <row r="385" spans="19:60" s="20" customFormat="1" ht="22.5" customHeight="1" x14ac:dyDescent="0.25">
      <c r="S385" s="1"/>
      <c r="V385" s="133"/>
      <c r="W385" s="133"/>
      <c r="AF385" s="1"/>
      <c r="AN385" s="1"/>
      <c r="AV385" s="1"/>
      <c r="AW385" s="131"/>
      <c r="AX385" s="131"/>
      <c r="AY385" s="131"/>
      <c r="AZ385" s="131"/>
      <c r="BA385" s="131"/>
      <c r="BB385" s="131"/>
      <c r="BC385" s="131"/>
      <c r="BD385" s="132"/>
      <c r="BE385" s="131"/>
      <c r="BF385" s="131"/>
      <c r="BG385" s="131"/>
      <c r="BH385" s="131"/>
    </row>
    <row r="386" spans="19:60" s="20" customFormat="1" ht="22.5" customHeight="1" x14ac:dyDescent="0.25">
      <c r="S386" s="1"/>
      <c r="V386" s="133"/>
      <c r="W386" s="133"/>
      <c r="AF386" s="1"/>
      <c r="AN386" s="1"/>
      <c r="AV386" s="1"/>
      <c r="AW386" s="131"/>
      <c r="AX386" s="131"/>
      <c r="AY386" s="131"/>
      <c r="AZ386" s="131"/>
      <c r="BA386" s="131"/>
      <c r="BB386" s="131"/>
      <c r="BC386" s="131"/>
      <c r="BD386" s="132"/>
      <c r="BE386" s="131"/>
      <c r="BF386" s="131"/>
      <c r="BG386" s="131"/>
      <c r="BH386" s="131"/>
    </row>
    <row r="387" spans="19:60" s="20" customFormat="1" ht="22.5" customHeight="1" x14ac:dyDescent="0.25">
      <c r="S387" s="1"/>
      <c r="V387" s="133"/>
      <c r="W387" s="133"/>
      <c r="AF387" s="1"/>
      <c r="AN387" s="1"/>
      <c r="AV387" s="1"/>
      <c r="AW387" s="131"/>
      <c r="AX387" s="131"/>
      <c r="AY387" s="131"/>
      <c r="AZ387" s="131"/>
      <c r="BA387" s="131"/>
      <c r="BB387" s="131"/>
      <c r="BC387" s="131"/>
      <c r="BD387" s="132"/>
      <c r="BE387" s="131"/>
      <c r="BF387" s="131"/>
      <c r="BG387" s="131"/>
      <c r="BH387" s="131"/>
    </row>
    <row r="388" spans="19:60" s="20" customFormat="1" ht="22.5" customHeight="1" x14ac:dyDescent="0.25">
      <c r="S388" s="1"/>
      <c r="V388" s="133"/>
      <c r="W388" s="133"/>
      <c r="AF388" s="1"/>
      <c r="AN388" s="1"/>
      <c r="AV388" s="1"/>
      <c r="AW388" s="131"/>
      <c r="AX388" s="131"/>
      <c r="AY388" s="131"/>
      <c r="AZ388" s="131"/>
      <c r="BA388" s="131"/>
      <c r="BB388" s="131"/>
      <c r="BC388" s="131"/>
      <c r="BD388" s="132"/>
      <c r="BE388" s="131"/>
      <c r="BF388" s="131"/>
      <c r="BG388" s="131"/>
      <c r="BH388" s="131"/>
    </row>
    <row r="389" spans="19:60" s="20" customFormat="1" ht="22.5" customHeight="1" x14ac:dyDescent="0.25">
      <c r="S389" s="1"/>
      <c r="V389" s="133"/>
      <c r="W389" s="133"/>
      <c r="AF389" s="1"/>
      <c r="AN389" s="1"/>
      <c r="AV389" s="1"/>
      <c r="AW389" s="131"/>
      <c r="AX389" s="131"/>
      <c r="AY389" s="131"/>
      <c r="AZ389" s="131"/>
      <c r="BA389" s="131"/>
      <c r="BB389" s="131"/>
      <c r="BC389" s="131"/>
      <c r="BD389" s="132"/>
      <c r="BE389" s="131"/>
      <c r="BF389" s="131"/>
      <c r="BG389" s="131"/>
      <c r="BH389" s="131"/>
    </row>
    <row r="390" spans="19:60" s="20" customFormat="1" ht="22.5" customHeight="1" x14ac:dyDescent="0.25">
      <c r="S390" s="1"/>
      <c r="V390" s="133"/>
      <c r="W390" s="133"/>
      <c r="AF390" s="1"/>
      <c r="AN390" s="1"/>
      <c r="AV390" s="1"/>
      <c r="AW390" s="131"/>
      <c r="AX390" s="131"/>
      <c r="AY390" s="131"/>
      <c r="AZ390" s="131"/>
      <c r="BA390" s="131"/>
      <c r="BB390" s="131"/>
      <c r="BC390" s="131"/>
      <c r="BD390" s="132"/>
      <c r="BE390" s="131"/>
      <c r="BF390" s="131"/>
      <c r="BG390" s="131"/>
      <c r="BH390" s="131"/>
    </row>
    <row r="391" spans="19:60" s="20" customFormat="1" ht="22.5" customHeight="1" x14ac:dyDescent="0.25">
      <c r="S391" s="1"/>
      <c r="V391" s="133"/>
      <c r="W391" s="133"/>
      <c r="AF391" s="1"/>
      <c r="AN391" s="1"/>
      <c r="AV391" s="1"/>
      <c r="AW391" s="131"/>
      <c r="AX391" s="131"/>
      <c r="AY391" s="131"/>
      <c r="AZ391" s="131"/>
      <c r="BA391" s="131"/>
      <c r="BB391" s="131"/>
      <c r="BC391" s="131"/>
      <c r="BD391" s="132"/>
      <c r="BE391" s="131"/>
      <c r="BF391" s="131"/>
      <c r="BG391" s="131"/>
      <c r="BH391" s="131"/>
    </row>
    <row r="392" spans="19:60" s="20" customFormat="1" ht="22.5" customHeight="1" x14ac:dyDescent="0.25">
      <c r="S392" s="1"/>
      <c r="V392" s="133"/>
      <c r="W392" s="133"/>
      <c r="AF392" s="1"/>
      <c r="AN392" s="1"/>
      <c r="AV392" s="1"/>
      <c r="AW392" s="131"/>
      <c r="AX392" s="131"/>
      <c r="AY392" s="131"/>
      <c r="AZ392" s="131"/>
      <c r="BA392" s="131"/>
      <c r="BB392" s="131"/>
      <c r="BC392" s="131"/>
      <c r="BD392" s="132"/>
      <c r="BE392" s="131"/>
      <c r="BF392" s="131"/>
      <c r="BG392" s="131"/>
      <c r="BH392" s="131"/>
    </row>
    <row r="393" spans="19:60" s="20" customFormat="1" ht="22.5" customHeight="1" x14ac:dyDescent="0.25">
      <c r="S393" s="1"/>
      <c r="V393" s="133"/>
      <c r="W393" s="133"/>
      <c r="AF393" s="1"/>
      <c r="AN393" s="1"/>
      <c r="AV393" s="1"/>
      <c r="AW393" s="131"/>
      <c r="AX393" s="131"/>
      <c r="AY393" s="131"/>
      <c r="AZ393" s="131"/>
      <c r="BA393" s="131"/>
      <c r="BB393" s="131"/>
      <c r="BC393" s="131"/>
      <c r="BD393" s="132"/>
      <c r="BE393" s="131"/>
      <c r="BF393" s="131"/>
      <c r="BG393" s="131"/>
      <c r="BH393" s="131"/>
    </row>
    <row r="394" spans="19:60" s="20" customFormat="1" ht="22.5" customHeight="1" x14ac:dyDescent="0.25">
      <c r="S394" s="1"/>
      <c r="V394" s="133"/>
      <c r="W394" s="133"/>
      <c r="AF394" s="1"/>
      <c r="AN394" s="1"/>
      <c r="AV394" s="1"/>
      <c r="AW394" s="131"/>
      <c r="AX394" s="131"/>
      <c r="AY394" s="131"/>
      <c r="AZ394" s="131"/>
      <c r="BA394" s="131"/>
      <c r="BB394" s="131"/>
      <c r="BC394" s="131"/>
      <c r="BD394" s="132"/>
      <c r="BE394" s="131"/>
      <c r="BF394" s="131"/>
      <c r="BG394" s="131"/>
      <c r="BH394" s="131"/>
    </row>
    <row r="395" spans="19:60" s="20" customFormat="1" ht="22.5" customHeight="1" x14ac:dyDescent="0.25">
      <c r="S395" s="1"/>
      <c r="V395" s="133"/>
      <c r="W395" s="133"/>
      <c r="AF395" s="1"/>
      <c r="AN395" s="1"/>
      <c r="AV395" s="1"/>
      <c r="AW395" s="131"/>
      <c r="AX395" s="131"/>
      <c r="AY395" s="131"/>
      <c r="AZ395" s="131"/>
      <c r="BA395" s="131"/>
      <c r="BB395" s="131"/>
      <c r="BC395" s="131"/>
      <c r="BD395" s="132"/>
      <c r="BE395" s="131"/>
      <c r="BF395" s="131"/>
      <c r="BG395" s="131"/>
      <c r="BH395" s="131"/>
    </row>
    <row r="396" spans="19:60" s="20" customFormat="1" ht="22.5" customHeight="1" x14ac:dyDescent="0.25">
      <c r="S396" s="1"/>
      <c r="V396" s="133"/>
      <c r="W396" s="133"/>
      <c r="AF396" s="1"/>
      <c r="AN396" s="1"/>
      <c r="AV396" s="1"/>
      <c r="AW396" s="131"/>
      <c r="AX396" s="131"/>
      <c r="AY396" s="131"/>
      <c r="AZ396" s="131"/>
      <c r="BA396" s="131"/>
      <c r="BB396" s="131"/>
      <c r="BC396" s="131"/>
      <c r="BD396" s="132"/>
      <c r="BE396" s="131"/>
      <c r="BF396" s="131"/>
      <c r="BG396" s="131"/>
      <c r="BH396" s="131"/>
    </row>
    <row r="397" spans="19:60" s="20" customFormat="1" ht="22.5" customHeight="1" x14ac:dyDescent="0.25">
      <c r="S397" s="1"/>
      <c r="V397" s="133"/>
      <c r="W397" s="133"/>
      <c r="AF397" s="1"/>
      <c r="AN397" s="1"/>
      <c r="AV397" s="1"/>
      <c r="AW397" s="131"/>
      <c r="AX397" s="131"/>
      <c r="AY397" s="131"/>
      <c r="AZ397" s="131"/>
      <c r="BA397" s="131"/>
      <c r="BB397" s="131"/>
      <c r="BC397" s="131"/>
      <c r="BD397" s="132"/>
      <c r="BE397" s="131"/>
      <c r="BF397" s="131"/>
      <c r="BG397" s="131"/>
      <c r="BH397" s="131"/>
    </row>
    <row r="398" spans="19:60" s="20" customFormat="1" ht="22.5" customHeight="1" x14ac:dyDescent="0.25">
      <c r="S398" s="1"/>
      <c r="V398" s="133"/>
      <c r="W398" s="133"/>
      <c r="AF398" s="1"/>
      <c r="AN398" s="1"/>
      <c r="AV398" s="1"/>
      <c r="AW398" s="131"/>
      <c r="AX398" s="131"/>
      <c r="AY398" s="131"/>
      <c r="AZ398" s="131"/>
      <c r="BA398" s="131"/>
      <c r="BB398" s="131"/>
      <c r="BC398" s="131"/>
      <c r="BD398" s="132"/>
      <c r="BE398" s="131"/>
      <c r="BF398" s="131"/>
      <c r="BG398" s="131"/>
      <c r="BH398" s="131"/>
    </row>
    <row r="399" spans="19:60" s="20" customFormat="1" ht="22.5" customHeight="1" x14ac:dyDescent="0.25">
      <c r="S399" s="1"/>
      <c r="V399" s="133"/>
      <c r="W399" s="133"/>
      <c r="AF399" s="1"/>
      <c r="AN399" s="1"/>
      <c r="AV399" s="1"/>
      <c r="AW399" s="131"/>
      <c r="AX399" s="131"/>
      <c r="AY399" s="131"/>
      <c r="AZ399" s="131"/>
      <c r="BA399" s="131"/>
      <c r="BB399" s="131"/>
      <c r="BC399" s="131"/>
      <c r="BD399" s="132"/>
      <c r="BE399" s="131"/>
      <c r="BF399" s="131"/>
      <c r="BG399" s="131"/>
      <c r="BH399" s="131"/>
    </row>
    <row r="400" spans="19:60" s="20" customFormat="1" ht="22.5" customHeight="1" x14ac:dyDescent="0.25">
      <c r="S400" s="1"/>
      <c r="V400" s="133"/>
      <c r="W400" s="133"/>
      <c r="AF400" s="1"/>
      <c r="AN400" s="1"/>
      <c r="AV400" s="1"/>
      <c r="AW400" s="131"/>
      <c r="AX400" s="131"/>
      <c r="AY400" s="131"/>
      <c r="AZ400" s="131"/>
      <c r="BA400" s="131"/>
      <c r="BB400" s="131"/>
      <c r="BC400" s="131"/>
      <c r="BD400" s="132"/>
      <c r="BE400" s="131"/>
      <c r="BF400" s="131"/>
      <c r="BG400" s="131"/>
      <c r="BH400" s="131"/>
    </row>
    <row r="401" spans="19:60" s="20" customFormat="1" ht="22.5" customHeight="1" x14ac:dyDescent="0.25">
      <c r="S401" s="1"/>
      <c r="V401" s="133"/>
      <c r="W401" s="133"/>
      <c r="AF401" s="1"/>
      <c r="AN401" s="1"/>
      <c r="AV401" s="1"/>
      <c r="AW401" s="131"/>
      <c r="AX401" s="131"/>
      <c r="AY401" s="131"/>
      <c r="AZ401" s="131"/>
      <c r="BA401" s="131"/>
      <c r="BB401" s="131"/>
      <c r="BC401" s="131"/>
      <c r="BD401" s="132"/>
      <c r="BE401" s="131"/>
      <c r="BF401" s="131"/>
      <c r="BG401" s="131"/>
      <c r="BH401" s="131"/>
    </row>
    <row r="402" spans="19:60" s="20" customFormat="1" ht="22.5" customHeight="1" x14ac:dyDescent="0.25">
      <c r="S402" s="1"/>
      <c r="V402" s="133"/>
      <c r="W402" s="133"/>
      <c r="AF402" s="1"/>
      <c r="AN402" s="1"/>
      <c r="AV402" s="1"/>
      <c r="AW402" s="131"/>
      <c r="AX402" s="131"/>
      <c r="AY402" s="131"/>
      <c r="AZ402" s="131"/>
      <c r="BA402" s="131"/>
      <c r="BB402" s="131"/>
      <c r="BC402" s="131"/>
      <c r="BD402" s="132"/>
      <c r="BE402" s="131"/>
      <c r="BF402" s="131"/>
      <c r="BG402" s="131"/>
      <c r="BH402" s="131"/>
    </row>
    <row r="403" spans="19:60" s="20" customFormat="1" ht="22.5" customHeight="1" x14ac:dyDescent="0.25">
      <c r="S403" s="1"/>
      <c r="V403" s="133"/>
      <c r="W403" s="133"/>
      <c r="AF403" s="1"/>
      <c r="AN403" s="1"/>
      <c r="AV403" s="1"/>
      <c r="AW403" s="131"/>
      <c r="AX403" s="131"/>
      <c r="AY403" s="131"/>
      <c r="AZ403" s="131"/>
      <c r="BA403" s="131"/>
      <c r="BB403" s="131"/>
      <c r="BC403" s="131"/>
      <c r="BD403" s="132"/>
      <c r="BE403" s="131"/>
      <c r="BF403" s="131"/>
      <c r="BG403" s="131"/>
      <c r="BH403" s="131"/>
    </row>
    <row r="404" spans="19:60" s="20" customFormat="1" ht="22.5" customHeight="1" x14ac:dyDescent="0.25">
      <c r="S404" s="1"/>
      <c r="V404" s="133"/>
      <c r="W404" s="133"/>
      <c r="AF404" s="1"/>
      <c r="AN404" s="1"/>
      <c r="AV404" s="1"/>
      <c r="AW404" s="131"/>
      <c r="AX404" s="131"/>
      <c r="AY404" s="131"/>
      <c r="AZ404" s="131"/>
      <c r="BA404" s="131"/>
      <c r="BB404" s="131"/>
      <c r="BC404" s="131"/>
      <c r="BD404" s="132"/>
      <c r="BE404" s="131"/>
      <c r="BF404" s="131"/>
      <c r="BG404" s="131"/>
      <c r="BH404" s="131"/>
    </row>
    <row r="405" spans="19:60" s="20" customFormat="1" ht="22.5" customHeight="1" x14ac:dyDescent="0.25">
      <c r="S405" s="1"/>
      <c r="V405" s="133"/>
      <c r="W405" s="133"/>
      <c r="AF405" s="1"/>
      <c r="AN405" s="1"/>
      <c r="AV405" s="1"/>
      <c r="AW405" s="131"/>
      <c r="AX405" s="131"/>
      <c r="AY405" s="131"/>
      <c r="AZ405" s="131"/>
      <c r="BA405" s="131"/>
      <c r="BB405" s="131"/>
      <c r="BC405" s="131"/>
      <c r="BD405" s="132"/>
      <c r="BE405" s="131"/>
      <c r="BF405" s="131"/>
      <c r="BG405" s="131"/>
      <c r="BH405" s="131"/>
    </row>
    <row r="406" spans="19:60" s="20" customFormat="1" ht="22.5" customHeight="1" x14ac:dyDescent="0.25">
      <c r="S406" s="1"/>
      <c r="V406" s="133"/>
      <c r="W406" s="133"/>
      <c r="AF406" s="1"/>
      <c r="AN406" s="1"/>
      <c r="AV406" s="1"/>
      <c r="AW406" s="131"/>
      <c r="AX406" s="131"/>
      <c r="AY406" s="131"/>
      <c r="AZ406" s="131"/>
      <c r="BA406" s="131"/>
      <c r="BB406" s="131"/>
      <c r="BC406" s="131"/>
      <c r="BD406" s="132"/>
      <c r="BE406" s="131"/>
      <c r="BF406" s="131"/>
      <c r="BG406" s="131"/>
      <c r="BH406" s="131"/>
    </row>
    <row r="407" spans="19:60" s="20" customFormat="1" ht="22.5" customHeight="1" x14ac:dyDescent="0.25">
      <c r="S407" s="1"/>
      <c r="V407" s="133"/>
      <c r="W407" s="133"/>
      <c r="AF407" s="1"/>
      <c r="AN407" s="1"/>
      <c r="AV407" s="1"/>
      <c r="AW407" s="131"/>
      <c r="AX407" s="131"/>
      <c r="AY407" s="131"/>
      <c r="AZ407" s="131"/>
      <c r="BA407" s="131"/>
      <c r="BB407" s="131"/>
      <c r="BC407" s="131"/>
      <c r="BD407" s="132"/>
      <c r="BE407" s="131"/>
      <c r="BF407" s="131"/>
      <c r="BG407" s="131"/>
      <c r="BH407" s="131"/>
    </row>
    <row r="408" spans="19:60" s="20" customFormat="1" ht="22.5" customHeight="1" x14ac:dyDescent="0.25">
      <c r="S408" s="1"/>
      <c r="V408" s="133"/>
      <c r="W408" s="133"/>
      <c r="AF408" s="1"/>
      <c r="AN408" s="1"/>
      <c r="AV408" s="1"/>
      <c r="AW408" s="131"/>
      <c r="AX408" s="131"/>
      <c r="AY408" s="131"/>
      <c r="AZ408" s="131"/>
      <c r="BA408" s="131"/>
      <c r="BB408" s="131"/>
      <c r="BC408" s="131"/>
      <c r="BD408" s="132"/>
      <c r="BE408" s="131"/>
      <c r="BF408" s="131"/>
      <c r="BG408" s="131"/>
      <c r="BH408" s="131"/>
    </row>
    <row r="409" spans="19:60" s="20" customFormat="1" ht="22.5" customHeight="1" x14ac:dyDescent="0.25">
      <c r="S409" s="1"/>
      <c r="V409" s="133"/>
      <c r="W409" s="133"/>
      <c r="AF409" s="1"/>
      <c r="AN409" s="1"/>
      <c r="AV409" s="1"/>
      <c r="AW409" s="131"/>
      <c r="AX409" s="131"/>
      <c r="AY409" s="131"/>
      <c r="AZ409" s="131"/>
      <c r="BA409" s="131"/>
      <c r="BB409" s="131"/>
      <c r="BC409" s="131"/>
      <c r="BD409" s="132"/>
      <c r="BE409" s="131"/>
      <c r="BF409" s="131"/>
      <c r="BG409" s="131"/>
      <c r="BH409" s="131"/>
    </row>
    <row r="410" spans="19:60" s="20" customFormat="1" ht="22.5" customHeight="1" x14ac:dyDescent="0.25">
      <c r="S410" s="1"/>
      <c r="V410" s="133"/>
      <c r="W410" s="133"/>
      <c r="AF410" s="1"/>
      <c r="AN410" s="1"/>
      <c r="AV410" s="1"/>
      <c r="AW410" s="131"/>
      <c r="AX410" s="131"/>
      <c r="AY410" s="131"/>
      <c r="AZ410" s="131"/>
      <c r="BA410" s="131"/>
      <c r="BB410" s="131"/>
      <c r="BC410" s="131"/>
      <c r="BD410" s="132"/>
      <c r="BE410" s="131"/>
      <c r="BF410" s="131"/>
      <c r="BG410" s="131"/>
      <c r="BH410" s="131"/>
    </row>
    <row r="411" spans="19:60" s="20" customFormat="1" ht="22.5" customHeight="1" x14ac:dyDescent="0.25">
      <c r="S411" s="1"/>
      <c r="V411" s="133"/>
      <c r="W411" s="133"/>
      <c r="AF411" s="1"/>
      <c r="AN411" s="1"/>
      <c r="AV411" s="1"/>
      <c r="AW411" s="131"/>
      <c r="AX411" s="131"/>
      <c r="AY411" s="131"/>
      <c r="AZ411" s="131"/>
      <c r="BA411" s="131"/>
      <c r="BB411" s="131"/>
      <c r="BC411" s="131"/>
      <c r="BD411" s="132"/>
      <c r="BE411" s="131"/>
      <c r="BF411" s="131"/>
      <c r="BG411" s="131"/>
      <c r="BH411" s="131"/>
    </row>
    <row r="412" spans="19:60" s="20" customFormat="1" ht="22.5" customHeight="1" x14ac:dyDescent="0.25">
      <c r="S412" s="1"/>
      <c r="V412" s="133"/>
      <c r="W412" s="133"/>
      <c r="AF412" s="1"/>
      <c r="AN412" s="1"/>
      <c r="AV412" s="1"/>
      <c r="AW412" s="131"/>
      <c r="AX412" s="131"/>
      <c r="AY412" s="131"/>
      <c r="AZ412" s="131"/>
      <c r="BA412" s="131"/>
      <c r="BB412" s="131"/>
      <c r="BC412" s="131"/>
      <c r="BD412" s="132"/>
      <c r="BE412" s="131"/>
      <c r="BF412" s="131"/>
      <c r="BG412" s="131"/>
      <c r="BH412" s="131"/>
    </row>
    <row r="413" spans="19:60" s="20" customFormat="1" ht="22.5" customHeight="1" x14ac:dyDescent="0.25">
      <c r="S413" s="1"/>
      <c r="V413" s="133"/>
      <c r="W413" s="133"/>
      <c r="AF413" s="1"/>
      <c r="AN413" s="1"/>
      <c r="AV413" s="1"/>
      <c r="AW413" s="131"/>
      <c r="AX413" s="131"/>
      <c r="AY413" s="131"/>
      <c r="AZ413" s="131"/>
      <c r="BA413" s="131"/>
      <c r="BB413" s="131"/>
      <c r="BC413" s="131"/>
      <c r="BD413" s="132"/>
      <c r="BE413" s="131"/>
      <c r="BF413" s="131"/>
      <c r="BG413" s="131"/>
      <c r="BH413" s="131"/>
    </row>
    <row r="414" spans="19:60" s="20" customFormat="1" ht="22.5" customHeight="1" x14ac:dyDescent="0.25">
      <c r="S414" s="1"/>
      <c r="V414" s="133"/>
      <c r="W414" s="133"/>
      <c r="AF414" s="1"/>
      <c r="AN414" s="1"/>
      <c r="AV414" s="1"/>
      <c r="AW414" s="131"/>
      <c r="AX414" s="131"/>
      <c r="AY414" s="131"/>
      <c r="AZ414" s="131"/>
      <c r="BA414" s="131"/>
      <c r="BB414" s="131"/>
      <c r="BC414" s="131"/>
      <c r="BD414" s="132"/>
      <c r="BE414" s="131"/>
      <c r="BF414" s="131"/>
      <c r="BG414" s="131"/>
      <c r="BH414" s="131"/>
    </row>
    <row r="415" spans="19:60" s="20" customFormat="1" ht="22.5" customHeight="1" x14ac:dyDescent="0.25">
      <c r="S415" s="1"/>
      <c r="V415" s="133"/>
      <c r="W415" s="133"/>
      <c r="AF415" s="1"/>
      <c r="AN415" s="1"/>
      <c r="AV415" s="1"/>
      <c r="AW415" s="131"/>
      <c r="AX415" s="131"/>
      <c r="AY415" s="131"/>
      <c r="AZ415" s="131"/>
      <c r="BA415" s="131"/>
      <c r="BB415" s="131"/>
      <c r="BC415" s="131"/>
      <c r="BD415" s="132"/>
      <c r="BE415" s="131"/>
      <c r="BF415" s="131"/>
      <c r="BG415" s="131"/>
      <c r="BH415" s="131"/>
    </row>
    <row r="416" spans="19:60" s="20" customFormat="1" ht="22.5" customHeight="1" x14ac:dyDescent="0.25">
      <c r="S416" s="1"/>
      <c r="V416" s="133"/>
      <c r="W416" s="133"/>
      <c r="AF416" s="1"/>
      <c r="AN416" s="1"/>
      <c r="AV416" s="1"/>
      <c r="AW416" s="131"/>
      <c r="AX416" s="131"/>
      <c r="AY416" s="131"/>
      <c r="AZ416" s="131"/>
      <c r="BA416" s="131"/>
      <c r="BB416" s="131"/>
      <c r="BC416" s="131"/>
      <c r="BD416" s="132"/>
      <c r="BE416" s="131"/>
      <c r="BF416" s="131"/>
      <c r="BG416" s="131"/>
      <c r="BH416" s="131"/>
    </row>
    <row r="417" spans="19:60" s="20" customFormat="1" ht="22.5" customHeight="1" x14ac:dyDescent="0.25">
      <c r="S417" s="1"/>
      <c r="V417" s="133"/>
      <c r="W417" s="133"/>
      <c r="AF417" s="1"/>
      <c r="AN417" s="1"/>
      <c r="AV417" s="1"/>
      <c r="AW417" s="131"/>
      <c r="AX417" s="131"/>
      <c r="AY417" s="131"/>
      <c r="AZ417" s="131"/>
      <c r="BA417" s="131"/>
      <c r="BB417" s="131"/>
      <c r="BC417" s="131"/>
      <c r="BD417" s="132"/>
      <c r="BE417" s="131"/>
      <c r="BF417" s="131"/>
      <c r="BG417" s="131"/>
      <c r="BH417" s="131"/>
    </row>
    <row r="418" spans="19:60" s="20" customFormat="1" ht="22.5" customHeight="1" x14ac:dyDescent="0.25">
      <c r="S418" s="1"/>
      <c r="V418" s="133"/>
      <c r="W418" s="133"/>
      <c r="AF418" s="1"/>
      <c r="AN418" s="1"/>
      <c r="AV418" s="1"/>
      <c r="AW418" s="131"/>
      <c r="AX418" s="131"/>
      <c r="AY418" s="131"/>
      <c r="AZ418" s="131"/>
      <c r="BA418" s="131"/>
      <c r="BB418" s="131"/>
      <c r="BC418" s="131"/>
      <c r="BD418" s="132"/>
      <c r="BE418" s="131"/>
      <c r="BF418" s="131"/>
      <c r="BG418" s="131"/>
      <c r="BH418" s="131"/>
    </row>
    <row r="419" spans="19:60" s="20" customFormat="1" ht="22.5" customHeight="1" x14ac:dyDescent="0.25">
      <c r="S419" s="1"/>
      <c r="V419" s="133"/>
      <c r="W419" s="133"/>
      <c r="AF419" s="1"/>
      <c r="AN419" s="1"/>
      <c r="AV419" s="1"/>
      <c r="AW419" s="131"/>
      <c r="AX419" s="131"/>
      <c r="AY419" s="131"/>
      <c r="AZ419" s="131"/>
      <c r="BA419" s="131"/>
      <c r="BB419" s="131"/>
      <c r="BC419" s="131"/>
      <c r="BD419" s="132"/>
      <c r="BE419" s="131"/>
      <c r="BF419" s="131"/>
      <c r="BG419" s="131"/>
      <c r="BH419" s="131"/>
    </row>
    <row r="420" spans="19:60" s="20" customFormat="1" ht="22.5" customHeight="1" x14ac:dyDescent="0.25">
      <c r="S420" s="1"/>
      <c r="V420" s="133"/>
      <c r="W420" s="133"/>
      <c r="AF420" s="1"/>
      <c r="AN420" s="1"/>
      <c r="AV420" s="1"/>
      <c r="AW420" s="131"/>
      <c r="AX420" s="131"/>
      <c r="AY420" s="131"/>
      <c r="AZ420" s="131"/>
      <c r="BA420" s="131"/>
      <c r="BB420" s="131"/>
      <c r="BC420" s="131"/>
      <c r="BD420" s="132"/>
      <c r="BE420" s="131"/>
      <c r="BF420" s="131"/>
      <c r="BG420" s="131"/>
      <c r="BH420" s="131"/>
    </row>
    <row r="421" spans="19:60" s="20" customFormat="1" ht="22.5" customHeight="1" x14ac:dyDescent="0.25">
      <c r="S421" s="1"/>
      <c r="V421" s="133"/>
      <c r="W421" s="133"/>
      <c r="AF421" s="1"/>
      <c r="AN421" s="1"/>
      <c r="AV421" s="1"/>
      <c r="AW421" s="131"/>
      <c r="AX421" s="131"/>
      <c r="AY421" s="131"/>
      <c r="AZ421" s="131"/>
      <c r="BA421" s="131"/>
      <c r="BB421" s="131"/>
      <c r="BC421" s="131"/>
      <c r="BD421" s="132"/>
      <c r="BE421" s="131"/>
      <c r="BF421" s="131"/>
      <c r="BG421" s="131"/>
      <c r="BH421" s="131"/>
    </row>
    <row r="422" spans="19:60" s="20" customFormat="1" ht="22.5" customHeight="1" x14ac:dyDescent="0.25">
      <c r="S422" s="1"/>
      <c r="V422" s="133"/>
      <c r="W422" s="133"/>
      <c r="AF422" s="1"/>
      <c r="AN422" s="1"/>
      <c r="AV422" s="1"/>
      <c r="AW422" s="131"/>
      <c r="AX422" s="131"/>
      <c r="AY422" s="131"/>
      <c r="AZ422" s="131"/>
      <c r="BA422" s="131"/>
      <c r="BB422" s="131"/>
      <c r="BC422" s="131"/>
      <c r="BD422" s="132"/>
      <c r="BE422" s="131"/>
      <c r="BF422" s="131"/>
      <c r="BG422" s="131"/>
      <c r="BH422" s="131"/>
    </row>
    <row r="423" spans="19:60" s="20" customFormat="1" ht="22.5" customHeight="1" x14ac:dyDescent="0.25">
      <c r="S423" s="1"/>
      <c r="V423" s="133"/>
      <c r="W423" s="133"/>
      <c r="AF423" s="1"/>
      <c r="AN423" s="1"/>
      <c r="AV423" s="1"/>
      <c r="AW423" s="131"/>
      <c r="AX423" s="131"/>
      <c r="AY423" s="131"/>
      <c r="AZ423" s="131"/>
      <c r="BA423" s="131"/>
      <c r="BB423" s="131"/>
      <c r="BC423" s="131"/>
      <c r="BD423" s="132"/>
      <c r="BE423" s="131"/>
      <c r="BF423" s="131"/>
      <c r="BG423" s="131"/>
      <c r="BH423" s="131"/>
    </row>
    <row r="424" spans="19:60" s="20" customFormat="1" ht="22.5" customHeight="1" x14ac:dyDescent="0.25">
      <c r="S424" s="1"/>
      <c r="V424" s="133"/>
      <c r="W424" s="133"/>
      <c r="AF424" s="1"/>
      <c r="AN424" s="1"/>
      <c r="AV424" s="1"/>
      <c r="AW424" s="131"/>
      <c r="AX424" s="131"/>
      <c r="AY424" s="131"/>
      <c r="AZ424" s="131"/>
      <c r="BA424" s="131"/>
      <c r="BB424" s="131"/>
      <c r="BC424" s="131"/>
      <c r="BD424" s="132"/>
      <c r="BE424" s="131"/>
      <c r="BF424" s="131"/>
      <c r="BG424" s="131"/>
      <c r="BH424" s="131"/>
    </row>
    <row r="425" spans="19:60" s="20" customFormat="1" ht="22.5" customHeight="1" x14ac:dyDescent="0.25">
      <c r="S425" s="1"/>
      <c r="V425" s="133"/>
      <c r="W425" s="133"/>
      <c r="AF425" s="1"/>
      <c r="AN425" s="1"/>
      <c r="AV425" s="1"/>
      <c r="AW425" s="131"/>
      <c r="AX425" s="131"/>
      <c r="AY425" s="131"/>
      <c r="AZ425" s="131"/>
      <c r="BA425" s="131"/>
      <c r="BB425" s="131"/>
      <c r="BC425" s="131"/>
      <c r="BD425" s="132"/>
      <c r="BE425" s="131"/>
      <c r="BF425" s="131"/>
      <c r="BG425" s="131"/>
      <c r="BH425" s="131"/>
    </row>
    <row r="426" spans="19:60" s="20" customFormat="1" ht="22.5" customHeight="1" x14ac:dyDescent="0.25">
      <c r="S426" s="1"/>
      <c r="V426" s="133"/>
      <c r="W426" s="133"/>
      <c r="AF426" s="1"/>
      <c r="AN426" s="1"/>
      <c r="AV426" s="1"/>
      <c r="AW426" s="131"/>
      <c r="AX426" s="131"/>
      <c r="AY426" s="131"/>
      <c r="AZ426" s="131"/>
      <c r="BA426" s="131"/>
      <c r="BB426" s="131"/>
      <c r="BC426" s="131"/>
      <c r="BD426" s="132"/>
      <c r="BE426" s="131"/>
      <c r="BF426" s="131"/>
      <c r="BG426" s="131"/>
      <c r="BH426" s="131"/>
    </row>
    <row r="427" spans="19:60" s="20" customFormat="1" ht="22.5" customHeight="1" x14ac:dyDescent="0.25">
      <c r="S427" s="1"/>
      <c r="V427" s="133"/>
      <c r="W427" s="133"/>
      <c r="AF427" s="1"/>
      <c r="AN427" s="1"/>
      <c r="AV427" s="1"/>
      <c r="AW427" s="131"/>
      <c r="AX427" s="131"/>
      <c r="AY427" s="131"/>
      <c r="AZ427" s="131"/>
      <c r="BA427" s="131"/>
      <c r="BB427" s="131"/>
      <c r="BC427" s="131"/>
      <c r="BD427" s="132"/>
      <c r="BE427" s="131"/>
      <c r="BF427" s="131"/>
      <c r="BG427" s="131"/>
      <c r="BH427" s="131"/>
    </row>
    <row r="428" spans="19:60" s="20" customFormat="1" ht="22.5" customHeight="1" x14ac:dyDescent="0.25">
      <c r="S428" s="1"/>
      <c r="V428" s="133"/>
      <c r="W428" s="133"/>
      <c r="AF428" s="1"/>
      <c r="AN428" s="1"/>
      <c r="AV428" s="1"/>
      <c r="AW428" s="131"/>
      <c r="AX428" s="131"/>
      <c r="AY428" s="131"/>
      <c r="AZ428" s="131"/>
      <c r="BA428" s="131"/>
      <c r="BB428" s="131"/>
      <c r="BC428" s="131"/>
      <c r="BD428" s="132"/>
      <c r="BE428" s="131"/>
      <c r="BF428" s="131"/>
      <c r="BG428" s="131"/>
      <c r="BH428" s="131"/>
    </row>
    <row r="429" spans="19:60" s="20" customFormat="1" ht="22.5" customHeight="1" x14ac:dyDescent="0.25">
      <c r="S429" s="1"/>
      <c r="V429" s="133"/>
      <c r="W429" s="133"/>
      <c r="AF429" s="1"/>
      <c r="AN429" s="1"/>
      <c r="AV429" s="1"/>
      <c r="AW429" s="131"/>
      <c r="AX429" s="131"/>
      <c r="AY429" s="131"/>
      <c r="AZ429" s="131"/>
      <c r="BA429" s="131"/>
      <c r="BB429" s="131"/>
      <c r="BC429" s="131"/>
      <c r="BD429" s="132"/>
      <c r="BE429" s="131"/>
      <c r="BF429" s="131"/>
      <c r="BG429" s="131"/>
      <c r="BH429" s="131"/>
    </row>
    <row r="430" spans="19:60" s="20" customFormat="1" ht="22.5" customHeight="1" x14ac:dyDescent="0.25">
      <c r="S430" s="1"/>
      <c r="V430" s="133"/>
      <c r="W430" s="133"/>
      <c r="AF430" s="1"/>
      <c r="AN430" s="1"/>
      <c r="AV430" s="1"/>
      <c r="AW430" s="131"/>
      <c r="AX430" s="131"/>
      <c r="AY430" s="131"/>
      <c r="AZ430" s="131"/>
      <c r="BA430" s="131"/>
      <c r="BB430" s="131"/>
      <c r="BC430" s="131"/>
      <c r="BD430" s="132"/>
      <c r="BE430" s="131"/>
      <c r="BF430" s="131"/>
      <c r="BG430" s="131"/>
      <c r="BH430" s="131"/>
    </row>
    <row r="431" spans="19:60" s="20" customFormat="1" ht="22.5" customHeight="1" x14ac:dyDescent="0.25">
      <c r="S431" s="1"/>
      <c r="V431" s="133"/>
      <c r="W431" s="133"/>
      <c r="AF431" s="1"/>
      <c r="AN431" s="1"/>
      <c r="AV431" s="1"/>
      <c r="AW431" s="131"/>
      <c r="AX431" s="131"/>
      <c r="AY431" s="131"/>
      <c r="AZ431" s="131"/>
      <c r="BA431" s="131"/>
      <c r="BB431" s="131"/>
      <c r="BC431" s="131"/>
      <c r="BD431" s="132"/>
      <c r="BE431" s="131"/>
      <c r="BF431" s="131"/>
      <c r="BG431" s="131"/>
      <c r="BH431" s="131"/>
    </row>
    <row r="432" spans="19:60" s="20" customFormat="1" ht="22.5" customHeight="1" x14ac:dyDescent="0.25">
      <c r="S432" s="1"/>
      <c r="V432" s="133"/>
      <c r="W432" s="133"/>
      <c r="AF432" s="1"/>
      <c r="AN432" s="1"/>
      <c r="AV432" s="1"/>
      <c r="AW432" s="131"/>
      <c r="AX432" s="131"/>
      <c r="AY432" s="131"/>
      <c r="AZ432" s="131"/>
      <c r="BA432" s="131"/>
      <c r="BB432" s="131"/>
      <c r="BC432" s="131"/>
      <c r="BD432" s="132"/>
      <c r="BE432" s="131"/>
      <c r="BF432" s="131"/>
      <c r="BG432" s="131"/>
      <c r="BH432" s="131"/>
    </row>
    <row r="433" spans="19:60" s="20" customFormat="1" ht="22.5" customHeight="1" x14ac:dyDescent="0.25">
      <c r="S433" s="1"/>
      <c r="V433" s="133"/>
      <c r="W433" s="133"/>
      <c r="AF433" s="1"/>
      <c r="AN433" s="1"/>
      <c r="AV433" s="1"/>
      <c r="AW433" s="131"/>
      <c r="AX433" s="131"/>
      <c r="AY433" s="131"/>
      <c r="AZ433" s="131"/>
      <c r="BA433" s="131"/>
      <c r="BB433" s="131"/>
      <c r="BC433" s="131"/>
      <c r="BD433" s="132"/>
      <c r="BE433" s="131"/>
      <c r="BF433" s="131"/>
      <c r="BG433" s="131"/>
      <c r="BH433" s="131"/>
    </row>
    <row r="434" spans="19:60" s="20" customFormat="1" ht="22.5" customHeight="1" x14ac:dyDescent="0.25">
      <c r="S434" s="1"/>
      <c r="V434" s="133"/>
      <c r="W434" s="133"/>
      <c r="AF434" s="1"/>
      <c r="AN434" s="1"/>
      <c r="AV434" s="1"/>
      <c r="AW434" s="131"/>
      <c r="AX434" s="131"/>
      <c r="AY434" s="131"/>
      <c r="AZ434" s="131"/>
      <c r="BA434" s="131"/>
      <c r="BB434" s="131"/>
      <c r="BC434" s="131"/>
      <c r="BD434" s="132"/>
      <c r="BE434" s="131"/>
      <c r="BF434" s="131"/>
      <c r="BG434" s="131"/>
      <c r="BH434" s="131"/>
    </row>
    <row r="435" spans="19:60" s="20" customFormat="1" ht="22.5" customHeight="1" x14ac:dyDescent="0.25">
      <c r="S435" s="1"/>
      <c r="V435" s="133"/>
      <c r="W435" s="133"/>
      <c r="AF435" s="1"/>
      <c r="AN435" s="1"/>
      <c r="AV435" s="1"/>
      <c r="AW435" s="131"/>
      <c r="AX435" s="131"/>
      <c r="AY435" s="131"/>
      <c r="AZ435" s="131"/>
      <c r="BA435" s="131"/>
      <c r="BB435" s="131"/>
      <c r="BC435" s="131"/>
      <c r="BD435" s="132"/>
      <c r="BE435" s="131"/>
      <c r="BF435" s="131"/>
      <c r="BG435" s="131"/>
      <c r="BH435" s="131"/>
    </row>
    <row r="436" spans="19:60" s="20" customFormat="1" ht="22.5" customHeight="1" x14ac:dyDescent="0.25">
      <c r="S436" s="1"/>
      <c r="V436" s="133"/>
      <c r="W436" s="133"/>
      <c r="AF436" s="1"/>
      <c r="AN436" s="1"/>
      <c r="AV436" s="1"/>
      <c r="AW436" s="131"/>
      <c r="AX436" s="131"/>
      <c r="AY436" s="131"/>
      <c r="AZ436" s="131"/>
      <c r="BA436" s="131"/>
      <c r="BB436" s="131"/>
      <c r="BC436" s="131"/>
      <c r="BD436" s="132"/>
      <c r="BE436" s="131"/>
      <c r="BF436" s="131"/>
      <c r="BG436" s="131"/>
      <c r="BH436" s="131"/>
    </row>
    <row r="437" spans="19:60" s="20" customFormat="1" ht="22.5" customHeight="1" x14ac:dyDescent="0.25">
      <c r="S437" s="1"/>
      <c r="V437" s="133"/>
      <c r="W437" s="133"/>
      <c r="AF437" s="1"/>
      <c r="AN437" s="1"/>
      <c r="AV437" s="1"/>
      <c r="AW437" s="131"/>
      <c r="AX437" s="131"/>
      <c r="AY437" s="131"/>
      <c r="AZ437" s="131"/>
      <c r="BA437" s="131"/>
      <c r="BB437" s="131"/>
      <c r="BC437" s="131"/>
      <c r="BD437" s="132"/>
      <c r="BE437" s="131"/>
      <c r="BF437" s="131"/>
      <c r="BG437" s="131"/>
      <c r="BH437" s="131"/>
    </row>
    <row r="438" spans="19:60" s="20" customFormat="1" ht="22.5" customHeight="1" x14ac:dyDescent="0.25">
      <c r="S438" s="1"/>
      <c r="V438" s="133"/>
      <c r="W438" s="133"/>
      <c r="AF438" s="1"/>
      <c r="AN438" s="1"/>
      <c r="AV438" s="1"/>
      <c r="AW438" s="131"/>
      <c r="AX438" s="131"/>
      <c r="AY438" s="131"/>
      <c r="AZ438" s="131"/>
      <c r="BA438" s="131"/>
      <c r="BB438" s="131"/>
      <c r="BC438" s="131"/>
      <c r="BD438" s="132"/>
      <c r="BE438" s="131"/>
      <c r="BF438" s="131"/>
      <c r="BG438" s="131"/>
      <c r="BH438" s="131"/>
    </row>
    <row r="439" spans="19:60" s="20" customFormat="1" ht="22.5" customHeight="1" x14ac:dyDescent="0.25">
      <c r="S439" s="1"/>
      <c r="V439" s="133"/>
      <c r="W439" s="133"/>
      <c r="AF439" s="1"/>
      <c r="AN439" s="1"/>
      <c r="AV439" s="1"/>
      <c r="AW439" s="131"/>
      <c r="AX439" s="131"/>
      <c r="AY439" s="131"/>
      <c r="AZ439" s="131"/>
      <c r="BA439" s="131"/>
      <c r="BB439" s="131"/>
      <c r="BC439" s="131"/>
      <c r="BD439" s="132"/>
      <c r="BE439" s="131"/>
      <c r="BF439" s="131"/>
      <c r="BG439" s="131"/>
      <c r="BH439" s="131"/>
    </row>
    <row r="440" spans="19:60" s="20" customFormat="1" ht="22.5" customHeight="1" x14ac:dyDescent="0.25">
      <c r="S440" s="1"/>
      <c r="V440" s="133"/>
      <c r="W440" s="133"/>
      <c r="AF440" s="1"/>
      <c r="AN440" s="1"/>
      <c r="AV440" s="1"/>
      <c r="AW440" s="131"/>
      <c r="AX440" s="131"/>
      <c r="AY440" s="131"/>
      <c r="AZ440" s="131"/>
      <c r="BA440" s="131"/>
      <c r="BB440" s="131"/>
      <c r="BC440" s="131"/>
      <c r="BD440" s="132"/>
      <c r="BE440" s="131"/>
      <c r="BF440" s="131"/>
      <c r="BG440" s="131"/>
      <c r="BH440" s="131"/>
    </row>
    <row r="441" spans="19:60" s="20" customFormat="1" ht="22.5" customHeight="1" x14ac:dyDescent="0.25">
      <c r="S441" s="1"/>
      <c r="V441" s="133"/>
      <c r="W441" s="133"/>
      <c r="AF441" s="1"/>
      <c r="AN441" s="1"/>
      <c r="AV441" s="1"/>
      <c r="AW441" s="131"/>
      <c r="AX441" s="131"/>
      <c r="AY441" s="131"/>
      <c r="AZ441" s="131"/>
      <c r="BA441" s="131"/>
      <c r="BB441" s="131"/>
      <c r="BC441" s="131"/>
      <c r="BD441" s="132"/>
      <c r="BE441" s="131"/>
      <c r="BF441" s="131"/>
      <c r="BG441" s="131"/>
      <c r="BH441" s="131"/>
    </row>
    <row r="442" spans="19:60" s="20" customFormat="1" ht="22.5" customHeight="1" x14ac:dyDescent="0.25">
      <c r="S442" s="1"/>
      <c r="V442" s="133"/>
      <c r="W442" s="133"/>
      <c r="AF442" s="1"/>
      <c r="AN442" s="1"/>
      <c r="AV442" s="1"/>
      <c r="AW442" s="131"/>
      <c r="AX442" s="131"/>
      <c r="AY442" s="131"/>
      <c r="AZ442" s="131"/>
      <c r="BA442" s="131"/>
      <c r="BB442" s="131"/>
      <c r="BC442" s="131"/>
      <c r="BD442" s="132"/>
      <c r="BE442" s="131"/>
      <c r="BF442" s="131"/>
      <c r="BG442" s="131"/>
      <c r="BH442" s="131"/>
    </row>
    <row r="443" spans="19:60" s="20" customFormat="1" ht="22.5" customHeight="1" x14ac:dyDescent="0.25">
      <c r="S443" s="1"/>
      <c r="V443" s="133"/>
      <c r="W443" s="133"/>
      <c r="AF443" s="1"/>
      <c r="AN443" s="1"/>
      <c r="AV443" s="1"/>
      <c r="AW443" s="131"/>
      <c r="AX443" s="131"/>
      <c r="AY443" s="131"/>
      <c r="AZ443" s="131"/>
      <c r="BA443" s="131"/>
      <c r="BB443" s="131"/>
      <c r="BC443" s="131"/>
      <c r="BD443" s="132"/>
      <c r="BE443" s="131"/>
      <c r="BF443" s="131"/>
      <c r="BG443" s="131"/>
      <c r="BH443" s="131"/>
    </row>
    <row r="444" spans="19:60" s="20" customFormat="1" ht="22.5" customHeight="1" x14ac:dyDescent="0.25">
      <c r="S444" s="1"/>
      <c r="V444" s="133"/>
      <c r="W444" s="133"/>
      <c r="AF444" s="1"/>
      <c r="AN444" s="1"/>
      <c r="AV444" s="1"/>
      <c r="AW444" s="131"/>
      <c r="AX444" s="131"/>
      <c r="AY444" s="131"/>
      <c r="AZ444" s="131"/>
      <c r="BA444" s="131"/>
      <c r="BB444" s="131"/>
      <c r="BC444" s="131"/>
      <c r="BD444" s="132"/>
      <c r="BE444" s="131"/>
      <c r="BF444" s="131"/>
      <c r="BG444" s="131"/>
      <c r="BH444" s="131"/>
    </row>
    <row r="445" spans="19:60" s="20" customFormat="1" ht="22.5" customHeight="1" x14ac:dyDescent="0.25">
      <c r="S445" s="1"/>
      <c r="V445" s="133"/>
      <c r="W445" s="133"/>
      <c r="AF445" s="1"/>
      <c r="AN445" s="1"/>
      <c r="AV445" s="1"/>
      <c r="AW445" s="131"/>
      <c r="AX445" s="131"/>
      <c r="AY445" s="131"/>
      <c r="AZ445" s="131"/>
      <c r="BA445" s="131"/>
      <c r="BB445" s="131"/>
      <c r="BC445" s="131"/>
      <c r="BD445" s="132"/>
      <c r="BE445" s="131"/>
      <c r="BF445" s="131"/>
      <c r="BG445" s="131"/>
      <c r="BH445" s="131"/>
    </row>
    <row r="446" spans="19:60" s="20" customFormat="1" ht="22.5" customHeight="1" x14ac:dyDescent="0.25">
      <c r="S446" s="1"/>
      <c r="V446" s="133"/>
      <c r="W446" s="133"/>
      <c r="AF446" s="1"/>
      <c r="AN446" s="1"/>
      <c r="AV446" s="1"/>
      <c r="AW446" s="131"/>
      <c r="AX446" s="131"/>
      <c r="AY446" s="131"/>
      <c r="AZ446" s="131"/>
      <c r="BA446" s="131"/>
      <c r="BB446" s="131"/>
      <c r="BC446" s="131"/>
      <c r="BD446" s="132"/>
      <c r="BE446" s="131"/>
      <c r="BF446" s="131"/>
      <c r="BG446" s="131"/>
      <c r="BH446" s="131"/>
    </row>
    <row r="447" spans="19:60" s="20" customFormat="1" ht="22.5" customHeight="1" x14ac:dyDescent="0.25">
      <c r="S447" s="1"/>
      <c r="V447" s="133"/>
      <c r="W447" s="133"/>
      <c r="AF447" s="1"/>
      <c r="AN447" s="1"/>
      <c r="AV447" s="1"/>
      <c r="AW447" s="131"/>
      <c r="AX447" s="131"/>
      <c r="AY447" s="131"/>
      <c r="AZ447" s="131"/>
      <c r="BA447" s="131"/>
      <c r="BB447" s="131"/>
      <c r="BC447" s="131"/>
      <c r="BD447" s="132"/>
      <c r="BE447" s="131"/>
      <c r="BF447" s="131"/>
      <c r="BG447" s="131"/>
      <c r="BH447" s="131"/>
    </row>
    <row r="448" spans="19:60" s="20" customFormat="1" ht="22.5" customHeight="1" x14ac:dyDescent="0.25">
      <c r="S448" s="1"/>
      <c r="V448" s="133"/>
      <c r="W448" s="133"/>
      <c r="AF448" s="1"/>
      <c r="AN448" s="1"/>
      <c r="AV448" s="1"/>
      <c r="AW448" s="131"/>
      <c r="AX448" s="131"/>
      <c r="AY448" s="131"/>
      <c r="AZ448" s="131"/>
      <c r="BA448" s="131"/>
      <c r="BB448" s="131"/>
      <c r="BC448" s="131"/>
      <c r="BD448" s="132"/>
      <c r="BE448" s="131"/>
      <c r="BF448" s="131"/>
      <c r="BG448" s="131"/>
      <c r="BH448" s="131"/>
    </row>
    <row r="449" spans="19:60" s="20" customFormat="1" ht="22.5" customHeight="1" x14ac:dyDescent="0.25">
      <c r="S449" s="1"/>
      <c r="V449" s="133"/>
      <c r="W449" s="133"/>
      <c r="AF449" s="1"/>
      <c r="AN449" s="1"/>
      <c r="AV449" s="1"/>
      <c r="AW449" s="131"/>
      <c r="AX449" s="131"/>
      <c r="AY449" s="131"/>
      <c r="AZ449" s="131"/>
      <c r="BA449" s="131"/>
      <c r="BB449" s="131"/>
      <c r="BC449" s="131"/>
      <c r="BD449" s="132"/>
      <c r="BE449" s="131"/>
      <c r="BF449" s="131"/>
      <c r="BG449" s="131"/>
      <c r="BH449" s="131"/>
    </row>
    <row r="450" spans="19:60" s="20" customFormat="1" ht="22.5" customHeight="1" x14ac:dyDescent="0.25">
      <c r="S450" s="1"/>
      <c r="V450" s="133"/>
      <c r="W450" s="133"/>
      <c r="AF450" s="1"/>
      <c r="AN450" s="1"/>
      <c r="AV450" s="1"/>
      <c r="AW450" s="131"/>
      <c r="AX450" s="131"/>
      <c r="AY450" s="131"/>
      <c r="AZ450" s="131"/>
      <c r="BA450" s="131"/>
      <c r="BB450" s="131"/>
      <c r="BC450" s="131"/>
      <c r="BD450" s="132"/>
      <c r="BE450" s="131"/>
      <c r="BF450" s="131"/>
      <c r="BG450" s="131"/>
      <c r="BH450" s="131"/>
    </row>
    <row r="451" spans="19:60" s="20" customFormat="1" ht="22.5" customHeight="1" x14ac:dyDescent="0.25">
      <c r="S451" s="1"/>
      <c r="V451" s="133"/>
      <c r="W451" s="133"/>
      <c r="AF451" s="1"/>
      <c r="AN451" s="1"/>
      <c r="AV451" s="1"/>
      <c r="AW451" s="131"/>
      <c r="AX451" s="131"/>
      <c r="AY451" s="131"/>
      <c r="AZ451" s="131"/>
      <c r="BA451" s="131"/>
      <c r="BB451" s="131"/>
      <c r="BC451" s="131"/>
      <c r="BD451" s="132"/>
      <c r="BE451" s="131"/>
      <c r="BF451" s="131"/>
      <c r="BG451" s="131"/>
      <c r="BH451" s="131"/>
    </row>
    <row r="452" spans="19:60" s="20" customFormat="1" ht="22.5" customHeight="1" x14ac:dyDescent="0.25">
      <c r="S452" s="1"/>
      <c r="V452" s="133"/>
      <c r="W452" s="133"/>
      <c r="AF452" s="1"/>
      <c r="AN452" s="1"/>
      <c r="AV452" s="1"/>
      <c r="AW452" s="131"/>
      <c r="AX452" s="131"/>
      <c r="AY452" s="131"/>
      <c r="AZ452" s="131"/>
      <c r="BA452" s="131"/>
      <c r="BB452" s="131"/>
      <c r="BC452" s="131"/>
      <c r="BD452" s="132"/>
      <c r="BE452" s="131"/>
      <c r="BF452" s="131"/>
      <c r="BG452" s="131"/>
      <c r="BH452" s="131"/>
    </row>
    <row r="453" spans="19:60" s="20" customFormat="1" ht="22.5" customHeight="1" x14ac:dyDescent="0.25">
      <c r="S453" s="1"/>
      <c r="V453" s="133"/>
      <c r="W453" s="133"/>
      <c r="AF453" s="1"/>
      <c r="AN453" s="1"/>
      <c r="AV453" s="1"/>
      <c r="AW453" s="131"/>
      <c r="AX453" s="131"/>
      <c r="AY453" s="131"/>
      <c r="AZ453" s="131"/>
      <c r="BA453" s="131"/>
      <c r="BB453" s="131"/>
      <c r="BC453" s="131"/>
      <c r="BD453" s="132"/>
      <c r="BE453" s="131"/>
      <c r="BF453" s="131"/>
      <c r="BG453" s="131"/>
      <c r="BH453" s="131"/>
    </row>
    <row r="454" spans="19:60" s="20" customFormat="1" ht="22.5" customHeight="1" x14ac:dyDescent="0.25">
      <c r="S454" s="1"/>
      <c r="V454" s="133"/>
      <c r="W454" s="133"/>
      <c r="AF454" s="1"/>
      <c r="AN454" s="1"/>
      <c r="AV454" s="1"/>
      <c r="AW454" s="131"/>
      <c r="AX454" s="131"/>
      <c r="AY454" s="131"/>
      <c r="AZ454" s="131"/>
      <c r="BA454" s="131"/>
      <c r="BB454" s="131"/>
      <c r="BC454" s="131"/>
      <c r="BD454" s="132"/>
      <c r="BE454" s="131"/>
      <c r="BF454" s="131"/>
      <c r="BG454" s="131"/>
      <c r="BH454" s="131"/>
    </row>
    <row r="455" spans="19:60" s="20" customFormat="1" ht="22.5" customHeight="1" x14ac:dyDescent="0.25">
      <c r="S455" s="1"/>
      <c r="V455" s="133"/>
      <c r="W455" s="133"/>
      <c r="AF455" s="1"/>
      <c r="AN455" s="1"/>
      <c r="AV455" s="1"/>
      <c r="AW455" s="131"/>
      <c r="AX455" s="131"/>
      <c r="AY455" s="131"/>
      <c r="AZ455" s="131"/>
      <c r="BA455" s="131"/>
      <c r="BB455" s="131"/>
      <c r="BC455" s="131"/>
      <c r="BD455" s="132"/>
      <c r="BE455" s="131"/>
      <c r="BF455" s="131"/>
      <c r="BG455" s="131"/>
      <c r="BH455" s="131"/>
    </row>
    <row r="456" spans="19:60" s="20" customFormat="1" ht="22.5" customHeight="1" x14ac:dyDescent="0.25">
      <c r="S456" s="1"/>
      <c r="V456" s="133"/>
      <c r="W456" s="133"/>
      <c r="AF456" s="1"/>
      <c r="AN456" s="1"/>
      <c r="AV456" s="1"/>
      <c r="AW456" s="131"/>
      <c r="AX456" s="131"/>
      <c r="AY456" s="131"/>
      <c r="AZ456" s="131"/>
      <c r="BA456" s="131"/>
      <c r="BB456" s="131"/>
      <c r="BC456" s="131"/>
      <c r="BD456" s="132"/>
      <c r="BE456" s="131"/>
      <c r="BF456" s="131"/>
      <c r="BG456" s="131"/>
      <c r="BH456" s="131"/>
    </row>
    <row r="457" spans="19:60" s="20" customFormat="1" ht="22.5" customHeight="1" x14ac:dyDescent="0.25">
      <c r="S457" s="1"/>
      <c r="V457" s="133"/>
      <c r="W457" s="133"/>
      <c r="AF457" s="1"/>
      <c r="AN457" s="1"/>
      <c r="AV457" s="1"/>
      <c r="AW457" s="131"/>
      <c r="AX457" s="131"/>
      <c r="AY457" s="131"/>
      <c r="AZ457" s="131"/>
      <c r="BA457" s="131"/>
      <c r="BB457" s="131"/>
      <c r="BC457" s="131"/>
      <c r="BD457" s="132"/>
      <c r="BE457" s="131"/>
      <c r="BF457" s="131"/>
      <c r="BG457" s="131"/>
      <c r="BH457" s="131"/>
    </row>
    <row r="458" spans="19:60" s="20" customFormat="1" ht="22.5" customHeight="1" x14ac:dyDescent="0.25">
      <c r="S458" s="1"/>
      <c r="V458" s="133"/>
      <c r="W458" s="133"/>
      <c r="AF458" s="1"/>
      <c r="AN458" s="1"/>
      <c r="AV458" s="1"/>
      <c r="AW458" s="131"/>
      <c r="AX458" s="131"/>
      <c r="AY458" s="131"/>
      <c r="AZ458" s="131"/>
      <c r="BA458" s="131"/>
      <c r="BB458" s="131"/>
      <c r="BC458" s="131"/>
      <c r="BD458" s="132"/>
      <c r="BE458" s="131"/>
      <c r="BF458" s="131"/>
      <c r="BG458" s="131"/>
      <c r="BH458" s="131"/>
    </row>
    <row r="459" spans="19:60" s="20" customFormat="1" ht="22.5" customHeight="1" x14ac:dyDescent="0.25">
      <c r="S459" s="1"/>
      <c r="V459" s="133"/>
      <c r="W459" s="133"/>
      <c r="AF459" s="1"/>
      <c r="AN459" s="1"/>
      <c r="AV459" s="1"/>
      <c r="AW459" s="131"/>
      <c r="AX459" s="131"/>
      <c r="AY459" s="131"/>
      <c r="AZ459" s="131"/>
      <c r="BA459" s="131"/>
      <c r="BB459" s="131"/>
      <c r="BC459" s="131"/>
      <c r="BD459" s="132"/>
      <c r="BE459" s="131"/>
      <c r="BF459" s="131"/>
      <c r="BG459" s="131"/>
      <c r="BH459" s="131"/>
    </row>
    <row r="460" spans="19:60" s="20" customFormat="1" ht="22.5" customHeight="1" x14ac:dyDescent="0.25">
      <c r="S460" s="1"/>
      <c r="V460" s="133"/>
      <c r="W460" s="133"/>
      <c r="AF460" s="1"/>
      <c r="AN460" s="1"/>
      <c r="AV460" s="1"/>
      <c r="AW460" s="131"/>
      <c r="AX460" s="131"/>
      <c r="AY460" s="131"/>
      <c r="AZ460" s="131"/>
      <c r="BA460" s="131"/>
      <c r="BB460" s="131"/>
      <c r="BC460" s="131"/>
      <c r="BD460" s="132"/>
      <c r="BE460" s="131"/>
      <c r="BF460" s="131"/>
      <c r="BG460" s="131"/>
      <c r="BH460" s="131"/>
    </row>
    <row r="461" spans="19:60" s="20" customFormat="1" ht="22.5" customHeight="1" x14ac:dyDescent="0.25">
      <c r="S461" s="1"/>
      <c r="V461" s="133"/>
      <c r="W461" s="133"/>
      <c r="AF461" s="1"/>
      <c r="AN461" s="1"/>
      <c r="AV461" s="1"/>
      <c r="AW461" s="131"/>
      <c r="AX461" s="131"/>
      <c r="AY461" s="131"/>
      <c r="AZ461" s="131"/>
      <c r="BA461" s="131"/>
      <c r="BB461" s="131"/>
      <c r="BC461" s="131"/>
      <c r="BD461" s="132"/>
      <c r="BE461" s="131"/>
      <c r="BF461" s="131"/>
      <c r="BG461" s="131"/>
      <c r="BH461" s="131"/>
    </row>
    <row r="462" spans="19:60" s="20" customFormat="1" ht="22.5" customHeight="1" x14ac:dyDescent="0.25">
      <c r="S462" s="1"/>
      <c r="V462" s="133"/>
      <c r="W462" s="133"/>
      <c r="AF462" s="1"/>
      <c r="AN462" s="1"/>
      <c r="AV462" s="1"/>
      <c r="AW462" s="131"/>
      <c r="AX462" s="131"/>
      <c r="AY462" s="131"/>
      <c r="AZ462" s="131"/>
      <c r="BA462" s="131"/>
      <c r="BB462" s="131"/>
      <c r="BC462" s="131"/>
      <c r="BD462" s="132"/>
      <c r="BE462" s="131"/>
      <c r="BF462" s="131"/>
      <c r="BG462" s="131"/>
      <c r="BH462" s="131"/>
    </row>
    <row r="463" spans="19:60" s="20" customFormat="1" ht="22.5" customHeight="1" x14ac:dyDescent="0.25">
      <c r="S463" s="1"/>
      <c r="V463" s="133"/>
      <c r="W463" s="133"/>
      <c r="AF463" s="1"/>
      <c r="AN463" s="1"/>
      <c r="AV463" s="1"/>
      <c r="AW463" s="131"/>
      <c r="AX463" s="131"/>
      <c r="AY463" s="131"/>
      <c r="AZ463" s="131"/>
      <c r="BA463" s="131"/>
      <c r="BB463" s="131"/>
      <c r="BC463" s="131"/>
      <c r="BD463" s="132"/>
      <c r="BE463" s="131"/>
      <c r="BF463" s="131"/>
      <c r="BG463" s="131"/>
      <c r="BH463" s="131"/>
    </row>
    <row r="464" spans="19:60" s="20" customFormat="1" ht="22.5" customHeight="1" x14ac:dyDescent="0.25">
      <c r="S464" s="1"/>
      <c r="V464" s="133"/>
      <c r="W464" s="133"/>
      <c r="AF464" s="1"/>
      <c r="AN464" s="1"/>
      <c r="AV464" s="1"/>
      <c r="AW464" s="131"/>
      <c r="AX464" s="131"/>
      <c r="AY464" s="131"/>
      <c r="AZ464" s="131"/>
      <c r="BA464" s="131"/>
      <c r="BB464" s="131"/>
      <c r="BC464" s="131"/>
      <c r="BD464" s="132"/>
      <c r="BE464" s="131"/>
      <c r="BF464" s="131"/>
      <c r="BG464" s="131"/>
      <c r="BH464" s="131"/>
    </row>
    <row r="465" spans="19:60" s="20" customFormat="1" ht="22.5" customHeight="1" x14ac:dyDescent="0.25">
      <c r="S465" s="1"/>
      <c r="V465" s="133"/>
      <c r="W465" s="133"/>
      <c r="AF465" s="1"/>
      <c r="AN465" s="1"/>
      <c r="AV465" s="1"/>
      <c r="AW465" s="131"/>
      <c r="AX465" s="131"/>
      <c r="AY465" s="131"/>
      <c r="AZ465" s="131"/>
      <c r="BA465" s="131"/>
      <c r="BB465" s="131"/>
      <c r="BC465" s="131"/>
      <c r="BD465" s="132"/>
      <c r="BE465" s="131"/>
      <c r="BF465" s="131"/>
      <c r="BG465" s="131"/>
      <c r="BH465" s="131"/>
    </row>
    <row r="466" spans="19:60" s="20" customFormat="1" ht="22.5" customHeight="1" x14ac:dyDescent="0.25">
      <c r="S466" s="1"/>
      <c r="V466" s="133"/>
      <c r="W466" s="133"/>
      <c r="AF466" s="1"/>
      <c r="AN466" s="1"/>
      <c r="AV466" s="1"/>
      <c r="AW466" s="131"/>
      <c r="AX466" s="131"/>
      <c r="AY466" s="131"/>
      <c r="AZ466" s="131"/>
      <c r="BA466" s="131"/>
      <c r="BB466" s="131"/>
      <c r="BC466" s="131"/>
      <c r="BD466" s="132"/>
      <c r="BE466" s="131"/>
      <c r="BF466" s="131"/>
      <c r="BG466" s="131"/>
      <c r="BH466" s="131"/>
    </row>
    <row r="467" spans="19:60" s="20" customFormat="1" ht="22.5" customHeight="1" x14ac:dyDescent="0.25">
      <c r="S467" s="1"/>
      <c r="V467" s="133"/>
      <c r="W467" s="133"/>
      <c r="AF467" s="1"/>
      <c r="AN467" s="1"/>
      <c r="AV467" s="1"/>
      <c r="AW467" s="131"/>
      <c r="AX467" s="131"/>
      <c r="AY467" s="131"/>
      <c r="AZ467" s="131"/>
      <c r="BA467" s="131"/>
      <c r="BB467" s="131"/>
      <c r="BC467" s="131"/>
      <c r="BD467" s="132"/>
      <c r="BE467" s="131"/>
      <c r="BF467" s="131"/>
      <c r="BG467" s="131"/>
      <c r="BH467" s="131"/>
    </row>
    <row r="468" spans="19:60" s="20" customFormat="1" ht="22.5" customHeight="1" x14ac:dyDescent="0.25">
      <c r="S468" s="1"/>
      <c r="V468" s="133"/>
      <c r="W468" s="133"/>
      <c r="AF468" s="1"/>
      <c r="AN468" s="1"/>
      <c r="AV468" s="1"/>
      <c r="AW468" s="131"/>
      <c r="AX468" s="131"/>
      <c r="AY468" s="131"/>
      <c r="AZ468" s="131"/>
      <c r="BA468" s="131"/>
      <c r="BB468" s="131"/>
      <c r="BC468" s="131"/>
      <c r="BD468" s="132"/>
      <c r="BE468" s="131"/>
      <c r="BF468" s="131"/>
      <c r="BG468" s="131"/>
      <c r="BH468" s="131"/>
    </row>
    <row r="469" spans="19:60" s="20" customFormat="1" ht="22.5" customHeight="1" x14ac:dyDescent="0.25">
      <c r="S469" s="1"/>
      <c r="V469" s="133"/>
      <c r="W469" s="133"/>
      <c r="AF469" s="1"/>
      <c r="AN469" s="1"/>
      <c r="AV469" s="1"/>
      <c r="AW469" s="131"/>
      <c r="AX469" s="131"/>
      <c r="AY469" s="131"/>
      <c r="AZ469" s="131"/>
      <c r="BA469" s="131"/>
      <c r="BB469" s="131"/>
      <c r="BC469" s="131"/>
      <c r="BD469" s="132"/>
      <c r="BE469" s="131"/>
      <c r="BF469" s="131"/>
      <c r="BG469" s="131"/>
      <c r="BH469" s="131"/>
    </row>
    <row r="470" spans="19:60" s="20" customFormat="1" ht="22.5" customHeight="1" x14ac:dyDescent="0.25">
      <c r="S470" s="1"/>
      <c r="V470" s="133"/>
      <c r="W470" s="133"/>
      <c r="AF470" s="1"/>
      <c r="AN470" s="1"/>
      <c r="AV470" s="1"/>
      <c r="AW470" s="131"/>
      <c r="AX470" s="131"/>
      <c r="AY470" s="131"/>
      <c r="AZ470" s="131"/>
      <c r="BA470" s="131"/>
      <c r="BB470" s="131"/>
      <c r="BC470" s="131"/>
      <c r="BD470" s="132"/>
      <c r="BE470" s="131"/>
      <c r="BF470" s="131"/>
      <c r="BG470" s="131"/>
      <c r="BH470" s="131"/>
    </row>
    <row r="471" spans="19:60" s="20" customFormat="1" ht="22.5" customHeight="1" x14ac:dyDescent="0.25">
      <c r="S471" s="1"/>
      <c r="V471" s="133"/>
      <c r="W471" s="133"/>
      <c r="AF471" s="1"/>
      <c r="AN471" s="1"/>
      <c r="AV471" s="1"/>
      <c r="AW471" s="131"/>
      <c r="AX471" s="131"/>
      <c r="AY471" s="131"/>
      <c r="AZ471" s="131"/>
      <c r="BA471" s="131"/>
      <c r="BB471" s="131"/>
      <c r="BC471" s="131"/>
      <c r="BD471" s="132"/>
      <c r="BE471" s="131"/>
      <c r="BF471" s="131"/>
      <c r="BG471" s="131"/>
      <c r="BH471" s="131"/>
    </row>
    <row r="472" spans="19:60" s="20" customFormat="1" ht="22.5" customHeight="1" x14ac:dyDescent="0.25">
      <c r="S472" s="1"/>
      <c r="V472" s="133"/>
      <c r="W472" s="133"/>
      <c r="AF472" s="1"/>
      <c r="AN472" s="1"/>
      <c r="AV472" s="1"/>
      <c r="AW472" s="131"/>
      <c r="AX472" s="131"/>
      <c r="AY472" s="131"/>
      <c r="AZ472" s="131"/>
      <c r="BA472" s="131"/>
      <c r="BB472" s="131"/>
      <c r="BC472" s="131"/>
      <c r="BD472" s="132"/>
      <c r="BE472" s="131"/>
      <c r="BF472" s="131"/>
      <c r="BG472" s="131"/>
      <c r="BH472" s="131"/>
    </row>
    <row r="473" spans="19:60" s="20" customFormat="1" ht="22.5" customHeight="1" x14ac:dyDescent="0.25">
      <c r="S473" s="1"/>
      <c r="V473" s="133"/>
      <c r="W473" s="133"/>
      <c r="AF473" s="1"/>
      <c r="AN473" s="1"/>
      <c r="AV473" s="1"/>
      <c r="AW473" s="131"/>
      <c r="AX473" s="131"/>
      <c r="AY473" s="131"/>
      <c r="AZ473" s="131"/>
      <c r="BA473" s="131"/>
      <c r="BB473" s="131"/>
      <c r="BC473" s="131"/>
      <c r="BD473" s="132"/>
      <c r="BE473" s="131"/>
      <c r="BF473" s="131"/>
      <c r="BG473" s="131"/>
      <c r="BH473" s="131"/>
    </row>
    <row r="474" spans="19:60" s="20" customFormat="1" ht="22.5" customHeight="1" x14ac:dyDescent="0.25">
      <c r="S474" s="1"/>
      <c r="V474" s="133"/>
      <c r="W474" s="133"/>
      <c r="AF474" s="1"/>
      <c r="AN474" s="1"/>
      <c r="AV474" s="1"/>
      <c r="AW474" s="131"/>
      <c r="AX474" s="131"/>
      <c r="AY474" s="131"/>
      <c r="AZ474" s="131"/>
      <c r="BA474" s="131"/>
      <c r="BB474" s="131"/>
      <c r="BC474" s="131"/>
      <c r="BD474" s="132"/>
      <c r="BE474" s="131"/>
      <c r="BF474" s="131"/>
      <c r="BG474" s="131"/>
      <c r="BH474" s="131"/>
    </row>
    <row r="475" spans="19:60" s="20" customFormat="1" ht="22.5" customHeight="1" x14ac:dyDescent="0.25">
      <c r="S475" s="1"/>
      <c r="V475" s="133"/>
      <c r="W475" s="133"/>
      <c r="AF475" s="1"/>
      <c r="AN475" s="1"/>
      <c r="AV475" s="1"/>
      <c r="AW475" s="131"/>
      <c r="AX475" s="131"/>
      <c r="AY475" s="131"/>
      <c r="AZ475" s="131"/>
      <c r="BA475" s="131"/>
      <c r="BB475" s="131"/>
      <c r="BC475" s="131"/>
      <c r="BD475" s="132"/>
      <c r="BE475" s="131"/>
      <c r="BF475" s="131"/>
      <c r="BG475" s="131"/>
      <c r="BH475" s="131"/>
    </row>
    <row r="476" spans="19:60" s="20" customFormat="1" ht="22.5" customHeight="1" x14ac:dyDescent="0.25">
      <c r="S476" s="1"/>
      <c r="V476" s="133"/>
      <c r="W476" s="133"/>
      <c r="AF476" s="1"/>
      <c r="AN476" s="1"/>
      <c r="AV476" s="1"/>
      <c r="AW476" s="131"/>
      <c r="AX476" s="131"/>
      <c r="AY476" s="131"/>
      <c r="AZ476" s="131"/>
      <c r="BA476" s="131"/>
      <c r="BB476" s="131"/>
      <c r="BC476" s="131"/>
      <c r="BD476" s="132"/>
      <c r="BE476" s="131"/>
      <c r="BF476" s="131"/>
      <c r="BG476" s="131"/>
      <c r="BH476" s="131"/>
    </row>
    <row r="477" spans="19:60" s="20" customFormat="1" ht="22.5" customHeight="1" x14ac:dyDescent="0.25">
      <c r="S477" s="1"/>
      <c r="V477" s="133"/>
      <c r="W477" s="133"/>
      <c r="AF477" s="1"/>
      <c r="AN477" s="1"/>
      <c r="AV477" s="1"/>
      <c r="AW477" s="131"/>
      <c r="AX477" s="131"/>
      <c r="AY477" s="131"/>
      <c r="AZ477" s="131"/>
      <c r="BA477" s="131"/>
      <c r="BB477" s="131"/>
      <c r="BC477" s="131"/>
      <c r="BD477" s="132"/>
      <c r="BE477" s="131"/>
      <c r="BF477" s="131"/>
      <c r="BG477" s="131"/>
      <c r="BH477" s="131"/>
    </row>
    <row r="478" spans="19:60" s="20" customFormat="1" ht="22.5" customHeight="1" x14ac:dyDescent="0.25">
      <c r="S478" s="1"/>
      <c r="V478" s="133"/>
      <c r="W478" s="133"/>
      <c r="AF478" s="1"/>
      <c r="AN478" s="1"/>
      <c r="AV478" s="1"/>
      <c r="AW478" s="131"/>
      <c r="AX478" s="131"/>
      <c r="AY478" s="131"/>
      <c r="AZ478" s="131"/>
      <c r="BA478" s="131"/>
      <c r="BB478" s="131"/>
      <c r="BC478" s="131"/>
      <c r="BD478" s="132"/>
      <c r="BE478" s="131"/>
      <c r="BF478" s="131"/>
      <c r="BG478" s="131"/>
      <c r="BH478" s="131"/>
    </row>
    <row r="479" spans="19:60" s="20" customFormat="1" ht="22.5" customHeight="1" x14ac:dyDescent="0.25">
      <c r="S479" s="1"/>
      <c r="V479" s="133"/>
      <c r="W479" s="133"/>
      <c r="AF479" s="1"/>
      <c r="AN479" s="1"/>
      <c r="AV479" s="1"/>
      <c r="AW479" s="131"/>
      <c r="AX479" s="131"/>
      <c r="AY479" s="131"/>
      <c r="AZ479" s="131"/>
      <c r="BA479" s="131"/>
      <c r="BB479" s="131"/>
      <c r="BC479" s="131"/>
      <c r="BD479" s="132"/>
      <c r="BE479" s="131"/>
      <c r="BF479" s="131"/>
      <c r="BG479" s="131"/>
      <c r="BH479" s="131"/>
    </row>
    <row r="480" spans="19:60" s="20" customFormat="1" ht="22.5" customHeight="1" x14ac:dyDescent="0.25">
      <c r="S480" s="1"/>
      <c r="V480" s="133"/>
      <c r="W480" s="133"/>
      <c r="AF480" s="1"/>
      <c r="AN480" s="1"/>
      <c r="AV480" s="1"/>
      <c r="AW480" s="131"/>
      <c r="AX480" s="131"/>
      <c r="AY480" s="131"/>
      <c r="AZ480" s="131"/>
      <c r="BA480" s="131"/>
      <c r="BB480" s="131"/>
      <c r="BC480" s="131"/>
      <c r="BD480" s="132"/>
      <c r="BE480" s="131"/>
      <c r="BF480" s="131"/>
      <c r="BG480" s="131"/>
      <c r="BH480" s="131"/>
    </row>
    <row r="481" spans="19:60" s="20" customFormat="1" ht="22.5" customHeight="1" x14ac:dyDescent="0.25">
      <c r="S481" s="1"/>
      <c r="V481" s="133"/>
      <c r="W481" s="133"/>
      <c r="AF481" s="1"/>
      <c r="AN481" s="1"/>
      <c r="AV481" s="1"/>
      <c r="AW481" s="131"/>
      <c r="AX481" s="131"/>
      <c r="AY481" s="131"/>
      <c r="AZ481" s="131"/>
      <c r="BA481" s="131"/>
      <c r="BB481" s="131"/>
      <c r="BC481" s="131"/>
      <c r="BD481" s="132"/>
      <c r="BE481" s="131"/>
      <c r="BF481" s="131"/>
      <c r="BG481" s="131"/>
      <c r="BH481" s="131"/>
    </row>
    <row r="482" spans="19:60" s="20" customFormat="1" ht="22.5" customHeight="1" x14ac:dyDescent="0.25">
      <c r="S482" s="1"/>
      <c r="V482" s="133"/>
      <c r="W482" s="133"/>
      <c r="AF482" s="1"/>
      <c r="AN482" s="1"/>
      <c r="AV482" s="1"/>
      <c r="AW482" s="131"/>
      <c r="AX482" s="131"/>
      <c r="AY482" s="131"/>
      <c r="AZ482" s="131"/>
      <c r="BA482" s="131"/>
      <c r="BB482" s="131"/>
      <c r="BC482" s="131"/>
      <c r="BD482" s="132"/>
      <c r="BE482" s="131"/>
      <c r="BF482" s="131"/>
      <c r="BG482" s="131"/>
      <c r="BH482" s="131"/>
    </row>
    <row r="483" spans="19:60" s="20" customFormat="1" ht="22.5" customHeight="1" x14ac:dyDescent="0.25">
      <c r="S483" s="1"/>
      <c r="V483" s="133"/>
      <c r="W483" s="133"/>
      <c r="AF483" s="1"/>
      <c r="AN483" s="1"/>
      <c r="AV483" s="1"/>
      <c r="AW483" s="131"/>
      <c r="AX483" s="131"/>
      <c r="AY483" s="131"/>
      <c r="AZ483" s="131"/>
      <c r="BA483" s="131"/>
      <c r="BB483" s="131"/>
      <c r="BC483" s="131"/>
      <c r="BD483" s="132"/>
      <c r="BE483" s="131"/>
      <c r="BF483" s="131"/>
      <c r="BG483" s="131"/>
      <c r="BH483" s="131"/>
    </row>
    <row r="484" spans="19:60" s="20" customFormat="1" ht="22.5" customHeight="1" x14ac:dyDescent="0.25">
      <c r="S484" s="1"/>
      <c r="V484" s="133"/>
      <c r="W484" s="133"/>
      <c r="AF484" s="1"/>
      <c r="AN484" s="1"/>
      <c r="AV484" s="1"/>
      <c r="AW484" s="131"/>
      <c r="AX484" s="131"/>
      <c r="AY484" s="131"/>
      <c r="AZ484" s="131"/>
      <c r="BA484" s="131"/>
      <c r="BB484" s="131"/>
      <c r="BC484" s="131"/>
      <c r="BD484" s="132"/>
      <c r="BE484" s="131"/>
      <c r="BF484" s="131"/>
      <c r="BG484" s="131"/>
      <c r="BH484" s="131"/>
    </row>
    <row r="485" spans="19:60" s="20" customFormat="1" ht="22.5" customHeight="1" x14ac:dyDescent="0.25">
      <c r="S485" s="1"/>
      <c r="V485" s="133"/>
      <c r="W485" s="133"/>
      <c r="AF485" s="1"/>
      <c r="AN485" s="1"/>
      <c r="AV485" s="1"/>
      <c r="AW485" s="131"/>
      <c r="AX485" s="131"/>
      <c r="AY485" s="131"/>
      <c r="AZ485" s="131"/>
      <c r="BA485" s="131"/>
      <c r="BB485" s="131"/>
      <c r="BC485" s="131"/>
      <c r="BD485" s="132"/>
      <c r="BE485" s="131"/>
      <c r="BF485" s="131"/>
      <c r="BG485" s="131"/>
      <c r="BH485" s="131"/>
    </row>
    <row r="486" spans="19:60" s="20" customFormat="1" ht="22.5" customHeight="1" x14ac:dyDescent="0.25">
      <c r="S486" s="1"/>
      <c r="V486" s="133"/>
      <c r="W486" s="133"/>
      <c r="AF486" s="1"/>
      <c r="AN486" s="1"/>
      <c r="AV486" s="1"/>
      <c r="AW486" s="131"/>
      <c r="AX486" s="131"/>
      <c r="AY486" s="131"/>
      <c r="AZ486" s="131"/>
      <c r="BA486" s="131"/>
      <c r="BB486" s="131"/>
      <c r="BC486" s="131"/>
      <c r="BD486" s="132"/>
      <c r="BE486" s="131"/>
      <c r="BF486" s="131"/>
      <c r="BG486" s="131"/>
      <c r="BH486" s="131"/>
    </row>
    <row r="487" spans="19:60" s="20" customFormat="1" ht="22.5" customHeight="1" x14ac:dyDescent="0.25">
      <c r="S487" s="1"/>
      <c r="V487" s="133"/>
      <c r="W487" s="133"/>
      <c r="AF487" s="1"/>
      <c r="AN487" s="1"/>
      <c r="AV487" s="1"/>
      <c r="AW487" s="131"/>
      <c r="AX487" s="131"/>
      <c r="AY487" s="131"/>
      <c r="AZ487" s="131"/>
      <c r="BA487" s="131"/>
      <c r="BB487" s="131"/>
      <c r="BC487" s="131"/>
      <c r="BD487" s="132"/>
      <c r="BE487" s="131"/>
      <c r="BF487" s="131"/>
      <c r="BG487" s="131"/>
      <c r="BH487" s="131"/>
    </row>
    <row r="488" spans="19:60" s="20" customFormat="1" ht="22.5" customHeight="1" x14ac:dyDescent="0.25">
      <c r="S488" s="1"/>
      <c r="V488" s="133"/>
      <c r="W488" s="133"/>
      <c r="AF488" s="1"/>
      <c r="AN488" s="1"/>
      <c r="AV488" s="1"/>
      <c r="AW488" s="131"/>
      <c r="AX488" s="131"/>
      <c r="AY488" s="131"/>
      <c r="AZ488" s="131"/>
      <c r="BA488" s="131"/>
      <c r="BB488" s="131"/>
      <c r="BC488" s="131"/>
      <c r="BD488" s="132"/>
      <c r="BE488" s="131"/>
      <c r="BF488" s="131"/>
      <c r="BG488" s="131"/>
      <c r="BH488" s="131"/>
    </row>
    <row r="489" spans="19:60" s="20" customFormat="1" ht="22.5" customHeight="1" x14ac:dyDescent="0.25">
      <c r="S489" s="1"/>
      <c r="V489" s="133"/>
      <c r="W489" s="133"/>
      <c r="AF489" s="1"/>
      <c r="AN489" s="1"/>
      <c r="AV489" s="1"/>
      <c r="AW489" s="131"/>
      <c r="AX489" s="131"/>
      <c r="AY489" s="131"/>
      <c r="AZ489" s="131"/>
      <c r="BA489" s="131"/>
      <c r="BB489" s="131"/>
      <c r="BC489" s="131"/>
      <c r="BD489" s="132"/>
      <c r="BE489" s="131"/>
      <c r="BF489" s="131"/>
      <c r="BG489" s="131"/>
      <c r="BH489" s="131"/>
    </row>
    <row r="490" spans="19:60" s="20" customFormat="1" ht="22.5" customHeight="1" x14ac:dyDescent="0.25">
      <c r="S490" s="1"/>
      <c r="V490" s="133"/>
      <c r="W490" s="133"/>
      <c r="AF490" s="1"/>
      <c r="AN490" s="1"/>
      <c r="AV490" s="1"/>
      <c r="AW490" s="131"/>
      <c r="AX490" s="131"/>
      <c r="AY490" s="131"/>
      <c r="AZ490" s="131"/>
      <c r="BA490" s="131"/>
      <c r="BB490" s="131"/>
      <c r="BC490" s="131"/>
      <c r="BD490" s="132"/>
      <c r="BE490" s="131"/>
      <c r="BF490" s="131"/>
      <c r="BG490" s="131"/>
      <c r="BH490" s="131"/>
    </row>
    <row r="491" spans="19:60" s="20" customFormat="1" ht="22.5" customHeight="1" x14ac:dyDescent="0.25">
      <c r="S491" s="1"/>
      <c r="V491" s="133"/>
      <c r="W491" s="133"/>
      <c r="AF491" s="1"/>
      <c r="AN491" s="1"/>
      <c r="AV491" s="1"/>
      <c r="AW491" s="131"/>
      <c r="AX491" s="131"/>
      <c r="AY491" s="131"/>
      <c r="AZ491" s="131"/>
      <c r="BA491" s="131"/>
      <c r="BB491" s="131"/>
      <c r="BC491" s="131"/>
      <c r="BD491" s="132"/>
      <c r="BE491" s="131"/>
      <c r="BF491" s="131"/>
      <c r="BG491" s="131"/>
      <c r="BH491" s="131"/>
    </row>
    <row r="492" spans="19:60" s="20" customFormat="1" ht="22.5" customHeight="1" x14ac:dyDescent="0.25">
      <c r="S492" s="1"/>
      <c r="V492" s="133"/>
      <c r="W492" s="133"/>
      <c r="AF492" s="1"/>
      <c r="AN492" s="1"/>
      <c r="AV492" s="1"/>
      <c r="AW492" s="131"/>
      <c r="AX492" s="131"/>
      <c r="AY492" s="131"/>
      <c r="AZ492" s="131"/>
      <c r="BA492" s="131"/>
      <c r="BB492" s="131"/>
      <c r="BC492" s="131"/>
      <c r="BD492" s="132"/>
      <c r="BE492" s="131"/>
      <c r="BF492" s="131"/>
      <c r="BG492" s="131"/>
      <c r="BH492" s="131"/>
    </row>
    <row r="493" spans="19:60" s="20" customFormat="1" ht="22.5" customHeight="1" x14ac:dyDescent="0.25">
      <c r="S493" s="1"/>
      <c r="V493" s="133"/>
      <c r="W493" s="133"/>
      <c r="AF493" s="1"/>
      <c r="AN493" s="1"/>
      <c r="AV493" s="1"/>
      <c r="AW493" s="131"/>
      <c r="AX493" s="131"/>
      <c r="AY493" s="131"/>
      <c r="AZ493" s="131"/>
      <c r="BA493" s="131"/>
      <c r="BB493" s="131"/>
      <c r="BC493" s="131"/>
      <c r="BD493" s="132"/>
      <c r="BE493" s="131"/>
      <c r="BF493" s="131"/>
      <c r="BG493" s="131"/>
      <c r="BH493" s="131"/>
    </row>
    <row r="494" spans="19:60" s="20" customFormat="1" ht="22.5" customHeight="1" x14ac:dyDescent="0.25">
      <c r="S494" s="1"/>
      <c r="V494" s="133"/>
      <c r="W494" s="133"/>
      <c r="AF494" s="1"/>
      <c r="AN494" s="1"/>
      <c r="AV494" s="1"/>
      <c r="AW494" s="131"/>
      <c r="AX494" s="131"/>
      <c r="AY494" s="131"/>
      <c r="AZ494" s="131"/>
      <c r="BA494" s="131"/>
      <c r="BB494" s="131"/>
      <c r="BC494" s="131"/>
      <c r="BD494" s="132"/>
      <c r="BE494" s="131"/>
      <c r="BF494" s="131"/>
      <c r="BG494" s="131"/>
      <c r="BH494" s="131"/>
    </row>
    <row r="495" spans="19:60" s="20" customFormat="1" ht="22.5" customHeight="1" x14ac:dyDescent="0.25">
      <c r="S495" s="1"/>
      <c r="V495" s="133"/>
      <c r="W495" s="133"/>
      <c r="AF495" s="1"/>
      <c r="AN495" s="1"/>
      <c r="AV495" s="1"/>
      <c r="AW495" s="131"/>
      <c r="AX495" s="131"/>
      <c r="AY495" s="131"/>
      <c r="AZ495" s="131"/>
      <c r="BA495" s="131"/>
      <c r="BB495" s="131"/>
      <c r="BC495" s="131"/>
      <c r="BD495" s="132"/>
      <c r="BE495" s="131"/>
      <c r="BF495" s="131"/>
      <c r="BG495" s="131"/>
      <c r="BH495" s="131"/>
    </row>
    <row r="496" spans="19:60" s="20" customFormat="1" ht="22.5" customHeight="1" x14ac:dyDescent="0.25">
      <c r="S496" s="1"/>
      <c r="V496" s="133"/>
      <c r="W496" s="133"/>
      <c r="AF496" s="1"/>
      <c r="AN496" s="1"/>
      <c r="AV496" s="1"/>
      <c r="AW496" s="131"/>
      <c r="AX496" s="131"/>
      <c r="AY496" s="131"/>
      <c r="AZ496" s="131"/>
      <c r="BA496" s="131"/>
      <c r="BB496" s="131"/>
      <c r="BC496" s="131"/>
      <c r="BD496" s="132"/>
      <c r="BE496" s="131"/>
      <c r="BF496" s="131"/>
      <c r="BG496" s="131"/>
      <c r="BH496" s="131"/>
    </row>
    <row r="497" spans="19:60" s="20" customFormat="1" ht="22.5" customHeight="1" x14ac:dyDescent="0.25">
      <c r="S497" s="1"/>
      <c r="V497" s="133"/>
      <c r="W497" s="133"/>
      <c r="AF497" s="1"/>
      <c r="AN497" s="1"/>
      <c r="AV497" s="1"/>
      <c r="AW497" s="131"/>
      <c r="AX497" s="131"/>
      <c r="AY497" s="131"/>
      <c r="AZ497" s="131"/>
      <c r="BA497" s="131"/>
      <c r="BB497" s="131"/>
      <c r="BC497" s="131"/>
      <c r="BD497" s="132"/>
      <c r="BE497" s="131"/>
      <c r="BF497" s="131"/>
      <c r="BG497" s="131"/>
      <c r="BH497" s="131"/>
    </row>
    <row r="498" spans="19:60" s="20" customFormat="1" ht="22.5" customHeight="1" x14ac:dyDescent="0.25">
      <c r="S498" s="1"/>
      <c r="V498" s="133"/>
      <c r="W498" s="133"/>
      <c r="AF498" s="1"/>
      <c r="AN498" s="1"/>
      <c r="AV498" s="1"/>
      <c r="AW498" s="131"/>
      <c r="AX498" s="131"/>
      <c r="AY498" s="131"/>
      <c r="AZ498" s="131"/>
      <c r="BA498" s="131"/>
      <c r="BB498" s="131"/>
      <c r="BC498" s="131"/>
      <c r="BD498" s="132"/>
      <c r="BE498" s="131"/>
      <c r="BF498" s="131"/>
      <c r="BG498" s="131"/>
      <c r="BH498" s="131"/>
    </row>
    <row r="499" spans="19:60" s="20" customFormat="1" ht="22.5" customHeight="1" x14ac:dyDescent="0.25">
      <c r="S499" s="1"/>
      <c r="V499" s="133"/>
      <c r="W499" s="133"/>
      <c r="AF499" s="1"/>
      <c r="AN499" s="1"/>
      <c r="AV499" s="1"/>
      <c r="AW499" s="131"/>
      <c r="AX499" s="131"/>
      <c r="AY499" s="131"/>
      <c r="AZ499" s="131"/>
      <c r="BA499" s="131"/>
      <c r="BB499" s="131"/>
      <c r="BC499" s="131"/>
      <c r="BD499" s="132"/>
      <c r="BE499" s="131"/>
      <c r="BF499" s="131"/>
      <c r="BG499" s="131"/>
      <c r="BH499" s="131"/>
    </row>
    <row r="500" spans="19:60" s="20" customFormat="1" ht="22.5" customHeight="1" x14ac:dyDescent="0.25">
      <c r="S500" s="1"/>
      <c r="V500" s="133"/>
      <c r="W500" s="133"/>
      <c r="AF500" s="1"/>
      <c r="AN500" s="1"/>
      <c r="AV500" s="1"/>
      <c r="AW500" s="131"/>
      <c r="AX500" s="131"/>
      <c r="AY500" s="131"/>
      <c r="AZ500" s="131"/>
      <c r="BA500" s="131"/>
      <c r="BB500" s="131"/>
      <c r="BC500" s="131"/>
      <c r="BD500" s="132"/>
      <c r="BE500" s="131"/>
      <c r="BF500" s="131"/>
      <c r="BG500" s="131"/>
      <c r="BH500" s="131"/>
    </row>
    <row r="501" spans="19:60" s="20" customFormat="1" ht="22.5" customHeight="1" x14ac:dyDescent="0.25">
      <c r="S501" s="1"/>
      <c r="V501" s="133"/>
      <c r="W501" s="133"/>
      <c r="AF501" s="1"/>
      <c r="AN501" s="1"/>
      <c r="AV501" s="1"/>
      <c r="AW501" s="131"/>
      <c r="AX501" s="131"/>
      <c r="AY501" s="131"/>
      <c r="AZ501" s="131"/>
      <c r="BA501" s="131"/>
      <c r="BB501" s="131"/>
      <c r="BC501" s="131"/>
      <c r="BD501" s="132"/>
      <c r="BE501" s="131"/>
      <c r="BF501" s="131"/>
      <c r="BG501" s="131"/>
      <c r="BH501" s="131"/>
    </row>
    <row r="502" spans="19:60" s="20" customFormat="1" ht="22.5" customHeight="1" x14ac:dyDescent="0.25">
      <c r="S502" s="1"/>
      <c r="V502" s="133"/>
      <c r="W502" s="133"/>
      <c r="AF502" s="1"/>
      <c r="AN502" s="1"/>
      <c r="AV502" s="1"/>
      <c r="AW502" s="131"/>
      <c r="AX502" s="131"/>
      <c r="AY502" s="131"/>
      <c r="AZ502" s="131"/>
      <c r="BA502" s="131"/>
      <c r="BB502" s="131"/>
      <c r="BC502" s="131"/>
      <c r="BD502" s="132"/>
      <c r="BE502" s="131"/>
      <c r="BF502" s="131"/>
      <c r="BG502" s="131"/>
      <c r="BH502" s="131"/>
    </row>
    <row r="503" spans="19:60" s="20" customFormat="1" ht="22.5" customHeight="1" x14ac:dyDescent="0.25">
      <c r="S503" s="1"/>
      <c r="V503" s="133"/>
      <c r="W503" s="133"/>
      <c r="AF503" s="1"/>
      <c r="AN503" s="1"/>
      <c r="AV503" s="1"/>
      <c r="AW503" s="131"/>
      <c r="AX503" s="131"/>
      <c r="AY503" s="131"/>
      <c r="AZ503" s="131"/>
      <c r="BA503" s="131"/>
      <c r="BB503" s="131"/>
      <c r="BC503" s="131"/>
      <c r="BD503" s="132"/>
      <c r="BE503" s="131"/>
      <c r="BF503" s="131"/>
      <c r="BG503" s="131"/>
      <c r="BH503" s="131"/>
    </row>
    <row r="504" spans="19:60" s="20" customFormat="1" ht="22.5" customHeight="1" x14ac:dyDescent="0.25">
      <c r="S504" s="1"/>
      <c r="V504" s="133"/>
      <c r="W504" s="133"/>
      <c r="AF504" s="1"/>
      <c r="AN504" s="1"/>
      <c r="AV504" s="1"/>
      <c r="AW504" s="131"/>
      <c r="AX504" s="131"/>
      <c r="AY504" s="131"/>
      <c r="AZ504" s="131"/>
      <c r="BA504" s="131"/>
      <c r="BB504" s="131"/>
      <c r="BC504" s="131"/>
      <c r="BD504" s="132"/>
      <c r="BE504" s="131"/>
      <c r="BF504" s="131"/>
      <c r="BG504" s="131"/>
      <c r="BH504" s="131"/>
    </row>
    <row r="505" spans="19:60" s="20" customFormat="1" ht="22.5" customHeight="1" x14ac:dyDescent="0.25">
      <c r="S505" s="1"/>
      <c r="V505" s="133"/>
      <c r="W505" s="133"/>
      <c r="AF505" s="1"/>
      <c r="AN505" s="1"/>
      <c r="AV505" s="1"/>
      <c r="AW505" s="131"/>
      <c r="AX505" s="131"/>
      <c r="AY505" s="131"/>
      <c r="AZ505" s="131"/>
      <c r="BA505" s="131"/>
      <c r="BB505" s="131"/>
      <c r="BC505" s="131"/>
      <c r="BD505" s="132"/>
      <c r="BE505" s="131"/>
      <c r="BF505" s="131"/>
      <c r="BG505" s="131"/>
      <c r="BH505" s="131"/>
    </row>
    <row r="506" spans="19:60" s="20" customFormat="1" ht="22.5" customHeight="1" x14ac:dyDescent="0.25">
      <c r="S506" s="1"/>
      <c r="V506" s="133"/>
      <c r="W506" s="133"/>
      <c r="AF506" s="1"/>
      <c r="AN506" s="1"/>
      <c r="AV506" s="1"/>
      <c r="AW506" s="131"/>
      <c r="AX506" s="131"/>
      <c r="AY506" s="131"/>
      <c r="AZ506" s="131"/>
      <c r="BA506" s="131"/>
      <c r="BB506" s="131"/>
      <c r="BC506" s="131"/>
      <c r="BD506" s="132"/>
      <c r="BE506" s="131"/>
      <c r="BF506" s="131"/>
      <c r="BG506" s="131"/>
      <c r="BH506" s="131"/>
    </row>
    <row r="507" spans="19:60" s="20" customFormat="1" ht="22.5" customHeight="1" x14ac:dyDescent="0.25">
      <c r="S507" s="1"/>
      <c r="V507" s="133"/>
      <c r="W507" s="133"/>
      <c r="AF507" s="1"/>
      <c r="AN507" s="1"/>
      <c r="AV507" s="1"/>
      <c r="AW507" s="131"/>
      <c r="AX507" s="131"/>
      <c r="AY507" s="131"/>
      <c r="AZ507" s="131"/>
      <c r="BA507" s="131"/>
      <c r="BB507" s="131"/>
      <c r="BC507" s="131"/>
      <c r="BD507" s="132"/>
      <c r="BE507" s="131"/>
      <c r="BF507" s="131"/>
      <c r="BG507" s="131"/>
      <c r="BH507" s="131"/>
    </row>
    <row r="508" spans="19:60" s="20" customFormat="1" ht="22.5" customHeight="1" x14ac:dyDescent="0.25">
      <c r="S508" s="1"/>
      <c r="V508" s="133"/>
      <c r="W508" s="133"/>
      <c r="AF508" s="1"/>
      <c r="AN508" s="1"/>
      <c r="AV508" s="1"/>
      <c r="AW508" s="131"/>
      <c r="AX508" s="131"/>
      <c r="AY508" s="131"/>
      <c r="AZ508" s="131"/>
      <c r="BA508" s="131"/>
      <c r="BB508" s="131"/>
      <c r="BC508" s="131"/>
      <c r="BD508" s="132"/>
      <c r="BE508" s="131"/>
      <c r="BF508" s="131"/>
      <c r="BG508" s="131"/>
      <c r="BH508" s="131"/>
    </row>
    <row r="509" spans="19:60" s="20" customFormat="1" ht="22.5" customHeight="1" x14ac:dyDescent="0.25">
      <c r="S509" s="1"/>
      <c r="V509" s="133"/>
      <c r="W509" s="133"/>
      <c r="AF509" s="1"/>
      <c r="AN509" s="1"/>
      <c r="AV509" s="1"/>
      <c r="AW509" s="131"/>
      <c r="AX509" s="131"/>
      <c r="AY509" s="131"/>
      <c r="AZ509" s="131"/>
      <c r="BA509" s="131"/>
      <c r="BB509" s="131"/>
      <c r="BC509" s="131"/>
      <c r="BD509" s="132"/>
      <c r="BE509" s="131"/>
      <c r="BF509" s="131"/>
      <c r="BG509" s="131"/>
      <c r="BH509" s="131"/>
    </row>
    <row r="510" spans="19:60" s="20" customFormat="1" ht="22.5" customHeight="1" x14ac:dyDescent="0.25">
      <c r="S510" s="1"/>
      <c r="V510" s="133"/>
      <c r="W510" s="133"/>
      <c r="AF510" s="1"/>
      <c r="AN510" s="1"/>
      <c r="AV510" s="1"/>
      <c r="AW510" s="131"/>
      <c r="AX510" s="131"/>
      <c r="AY510" s="131"/>
      <c r="AZ510" s="131"/>
      <c r="BA510" s="131"/>
      <c r="BB510" s="131"/>
      <c r="BC510" s="131"/>
      <c r="BD510" s="132"/>
      <c r="BE510" s="131"/>
      <c r="BF510" s="131"/>
      <c r="BG510" s="131"/>
      <c r="BH510" s="131"/>
    </row>
    <row r="511" spans="19:60" s="20" customFormat="1" ht="22.5" customHeight="1" x14ac:dyDescent="0.25">
      <c r="S511" s="1"/>
      <c r="V511" s="133"/>
      <c r="W511" s="133"/>
      <c r="AF511" s="1"/>
      <c r="AN511" s="1"/>
      <c r="AV511" s="1"/>
      <c r="AW511" s="131"/>
      <c r="AX511" s="131"/>
      <c r="AY511" s="131"/>
      <c r="AZ511" s="131"/>
      <c r="BA511" s="131"/>
      <c r="BB511" s="131"/>
      <c r="BC511" s="131"/>
      <c r="BD511" s="132"/>
      <c r="BE511" s="131"/>
      <c r="BF511" s="131"/>
      <c r="BG511" s="131"/>
      <c r="BH511" s="131"/>
    </row>
    <row r="512" spans="19:60" s="20" customFormat="1" ht="22.5" customHeight="1" x14ac:dyDescent="0.25">
      <c r="S512" s="1"/>
      <c r="V512" s="133"/>
      <c r="W512" s="133"/>
      <c r="AF512" s="1"/>
      <c r="AN512" s="1"/>
      <c r="AV512" s="1"/>
      <c r="AW512" s="131"/>
      <c r="AX512" s="131"/>
      <c r="AY512" s="131"/>
      <c r="AZ512" s="131"/>
      <c r="BA512" s="131"/>
      <c r="BB512" s="131"/>
      <c r="BC512" s="131"/>
      <c r="BD512" s="132"/>
      <c r="BE512" s="131"/>
      <c r="BF512" s="131"/>
      <c r="BG512" s="131"/>
      <c r="BH512" s="131"/>
    </row>
    <row r="513" spans="19:60" s="20" customFormat="1" ht="22.5" customHeight="1" x14ac:dyDescent="0.25">
      <c r="S513" s="1"/>
      <c r="V513" s="133"/>
      <c r="W513" s="133"/>
      <c r="AF513" s="1"/>
      <c r="AN513" s="1"/>
      <c r="AV513" s="1"/>
      <c r="AW513" s="131"/>
      <c r="AX513" s="131"/>
      <c r="AY513" s="131"/>
      <c r="AZ513" s="131"/>
      <c r="BA513" s="131"/>
      <c r="BB513" s="131"/>
      <c r="BC513" s="131"/>
      <c r="BD513" s="132"/>
      <c r="BE513" s="131"/>
      <c r="BF513" s="131"/>
      <c r="BG513" s="131"/>
      <c r="BH513" s="131"/>
    </row>
    <row r="514" spans="19:60" s="20" customFormat="1" ht="22.5" customHeight="1" x14ac:dyDescent="0.25">
      <c r="S514" s="1"/>
      <c r="V514" s="133"/>
      <c r="W514" s="133"/>
      <c r="AF514" s="1"/>
      <c r="AN514" s="1"/>
      <c r="AV514" s="1"/>
      <c r="AW514" s="131"/>
      <c r="AX514" s="131"/>
      <c r="AY514" s="131"/>
      <c r="AZ514" s="131"/>
      <c r="BA514" s="131"/>
      <c r="BB514" s="131"/>
      <c r="BC514" s="131"/>
      <c r="BD514" s="132"/>
      <c r="BE514" s="131"/>
      <c r="BF514" s="131"/>
      <c r="BG514" s="131"/>
      <c r="BH514" s="131"/>
    </row>
    <row r="515" spans="19:60" s="20" customFormat="1" ht="22.5" customHeight="1" x14ac:dyDescent="0.25">
      <c r="S515" s="1"/>
      <c r="V515" s="133"/>
      <c r="W515" s="133"/>
      <c r="AF515" s="1"/>
      <c r="AN515" s="1"/>
      <c r="AV515" s="1"/>
      <c r="AW515" s="131"/>
      <c r="AX515" s="131"/>
      <c r="AY515" s="131"/>
      <c r="AZ515" s="131"/>
      <c r="BA515" s="131"/>
      <c r="BB515" s="131"/>
      <c r="BC515" s="131"/>
      <c r="BD515" s="132"/>
      <c r="BE515" s="131"/>
      <c r="BF515" s="131"/>
      <c r="BG515" s="131"/>
      <c r="BH515" s="131"/>
    </row>
    <row r="516" spans="19:60" s="20" customFormat="1" ht="22.5" customHeight="1" x14ac:dyDescent="0.25">
      <c r="S516" s="1"/>
      <c r="V516" s="133"/>
      <c r="W516" s="133"/>
      <c r="AF516" s="1"/>
      <c r="AN516" s="1"/>
      <c r="AV516" s="1"/>
      <c r="AW516" s="131"/>
      <c r="AX516" s="131"/>
      <c r="AY516" s="131"/>
      <c r="AZ516" s="131"/>
      <c r="BA516" s="131"/>
      <c r="BB516" s="131"/>
      <c r="BC516" s="131"/>
      <c r="BD516" s="132"/>
      <c r="BE516" s="131"/>
      <c r="BF516" s="131"/>
      <c r="BG516" s="131"/>
      <c r="BH516" s="131"/>
    </row>
    <row r="517" spans="19:60" s="20" customFormat="1" ht="22.5" customHeight="1" x14ac:dyDescent="0.25">
      <c r="S517" s="1"/>
      <c r="V517" s="133"/>
      <c r="W517" s="133"/>
      <c r="AF517" s="1"/>
      <c r="AN517" s="1"/>
      <c r="AV517" s="1"/>
      <c r="AW517" s="131"/>
      <c r="AX517" s="131"/>
      <c r="AY517" s="131"/>
      <c r="AZ517" s="131"/>
      <c r="BA517" s="131"/>
      <c r="BB517" s="131"/>
      <c r="BC517" s="131"/>
      <c r="BD517" s="132"/>
      <c r="BE517" s="131"/>
      <c r="BF517" s="131"/>
      <c r="BG517" s="131"/>
      <c r="BH517" s="131"/>
    </row>
    <row r="518" spans="19:60" s="20" customFormat="1" ht="22.5" customHeight="1" x14ac:dyDescent="0.25">
      <c r="S518" s="1"/>
      <c r="V518" s="133"/>
      <c r="W518" s="133"/>
      <c r="AF518" s="1"/>
      <c r="AN518" s="1"/>
      <c r="AV518" s="1"/>
      <c r="AW518" s="131"/>
      <c r="AX518" s="131"/>
      <c r="AY518" s="131"/>
      <c r="AZ518" s="131"/>
      <c r="BA518" s="131"/>
      <c r="BB518" s="131"/>
      <c r="BC518" s="131"/>
      <c r="BD518" s="132"/>
      <c r="BE518" s="131"/>
      <c r="BF518" s="131"/>
      <c r="BG518" s="131"/>
      <c r="BH518" s="131"/>
    </row>
    <row r="519" spans="19:60" s="20" customFormat="1" ht="22.5" customHeight="1" x14ac:dyDescent="0.25">
      <c r="S519" s="1"/>
      <c r="V519" s="133"/>
      <c r="W519" s="133"/>
      <c r="AF519" s="1"/>
      <c r="AN519" s="1"/>
      <c r="AV519" s="1"/>
      <c r="AW519" s="131"/>
      <c r="AX519" s="131"/>
      <c r="AY519" s="131"/>
      <c r="AZ519" s="131"/>
      <c r="BA519" s="131"/>
      <c r="BB519" s="131"/>
      <c r="BC519" s="131"/>
      <c r="BD519" s="132"/>
      <c r="BE519" s="131"/>
      <c r="BF519" s="131"/>
      <c r="BG519" s="131"/>
      <c r="BH519" s="131"/>
    </row>
    <row r="520" spans="19:60" s="20" customFormat="1" ht="22.5" customHeight="1" x14ac:dyDescent="0.25">
      <c r="S520" s="1"/>
      <c r="V520" s="133"/>
      <c r="W520" s="133"/>
      <c r="AF520" s="1"/>
      <c r="AN520" s="1"/>
      <c r="AV520" s="1"/>
      <c r="AW520" s="131"/>
      <c r="AX520" s="131"/>
      <c r="AY520" s="131"/>
      <c r="AZ520" s="131"/>
      <c r="BA520" s="131"/>
      <c r="BB520" s="131"/>
      <c r="BC520" s="131"/>
      <c r="BD520" s="132"/>
      <c r="BE520" s="131"/>
      <c r="BF520" s="131"/>
      <c r="BG520" s="131"/>
      <c r="BH520" s="131"/>
    </row>
    <row r="521" spans="19:60" s="20" customFormat="1" ht="22.5" customHeight="1" x14ac:dyDescent="0.25">
      <c r="S521" s="1"/>
      <c r="V521" s="133"/>
      <c r="W521" s="133"/>
      <c r="AF521" s="1"/>
      <c r="AN521" s="1"/>
      <c r="AV521" s="1"/>
      <c r="AW521" s="131"/>
      <c r="AX521" s="131"/>
      <c r="AY521" s="131"/>
      <c r="AZ521" s="131"/>
      <c r="BA521" s="131"/>
      <c r="BB521" s="131"/>
      <c r="BC521" s="131"/>
      <c r="BD521" s="132"/>
      <c r="BE521" s="131"/>
      <c r="BF521" s="131"/>
      <c r="BG521" s="131"/>
      <c r="BH521" s="131"/>
    </row>
    <row r="522" spans="19:60" s="20" customFormat="1" ht="22.5" customHeight="1" x14ac:dyDescent="0.25">
      <c r="S522" s="1"/>
      <c r="V522" s="133"/>
      <c r="W522" s="133"/>
      <c r="AF522" s="1"/>
      <c r="AN522" s="1"/>
      <c r="AV522" s="1"/>
      <c r="AW522" s="131"/>
      <c r="AX522" s="131"/>
      <c r="AY522" s="131"/>
      <c r="AZ522" s="131"/>
      <c r="BA522" s="131"/>
      <c r="BB522" s="131"/>
      <c r="BC522" s="131"/>
      <c r="BD522" s="132"/>
      <c r="BE522" s="131"/>
      <c r="BF522" s="131"/>
      <c r="BG522" s="131"/>
      <c r="BH522" s="131"/>
    </row>
    <row r="523" spans="19:60" s="20" customFormat="1" ht="22.5" customHeight="1" x14ac:dyDescent="0.25">
      <c r="S523" s="1"/>
      <c r="V523" s="133"/>
      <c r="W523" s="133"/>
      <c r="AF523" s="1"/>
      <c r="AN523" s="1"/>
      <c r="AV523" s="1"/>
      <c r="AW523" s="131"/>
      <c r="AX523" s="131"/>
      <c r="AY523" s="131"/>
      <c r="AZ523" s="131"/>
      <c r="BA523" s="131"/>
      <c r="BB523" s="131"/>
      <c r="BC523" s="131"/>
      <c r="BD523" s="132"/>
      <c r="BE523" s="131"/>
      <c r="BF523" s="131"/>
      <c r="BG523" s="131"/>
      <c r="BH523" s="131"/>
    </row>
    <row r="524" spans="19:60" s="20" customFormat="1" ht="22.5" customHeight="1" x14ac:dyDescent="0.25">
      <c r="S524" s="1"/>
      <c r="V524" s="133"/>
      <c r="W524" s="133"/>
      <c r="AF524" s="1"/>
      <c r="AN524" s="1"/>
      <c r="AV524" s="1"/>
      <c r="AW524" s="131"/>
      <c r="AX524" s="131"/>
      <c r="AY524" s="131"/>
      <c r="AZ524" s="131"/>
      <c r="BA524" s="131"/>
      <c r="BB524" s="131"/>
      <c r="BC524" s="131"/>
      <c r="BD524" s="132"/>
      <c r="BE524" s="131"/>
      <c r="BF524" s="131"/>
      <c r="BG524" s="131"/>
      <c r="BH524" s="131"/>
    </row>
    <row r="525" spans="19:60" s="20" customFormat="1" ht="22.5" customHeight="1" x14ac:dyDescent="0.25">
      <c r="S525" s="1"/>
      <c r="V525" s="133"/>
      <c r="W525" s="133"/>
      <c r="AF525" s="1"/>
      <c r="AN525" s="1"/>
      <c r="AV525" s="1"/>
      <c r="AW525" s="131"/>
      <c r="AX525" s="131"/>
      <c r="AY525" s="131"/>
      <c r="AZ525" s="131"/>
      <c r="BA525" s="131"/>
      <c r="BB525" s="131"/>
      <c r="BC525" s="131"/>
      <c r="BD525" s="132"/>
      <c r="BE525" s="131"/>
      <c r="BF525" s="131"/>
      <c r="BG525" s="131"/>
      <c r="BH525" s="131"/>
    </row>
    <row r="526" spans="19:60" s="20" customFormat="1" ht="22.5" customHeight="1" x14ac:dyDescent="0.25">
      <c r="S526" s="1"/>
      <c r="V526" s="133"/>
      <c r="W526" s="133"/>
      <c r="AF526" s="1"/>
      <c r="AN526" s="1"/>
      <c r="AV526" s="1"/>
      <c r="AW526" s="131"/>
      <c r="AX526" s="131"/>
      <c r="AY526" s="131"/>
      <c r="AZ526" s="131"/>
      <c r="BA526" s="131"/>
      <c r="BB526" s="131"/>
      <c r="BC526" s="131"/>
      <c r="BD526" s="132"/>
      <c r="BE526" s="131"/>
      <c r="BF526" s="131"/>
      <c r="BG526" s="131"/>
      <c r="BH526" s="131"/>
    </row>
    <row r="527" spans="19:60" s="20" customFormat="1" ht="22.5" customHeight="1" x14ac:dyDescent="0.25">
      <c r="S527" s="1"/>
      <c r="V527" s="133"/>
      <c r="W527" s="133"/>
      <c r="AF527" s="1"/>
      <c r="AN527" s="1"/>
      <c r="AV527" s="1"/>
      <c r="AW527" s="131"/>
      <c r="AX527" s="131"/>
      <c r="AY527" s="131"/>
      <c r="AZ527" s="131"/>
      <c r="BA527" s="131"/>
      <c r="BB527" s="131"/>
      <c r="BC527" s="131"/>
      <c r="BD527" s="132"/>
      <c r="BE527" s="131"/>
      <c r="BF527" s="131"/>
      <c r="BG527" s="131"/>
      <c r="BH527" s="131"/>
    </row>
    <row r="528" spans="19:60" s="20" customFormat="1" ht="22.5" customHeight="1" x14ac:dyDescent="0.25">
      <c r="S528" s="1"/>
      <c r="V528" s="133"/>
      <c r="W528" s="133"/>
      <c r="AF528" s="1"/>
      <c r="AN528" s="1"/>
      <c r="AV528" s="1"/>
      <c r="AW528" s="131"/>
      <c r="AX528" s="131"/>
      <c r="AY528" s="131"/>
      <c r="AZ528" s="131"/>
      <c r="BA528" s="131"/>
      <c r="BB528" s="131"/>
      <c r="BC528" s="131"/>
      <c r="BD528" s="132"/>
      <c r="BE528" s="131"/>
      <c r="BF528" s="131"/>
      <c r="BG528" s="131"/>
      <c r="BH528" s="131"/>
    </row>
    <row r="529" spans="19:60" s="20" customFormat="1" ht="22.5" customHeight="1" x14ac:dyDescent="0.25">
      <c r="S529" s="1"/>
      <c r="V529" s="133"/>
      <c r="W529" s="133"/>
      <c r="AF529" s="1"/>
      <c r="AN529" s="1"/>
      <c r="AV529" s="1"/>
      <c r="AW529" s="131"/>
      <c r="AX529" s="131"/>
      <c r="AY529" s="131"/>
      <c r="AZ529" s="131"/>
      <c r="BA529" s="131"/>
      <c r="BB529" s="131"/>
      <c r="BC529" s="131"/>
      <c r="BD529" s="132"/>
      <c r="BE529" s="131"/>
      <c r="BF529" s="131"/>
      <c r="BG529" s="131"/>
      <c r="BH529" s="131"/>
    </row>
    <row r="530" spans="19:60" s="20" customFormat="1" ht="22.5" customHeight="1" x14ac:dyDescent="0.25">
      <c r="S530" s="1"/>
      <c r="V530" s="133"/>
      <c r="W530" s="133"/>
      <c r="AF530" s="1"/>
      <c r="AN530" s="1"/>
      <c r="AV530" s="1"/>
      <c r="AW530" s="131"/>
      <c r="AX530" s="131"/>
      <c r="AY530" s="131"/>
      <c r="AZ530" s="131"/>
      <c r="BA530" s="131"/>
      <c r="BB530" s="131"/>
      <c r="BC530" s="131"/>
      <c r="BD530" s="132"/>
      <c r="BE530" s="131"/>
      <c r="BF530" s="131"/>
      <c r="BG530" s="131"/>
      <c r="BH530" s="131"/>
    </row>
    <row r="531" spans="19:60" s="20" customFormat="1" ht="22.5" customHeight="1" x14ac:dyDescent="0.25">
      <c r="S531" s="1"/>
      <c r="V531" s="133"/>
      <c r="W531" s="133"/>
      <c r="AF531" s="1"/>
      <c r="AN531" s="1"/>
      <c r="AV531" s="1"/>
      <c r="AW531" s="131"/>
      <c r="AX531" s="131"/>
      <c r="AY531" s="131"/>
      <c r="AZ531" s="131"/>
      <c r="BA531" s="131"/>
      <c r="BB531" s="131"/>
      <c r="BC531" s="131"/>
      <c r="BD531" s="132"/>
      <c r="BE531" s="131"/>
      <c r="BF531" s="131"/>
      <c r="BG531" s="131"/>
      <c r="BH531" s="131"/>
    </row>
    <row r="532" spans="19:60" s="20" customFormat="1" ht="22.5" customHeight="1" x14ac:dyDescent="0.25">
      <c r="S532" s="1"/>
      <c r="V532" s="133"/>
      <c r="W532" s="133"/>
      <c r="AF532" s="1"/>
      <c r="AN532" s="1"/>
      <c r="AV532" s="1"/>
      <c r="AW532" s="131"/>
      <c r="AX532" s="131"/>
      <c r="AY532" s="131"/>
      <c r="AZ532" s="131"/>
      <c r="BA532" s="131"/>
      <c r="BB532" s="131"/>
      <c r="BC532" s="131"/>
      <c r="BD532" s="132"/>
      <c r="BE532" s="131"/>
      <c r="BF532" s="131"/>
      <c r="BG532" s="131"/>
      <c r="BH532" s="131"/>
    </row>
    <row r="533" spans="19:60" s="20" customFormat="1" ht="22.5" customHeight="1" x14ac:dyDescent="0.25">
      <c r="S533" s="1"/>
      <c r="V533" s="133"/>
      <c r="W533" s="133"/>
      <c r="AF533" s="1"/>
      <c r="AN533" s="1"/>
      <c r="AV533" s="1"/>
      <c r="AW533" s="131"/>
      <c r="AX533" s="131"/>
      <c r="AY533" s="131"/>
      <c r="AZ533" s="131"/>
      <c r="BA533" s="131"/>
      <c r="BB533" s="131"/>
      <c r="BC533" s="131"/>
      <c r="BD533" s="132"/>
      <c r="BE533" s="131"/>
      <c r="BF533" s="131"/>
      <c r="BG533" s="131"/>
      <c r="BH533" s="131"/>
    </row>
    <row r="534" spans="19:60" s="20" customFormat="1" ht="22.5" customHeight="1" x14ac:dyDescent="0.25">
      <c r="S534" s="1"/>
      <c r="V534" s="133"/>
      <c r="W534" s="133"/>
      <c r="AF534" s="1"/>
      <c r="AN534" s="1"/>
      <c r="AV534" s="1"/>
      <c r="AW534" s="131"/>
      <c r="AX534" s="131"/>
      <c r="AY534" s="131"/>
      <c r="AZ534" s="131"/>
      <c r="BA534" s="131"/>
      <c r="BB534" s="131"/>
      <c r="BC534" s="131"/>
      <c r="BD534" s="132"/>
      <c r="BE534" s="131"/>
      <c r="BF534" s="131"/>
      <c r="BG534" s="131"/>
      <c r="BH534" s="131"/>
    </row>
    <row r="535" spans="19:60" s="20" customFormat="1" ht="22.5" customHeight="1" x14ac:dyDescent="0.25">
      <c r="S535" s="1"/>
      <c r="V535" s="133"/>
      <c r="W535" s="133"/>
      <c r="AF535" s="1"/>
      <c r="AN535" s="1"/>
      <c r="AV535" s="1"/>
      <c r="AW535" s="131"/>
      <c r="AX535" s="131"/>
      <c r="AY535" s="131"/>
      <c r="AZ535" s="131"/>
      <c r="BA535" s="131"/>
      <c r="BB535" s="131"/>
      <c r="BC535" s="131"/>
      <c r="BD535" s="132"/>
      <c r="BE535" s="131"/>
      <c r="BF535" s="131"/>
      <c r="BG535" s="131"/>
      <c r="BH535" s="131"/>
    </row>
    <row r="536" spans="19:60" s="20" customFormat="1" ht="22.5" customHeight="1" x14ac:dyDescent="0.25">
      <c r="S536" s="1"/>
      <c r="V536" s="133"/>
      <c r="W536" s="133"/>
      <c r="AF536" s="1"/>
      <c r="AN536" s="1"/>
      <c r="AV536" s="1"/>
      <c r="AW536" s="131"/>
      <c r="AX536" s="131"/>
      <c r="AY536" s="131"/>
      <c r="AZ536" s="131"/>
      <c r="BA536" s="131"/>
      <c r="BB536" s="131"/>
      <c r="BC536" s="131"/>
      <c r="BD536" s="132"/>
      <c r="BE536" s="131"/>
      <c r="BF536" s="131"/>
      <c r="BG536" s="131"/>
      <c r="BH536" s="131"/>
    </row>
    <row r="537" spans="19:60" s="20" customFormat="1" ht="22.5" customHeight="1" x14ac:dyDescent="0.25">
      <c r="S537" s="1"/>
      <c r="V537" s="133"/>
      <c r="W537" s="133"/>
      <c r="AF537" s="1"/>
      <c r="AN537" s="1"/>
      <c r="AV537" s="1"/>
      <c r="AW537" s="131"/>
      <c r="AX537" s="131"/>
      <c r="AY537" s="131"/>
      <c r="AZ537" s="131"/>
      <c r="BA537" s="131"/>
      <c r="BB537" s="131"/>
      <c r="BC537" s="131"/>
      <c r="BD537" s="132"/>
      <c r="BE537" s="131"/>
      <c r="BF537" s="131"/>
      <c r="BG537" s="131"/>
      <c r="BH537" s="131"/>
    </row>
    <row r="538" spans="19:60" s="20" customFormat="1" ht="22.5" customHeight="1" x14ac:dyDescent="0.25">
      <c r="S538" s="1"/>
      <c r="V538" s="133"/>
      <c r="W538" s="133"/>
      <c r="AF538" s="1"/>
      <c r="AN538" s="1"/>
      <c r="AV538" s="1"/>
      <c r="AW538" s="131"/>
      <c r="AX538" s="131"/>
      <c r="AY538" s="131"/>
      <c r="AZ538" s="131"/>
      <c r="BA538" s="131"/>
      <c r="BB538" s="131"/>
      <c r="BC538" s="131"/>
      <c r="BD538" s="132"/>
      <c r="BE538" s="131"/>
      <c r="BF538" s="131"/>
      <c r="BG538" s="131"/>
      <c r="BH538" s="131"/>
    </row>
    <row r="539" spans="19:60" s="20" customFormat="1" ht="22.5" customHeight="1" x14ac:dyDescent="0.25">
      <c r="S539" s="1"/>
      <c r="V539" s="133"/>
      <c r="W539" s="133"/>
      <c r="AF539" s="1"/>
      <c r="AN539" s="1"/>
      <c r="AV539" s="1"/>
      <c r="AW539" s="131"/>
      <c r="AX539" s="131"/>
      <c r="AY539" s="131"/>
      <c r="AZ539" s="131"/>
      <c r="BA539" s="131"/>
      <c r="BB539" s="131"/>
      <c r="BC539" s="131"/>
      <c r="BD539" s="132"/>
      <c r="BE539" s="131"/>
      <c r="BF539" s="131"/>
      <c r="BG539" s="131"/>
      <c r="BH539" s="131"/>
    </row>
    <row r="540" spans="19:60" s="20" customFormat="1" ht="22.5" customHeight="1" x14ac:dyDescent="0.25">
      <c r="S540" s="1"/>
      <c r="V540" s="133"/>
      <c r="W540" s="133"/>
      <c r="AF540" s="1"/>
      <c r="AN540" s="1"/>
      <c r="AV540" s="1"/>
      <c r="AW540" s="131"/>
      <c r="AX540" s="131"/>
      <c r="AY540" s="131"/>
      <c r="AZ540" s="131"/>
      <c r="BA540" s="131"/>
      <c r="BB540" s="131"/>
      <c r="BC540" s="131"/>
      <c r="BD540" s="132"/>
      <c r="BE540" s="131"/>
      <c r="BF540" s="131"/>
      <c r="BG540" s="131"/>
      <c r="BH540" s="131"/>
    </row>
    <row r="541" spans="19:60" s="20" customFormat="1" ht="22.5" customHeight="1" x14ac:dyDescent="0.25">
      <c r="S541" s="1"/>
      <c r="V541" s="133"/>
      <c r="W541" s="133"/>
      <c r="AF541" s="1"/>
      <c r="AN541" s="1"/>
      <c r="AV541" s="1"/>
      <c r="AW541" s="131"/>
      <c r="AX541" s="131"/>
      <c r="AY541" s="131"/>
      <c r="AZ541" s="131"/>
      <c r="BA541" s="131"/>
      <c r="BB541" s="131"/>
      <c r="BC541" s="131"/>
      <c r="BD541" s="132"/>
      <c r="BE541" s="131"/>
      <c r="BF541" s="131"/>
      <c r="BG541" s="131"/>
      <c r="BH541" s="131"/>
    </row>
    <row r="542" spans="19:60" s="20" customFormat="1" ht="22.5" customHeight="1" x14ac:dyDescent="0.25">
      <c r="S542" s="1"/>
      <c r="V542" s="133"/>
      <c r="W542" s="133"/>
      <c r="AF542" s="1"/>
      <c r="AN542" s="1"/>
      <c r="AV542" s="1"/>
      <c r="AW542" s="131"/>
      <c r="AX542" s="131"/>
      <c r="AY542" s="131"/>
      <c r="AZ542" s="131"/>
      <c r="BA542" s="131"/>
      <c r="BB542" s="131"/>
      <c r="BC542" s="131"/>
      <c r="BD542" s="132"/>
      <c r="BE542" s="131"/>
      <c r="BF542" s="131"/>
      <c r="BG542" s="131"/>
      <c r="BH542" s="131"/>
    </row>
    <row r="543" spans="19:60" s="20" customFormat="1" ht="22.5" customHeight="1" x14ac:dyDescent="0.25">
      <c r="S543" s="1"/>
      <c r="V543" s="133"/>
      <c r="W543" s="133"/>
      <c r="AF543" s="1"/>
      <c r="AN543" s="1"/>
      <c r="AV543" s="1"/>
      <c r="AW543" s="131"/>
      <c r="AX543" s="131"/>
      <c r="AY543" s="131"/>
      <c r="AZ543" s="131"/>
      <c r="BA543" s="131"/>
      <c r="BB543" s="131"/>
      <c r="BC543" s="131"/>
      <c r="BD543" s="132"/>
      <c r="BE543" s="131"/>
      <c r="BF543" s="131"/>
      <c r="BG543" s="131"/>
      <c r="BH543" s="131"/>
    </row>
    <row r="544" spans="19:60" s="20" customFormat="1" ht="22.5" customHeight="1" x14ac:dyDescent="0.25">
      <c r="S544" s="1"/>
      <c r="V544" s="133"/>
      <c r="W544" s="133"/>
      <c r="AF544" s="1"/>
      <c r="AN544" s="1"/>
      <c r="AV544" s="1"/>
      <c r="AW544" s="131"/>
      <c r="AX544" s="131"/>
      <c r="AY544" s="131"/>
      <c r="AZ544" s="131"/>
      <c r="BA544" s="131"/>
      <c r="BB544" s="131"/>
      <c r="BC544" s="131"/>
      <c r="BD544" s="132"/>
      <c r="BE544" s="131"/>
      <c r="BF544" s="131"/>
      <c r="BG544" s="131"/>
      <c r="BH544" s="131"/>
    </row>
    <row r="545" spans="19:60" s="20" customFormat="1" ht="22.5" customHeight="1" x14ac:dyDescent="0.25">
      <c r="S545" s="1"/>
      <c r="V545" s="133"/>
      <c r="W545" s="133"/>
      <c r="AF545" s="1"/>
      <c r="AN545" s="1"/>
      <c r="AV545" s="1"/>
      <c r="AW545" s="131"/>
      <c r="AX545" s="131"/>
      <c r="AY545" s="131"/>
      <c r="AZ545" s="131"/>
      <c r="BA545" s="131"/>
      <c r="BB545" s="131"/>
      <c r="BC545" s="131"/>
      <c r="BD545" s="132"/>
      <c r="BE545" s="131"/>
      <c r="BF545" s="131"/>
      <c r="BG545" s="131"/>
      <c r="BH545" s="131"/>
    </row>
    <row r="546" spans="19:60" s="20" customFormat="1" ht="22.5" customHeight="1" x14ac:dyDescent="0.25">
      <c r="S546" s="1"/>
      <c r="V546" s="133"/>
      <c r="W546" s="133"/>
      <c r="AF546" s="1"/>
      <c r="AN546" s="1"/>
      <c r="AV546" s="1"/>
      <c r="AW546" s="131"/>
      <c r="AX546" s="131"/>
      <c r="AY546" s="131"/>
      <c r="AZ546" s="131"/>
      <c r="BA546" s="131"/>
      <c r="BB546" s="131"/>
      <c r="BC546" s="131"/>
      <c r="BD546" s="132"/>
      <c r="BE546" s="131"/>
      <c r="BF546" s="131"/>
      <c r="BG546" s="131"/>
      <c r="BH546" s="131"/>
    </row>
    <row r="547" spans="19:60" s="20" customFormat="1" ht="22.5" customHeight="1" x14ac:dyDescent="0.25">
      <c r="S547" s="1"/>
      <c r="V547" s="133"/>
      <c r="W547" s="133"/>
      <c r="AF547" s="1"/>
      <c r="AN547" s="1"/>
      <c r="AV547" s="1"/>
      <c r="AW547" s="131"/>
      <c r="AX547" s="131"/>
      <c r="AY547" s="131"/>
      <c r="AZ547" s="131"/>
      <c r="BA547" s="131"/>
      <c r="BB547" s="131"/>
      <c r="BC547" s="131"/>
      <c r="BD547" s="132"/>
      <c r="BE547" s="131"/>
      <c r="BF547" s="131"/>
      <c r="BG547" s="131"/>
      <c r="BH547" s="131"/>
    </row>
    <row r="548" spans="19:60" s="20" customFormat="1" ht="22.5" customHeight="1" x14ac:dyDescent="0.25">
      <c r="S548" s="1"/>
      <c r="V548" s="133"/>
      <c r="W548" s="133"/>
      <c r="AF548" s="1"/>
      <c r="AN548" s="1"/>
      <c r="AV548" s="1"/>
      <c r="AW548" s="131"/>
      <c r="AX548" s="131"/>
      <c r="AY548" s="131"/>
      <c r="AZ548" s="131"/>
      <c r="BA548" s="131"/>
      <c r="BB548" s="131"/>
      <c r="BC548" s="131"/>
      <c r="BD548" s="132"/>
      <c r="BE548" s="131"/>
      <c r="BF548" s="131"/>
      <c r="BG548" s="131"/>
      <c r="BH548" s="131"/>
    </row>
    <row r="549" spans="19:60" s="20" customFormat="1" ht="22.5" customHeight="1" x14ac:dyDescent="0.25">
      <c r="S549" s="1"/>
      <c r="V549" s="133"/>
      <c r="W549" s="133"/>
      <c r="AF549" s="1"/>
      <c r="AN549" s="1"/>
      <c r="AV549" s="1"/>
      <c r="AW549" s="131"/>
      <c r="AX549" s="131"/>
      <c r="AY549" s="131"/>
      <c r="AZ549" s="131"/>
      <c r="BA549" s="131"/>
      <c r="BB549" s="131"/>
      <c r="BC549" s="131"/>
      <c r="BD549" s="132"/>
      <c r="BE549" s="131"/>
      <c r="BF549" s="131"/>
      <c r="BG549" s="131"/>
      <c r="BH549" s="131"/>
    </row>
    <row r="550" spans="19:60" s="20" customFormat="1" ht="22.5" customHeight="1" x14ac:dyDescent="0.25">
      <c r="S550" s="1"/>
      <c r="V550" s="133"/>
      <c r="W550" s="133"/>
      <c r="AF550" s="1"/>
      <c r="AN550" s="1"/>
      <c r="AV550" s="1"/>
      <c r="AW550" s="131"/>
      <c r="AX550" s="131"/>
      <c r="AY550" s="131"/>
      <c r="AZ550" s="131"/>
      <c r="BA550" s="131"/>
      <c r="BB550" s="131"/>
      <c r="BC550" s="131"/>
      <c r="BD550" s="132"/>
      <c r="BE550" s="131"/>
      <c r="BF550" s="131"/>
      <c r="BG550" s="131"/>
      <c r="BH550" s="131"/>
    </row>
    <row r="551" spans="19:60" s="20" customFormat="1" ht="22.5" customHeight="1" x14ac:dyDescent="0.25">
      <c r="S551" s="1"/>
      <c r="V551" s="133"/>
      <c r="W551" s="133"/>
      <c r="AF551" s="1"/>
      <c r="AN551" s="1"/>
      <c r="AV551" s="1"/>
      <c r="AW551" s="131"/>
      <c r="AX551" s="131"/>
      <c r="AY551" s="131"/>
      <c r="AZ551" s="131"/>
      <c r="BA551" s="131"/>
      <c r="BB551" s="131"/>
      <c r="BC551" s="131"/>
      <c r="BD551" s="132"/>
      <c r="BE551" s="131"/>
      <c r="BF551" s="131"/>
      <c r="BG551" s="131"/>
      <c r="BH551" s="131"/>
    </row>
    <row r="552" spans="19:60" s="20" customFormat="1" ht="22.5" customHeight="1" x14ac:dyDescent="0.25">
      <c r="S552" s="1"/>
      <c r="V552" s="133"/>
      <c r="W552" s="133"/>
      <c r="AF552" s="1"/>
      <c r="AN552" s="1"/>
      <c r="AV552" s="1"/>
      <c r="AW552" s="131"/>
      <c r="AX552" s="131"/>
      <c r="AY552" s="131"/>
      <c r="AZ552" s="131"/>
      <c r="BA552" s="131"/>
      <c r="BB552" s="131"/>
      <c r="BC552" s="131"/>
      <c r="BD552" s="132"/>
      <c r="BE552" s="131"/>
      <c r="BF552" s="131"/>
      <c r="BG552" s="131"/>
      <c r="BH552" s="131"/>
    </row>
    <row r="553" spans="19:60" s="20" customFormat="1" ht="22.5" customHeight="1" x14ac:dyDescent="0.25">
      <c r="S553" s="1"/>
      <c r="V553" s="133"/>
      <c r="W553" s="133"/>
      <c r="AF553" s="1"/>
      <c r="AN553" s="1"/>
      <c r="AV553" s="1"/>
      <c r="AW553" s="131"/>
      <c r="AX553" s="131"/>
      <c r="AY553" s="131"/>
      <c r="AZ553" s="131"/>
      <c r="BA553" s="131"/>
      <c r="BB553" s="131"/>
      <c r="BC553" s="131"/>
      <c r="BD553" s="132"/>
      <c r="BE553" s="131"/>
      <c r="BF553" s="131"/>
      <c r="BG553" s="131"/>
      <c r="BH553" s="131"/>
    </row>
    <row r="554" spans="19:60" s="20" customFormat="1" ht="22.5" customHeight="1" x14ac:dyDescent="0.25">
      <c r="S554" s="1"/>
      <c r="V554" s="133"/>
      <c r="W554" s="133"/>
      <c r="AF554" s="1"/>
      <c r="AN554" s="1"/>
      <c r="AV554" s="1"/>
      <c r="AW554" s="131"/>
      <c r="AX554" s="131"/>
      <c r="AY554" s="131"/>
      <c r="AZ554" s="131"/>
      <c r="BA554" s="131"/>
      <c r="BB554" s="131"/>
      <c r="BC554" s="131"/>
      <c r="BD554" s="132"/>
      <c r="BE554" s="131"/>
      <c r="BF554" s="131"/>
      <c r="BG554" s="131"/>
      <c r="BH554" s="131"/>
    </row>
    <row r="555" spans="19:60" s="20" customFormat="1" ht="22.5" customHeight="1" x14ac:dyDescent="0.25">
      <c r="S555" s="1"/>
      <c r="V555" s="133"/>
      <c r="W555" s="133"/>
      <c r="AF555" s="1"/>
      <c r="AN555" s="1"/>
      <c r="AV555" s="1"/>
      <c r="AW555" s="131"/>
      <c r="AX555" s="131"/>
      <c r="AY555" s="131"/>
      <c r="AZ555" s="131"/>
      <c r="BA555" s="131"/>
      <c r="BB555" s="131"/>
      <c r="BC555" s="131"/>
      <c r="BD555" s="132"/>
      <c r="BE555" s="131"/>
      <c r="BF555" s="131"/>
      <c r="BG555" s="131"/>
      <c r="BH555" s="131"/>
    </row>
    <row r="556" spans="19:60" s="20" customFormat="1" ht="22.5" customHeight="1" x14ac:dyDescent="0.25">
      <c r="S556" s="1"/>
      <c r="V556" s="133"/>
      <c r="W556" s="133"/>
      <c r="AF556" s="1"/>
      <c r="AN556" s="1"/>
      <c r="AV556" s="1"/>
      <c r="AW556" s="131"/>
      <c r="AX556" s="131"/>
      <c r="AY556" s="131"/>
      <c r="AZ556" s="131"/>
      <c r="BA556" s="131"/>
      <c r="BB556" s="131"/>
      <c r="BC556" s="131"/>
      <c r="BD556" s="132"/>
      <c r="BE556" s="131"/>
      <c r="BF556" s="131"/>
      <c r="BG556" s="131"/>
      <c r="BH556" s="131"/>
    </row>
    <row r="557" spans="19:60" s="20" customFormat="1" ht="22.5" customHeight="1" x14ac:dyDescent="0.25">
      <c r="S557" s="1"/>
      <c r="V557" s="133"/>
      <c r="W557" s="133"/>
      <c r="AF557" s="1"/>
      <c r="AN557" s="1"/>
      <c r="AV557" s="1"/>
      <c r="AW557" s="131"/>
      <c r="AX557" s="131"/>
      <c r="AY557" s="131"/>
      <c r="AZ557" s="131"/>
      <c r="BA557" s="131"/>
      <c r="BB557" s="131"/>
      <c r="BC557" s="131"/>
      <c r="BD557" s="132"/>
      <c r="BE557" s="131"/>
      <c r="BF557" s="131"/>
      <c r="BG557" s="131"/>
      <c r="BH557" s="131"/>
    </row>
    <row r="558" spans="19:60" s="20" customFormat="1" ht="22.5" customHeight="1" x14ac:dyDescent="0.25">
      <c r="S558" s="1"/>
      <c r="V558" s="133"/>
      <c r="W558" s="133"/>
      <c r="AF558" s="1"/>
      <c r="AN558" s="1"/>
      <c r="AV558" s="1"/>
      <c r="AW558" s="131"/>
      <c r="AX558" s="131"/>
      <c r="AY558" s="131"/>
      <c r="AZ558" s="131"/>
      <c r="BA558" s="131"/>
      <c r="BB558" s="131"/>
      <c r="BC558" s="131"/>
      <c r="BD558" s="132"/>
      <c r="BE558" s="131"/>
      <c r="BF558" s="131"/>
      <c r="BG558" s="131"/>
      <c r="BH558" s="131"/>
    </row>
    <row r="559" spans="19:60" s="20" customFormat="1" ht="22.5" customHeight="1" x14ac:dyDescent="0.25">
      <c r="S559" s="1"/>
      <c r="V559" s="133"/>
      <c r="W559" s="133"/>
      <c r="AF559" s="1"/>
      <c r="AN559" s="1"/>
      <c r="AV559" s="1"/>
      <c r="AW559" s="131"/>
      <c r="AX559" s="131"/>
      <c r="AY559" s="131"/>
      <c r="AZ559" s="131"/>
      <c r="BA559" s="131"/>
      <c r="BB559" s="131"/>
      <c r="BC559" s="131"/>
      <c r="BD559" s="132"/>
      <c r="BE559" s="131"/>
      <c r="BF559" s="131"/>
      <c r="BG559" s="131"/>
      <c r="BH559" s="131"/>
    </row>
    <row r="560" spans="19:60" s="20" customFormat="1" ht="22.5" customHeight="1" x14ac:dyDescent="0.25">
      <c r="S560" s="1"/>
      <c r="V560" s="133"/>
      <c r="W560" s="133"/>
      <c r="AF560" s="1"/>
      <c r="AN560" s="1"/>
      <c r="AV560" s="1"/>
      <c r="AW560" s="131"/>
      <c r="AX560" s="131"/>
      <c r="AY560" s="131"/>
      <c r="AZ560" s="131"/>
      <c r="BA560" s="131"/>
      <c r="BB560" s="131"/>
      <c r="BC560" s="131"/>
      <c r="BD560" s="132"/>
      <c r="BE560" s="131"/>
      <c r="BF560" s="131"/>
      <c r="BG560" s="131"/>
      <c r="BH560" s="131"/>
    </row>
    <row r="561" spans="19:60" s="20" customFormat="1" ht="22.5" customHeight="1" x14ac:dyDescent="0.25">
      <c r="S561" s="1"/>
      <c r="V561" s="133"/>
      <c r="W561" s="133"/>
      <c r="AF561" s="1"/>
      <c r="AN561" s="1"/>
      <c r="AV561" s="1"/>
      <c r="AW561" s="131"/>
      <c r="AX561" s="131"/>
      <c r="AY561" s="131"/>
      <c r="AZ561" s="131"/>
      <c r="BA561" s="131"/>
      <c r="BB561" s="131"/>
      <c r="BC561" s="131"/>
      <c r="BD561" s="132"/>
      <c r="BE561" s="131"/>
      <c r="BF561" s="131"/>
      <c r="BG561" s="131"/>
      <c r="BH561" s="131"/>
    </row>
    <row r="562" spans="19:60" s="20" customFormat="1" ht="22.5" customHeight="1" x14ac:dyDescent="0.25">
      <c r="S562" s="1"/>
      <c r="V562" s="133"/>
      <c r="W562" s="133"/>
      <c r="AF562" s="1"/>
      <c r="AN562" s="1"/>
      <c r="AV562" s="1"/>
      <c r="AW562" s="131"/>
      <c r="AX562" s="131"/>
      <c r="AY562" s="131"/>
      <c r="AZ562" s="131"/>
      <c r="BA562" s="131"/>
      <c r="BB562" s="131"/>
      <c r="BC562" s="131"/>
      <c r="BD562" s="132"/>
      <c r="BE562" s="131"/>
      <c r="BF562" s="131"/>
      <c r="BG562" s="131"/>
      <c r="BH562" s="131"/>
    </row>
    <row r="563" spans="19:60" s="20" customFormat="1" ht="22.5" customHeight="1" x14ac:dyDescent="0.25">
      <c r="S563" s="1"/>
      <c r="V563" s="133"/>
      <c r="W563" s="133"/>
      <c r="AF563" s="1"/>
      <c r="AN563" s="1"/>
      <c r="AV563" s="1"/>
      <c r="AW563" s="131"/>
      <c r="AX563" s="131"/>
      <c r="AY563" s="131"/>
      <c r="AZ563" s="131"/>
      <c r="BA563" s="131"/>
      <c r="BB563" s="131"/>
      <c r="BC563" s="131"/>
      <c r="BD563" s="132"/>
      <c r="BE563" s="131"/>
      <c r="BF563" s="131"/>
      <c r="BG563" s="131"/>
      <c r="BH563" s="131"/>
    </row>
    <row r="564" spans="19:60" s="20" customFormat="1" ht="22.5" customHeight="1" x14ac:dyDescent="0.25">
      <c r="S564" s="1"/>
      <c r="V564" s="133"/>
      <c r="W564" s="133"/>
      <c r="AF564" s="1"/>
      <c r="AN564" s="1"/>
      <c r="AV564" s="1"/>
      <c r="AW564" s="131"/>
      <c r="AX564" s="131"/>
      <c r="AY564" s="131"/>
      <c r="AZ564" s="131"/>
      <c r="BA564" s="131"/>
      <c r="BB564" s="131"/>
      <c r="BC564" s="131"/>
      <c r="BD564" s="132"/>
      <c r="BE564" s="131"/>
      <c r="BF564" s="131"/>
      <c r="BG564" s="131"/>
      <c r="BH564" s="131"/>
    </row>
    <row r="565" spans="19:60" s="20" customFormat="1" ht="22.5" customHeight="1" x14ac:dyDescent="0.25">
      <c r="S565" s="1"/>
      <c r="V565" s="133"/>
      <c r="W565" s="133"/>
      <c r="AF565" s="1"/>
      <c r="AN565" s="1"/>
      <c r="AV565" s="1"/>
      <c r="AW565" s="131"/>
      <c r="AX565" s="131"/>
      <c r="AY565" s="131"/>
      <c r="AZ565" s="131"/>
      <c r="BA565" s="131"/>
      <c r="BB565" s="131"/>
      <c r="BC565" s="131"/>
      <c r="BD565" s="132"/>
      <c r="BE565" s="131"/>
      <c r="BF565" s="131"/>
      <c r="BG565" s="131"/>
      <c r="BH565" s="131"/>
    </row>
    <row r="566" spans="19:60" s="20" customFormat="1" ht="22.5" customHeight="1" x14ac:dyDescent="0.25">
      <c r="S566" s="1"/>
      <c r="V566" s="133"/>
      <c r="W566" s="133"/>
      <c r="AF566" s="1"/>
      <c r="AN566" s="1"/>
      <c r="AV566" s="1"/>
      <c r="AW566" s="131"/>
      <c r="AX566" s="131"/>
      <c r="AY566" s="131"/>
      <c r="AZ566" s="131"/>
      <c r="BA566" s="131"/>
      <c r="BB566" s="131"/>
      <c r="BC566" s="131"/>
      <c r="BD566" s="132"/>
      <c r="BE566" s="131"/>
      <c r="BF566" s="131"/>
      <c r="BG566" s="131"/>
      <c r="BH566" s="131"/>
    </row>
    <row r="567" spans="19:60" s="20" customFormat="1" ht="22.5" customHeight="1" x14ac:dyDescent="0.25">
      <c r="S567" s="1"/>
      <c r="V567" s="133"/>
      <c r="W567" s="133"/>
      <c r="AF567" s="1"/>
      <c r="AN567" s="1"/>
      <c r="AV567" s="1"/>
      <c r="AW567" s="131"/>
      <c r="AX567" s="131"/>
      <c r="AY567" s="131"/>
      <c r="AZ567" s="131"/>
      <c r="BA567" s="131"/>
      <c r="BB567" s="131"/>
      <c r="BC567" s="131"/>
      <c r="BD567" s="132"/>
      <c r="BE567" s="131"/>
      <c r="BF567" s="131"/>
      <c r="BG567" s="131"/>
      <c r="BH567" s="131"/>
    </row>
    <row r="568" spans="19:60" s="20" customFormat="1" ht="22.5" customHeight="1" x14ac:dyDescent="0.25">
      <c r="S568" s="1"/>
      <c r="V568" s="133"/>
      <c r="W568" s="133"/>
      <c r="AF568" s="1"/>
      <c r="AN568" s="1"/>
      <c r="AV568" s="1"/>
      <c r="AW568" s="131"/>
      <c r="AX568" s="131"/>
      <c r="AY568" s="131"/>
      <c r="AZ568" s="131"/>
      <c r="BA568" s="131"/>
      <c r="BB568" s="131"/>
      <c r="BC568" s="131"/>
      <c r="BD568" s="132"/>
      <c r="BE568" s="131"/>
      <c r="BF568" s="131"/>
      <c r="BG568" s="131"/>
      <c r="BH568" s="131"/>
    </row>
    <row r="569" spans="19:60" s="20" customFormat="1" ht="22.5" customHeight="1" x14ac:dyDescent="0.25">
      <c r="S569" s="1"/>
      <c r="V569" s="133"/>
      <c r="W569" s="133"/>
      <c r="AF569" s="1"/>
      <c r="AN569" s="1"/>
      <c r="AV569" s="1"/>
      <c r="AW569" s="131"/>
      <c r="AX569" s="131"/>
      <c r="AY569" s="131"/>
      <c r="AZ569" s="131"/>
      <c r="BA569" s="131"/>
      <c r="BB569" s="131"/>
      <c r="BC569" s="131"/>
      <c r="BD569" s="132"/>
      <c r="BE569" s="131"/>
      <c r="BF569" s="131"/>
      <c r="BG569" s="131"/>
      <c r="BH569" s="131"/>
    </row>
    <row r="570" spans="19:60" s="20" customFormat="1" ht="22.5" customHeight="1" x14ac:dyDescent="0.25">
      <c r="S570" s="1"/>
      <c r="V570" s="133"/>
      <c r="W570" s="133"/>
      <c r="AF570" s="1"/>
      <c r="AN570" s="1"/>
      <c r="AV570" s="1"/>
      <c r="AW570" s="131"/>
      <c r="AX570" s="131"/>
      <c r="AY570" s="131"/>
      <c r="AZ570" s="131"/>
      <c r="BA570" s="131"/>
      <c r="BB570" s="131"/>
      <c r="BC570" s="131"/>
      <c r="BD570" s="132"/>
      <c r="BE570" s="131"/>
      <c r="BF570" s="131"/>
      <c r="BG570" s="131"/>
      <c r="BH570" s="131"/>
    </row>
    <row r="571" spans="19:60" s="20" customFormat="1" ht="22.5" customHeight="1" x14ac:dyDescent="0.25">
      <c r="S571" s="1"/>
      <c r="V571" s="133"/>
      <c r="W571" s="133"/>
      <c r="AF571" s="1"/>
      <c r="AN571" s="1"/>
      <c r="AV571" s="1"/>
      <c r="AW571" s="131"/>
      <c r="AX571" s="131"/>
      <c r="AY571" s="131"/>
      <c r="AZ571" s="131"/>
      <c r="BA571" s="131"/>
      <c r="BB571" s="131"/>
      <c r="BC571" s="131"/>
      <c r="BD571" s="132"/>
      <c r="BE571" s="131"/>
      <c r="BF571" s="131"/>
      <c r="BG571" s="131"/>
      <c r="BH571" s="131"/>
    </row>
    <row r="572" spans="19:60" s="20" customFormat="1" ht="22.5" customHeight="1" x14ac:dyDescent="0.25">
      <c r="S572" s="1"/>
      <c r="V572" s="133"/>
      <c r="W572" s="133"/>
      <c r="AF572" s="1"/>
      <c r="AN572" s="1"/>
      <c r="AV572" s="1"/>
      <c r="AW572" s="131"/>
      <c r="AX572" s="131"/>
      <c r="AY572" s="131"/>
      <c r="AZ572" s="131"/>
      <c r="BA572" s="131"/>
      <c r="BB572" s="131"/>
      <c r="BC572" s="131"/>
      <c r="BD572" s="132"/>
      <c r="BE572" s="131"/>
      <c r="BF572" s="131"/>
      <c r="BG572" s="131"/>
      <c r="BH572" s="131"/>
    </row>
    <row r="573" spans="19:60" s="20" customFormat="1" ht="22.5" customHeight="1" x14ac:dyDescent="0.25">
      <c r="S573" s="1"/>
      <c r="V573" s="133"/>
      <c r="W573" s="133"/>
      <c r="AF573" s="1"/>
      <c r="AN573" s="1"/>
      <c r="AV573" s="1"/>
      <c r="AW573" s="131"/>
      <c r="AX573" s="131"/>
      <c r="AY573" s="131"/>
      <c r="AZ573" s="131"/>
      <c r="BA573" s="131"/>
      <c r="BB573" s="131"/>
      <c r="BC573" s="131"/>
      <c r="BD573" s="132"/>
      <c r="BE573" s="131"/>
      <c r="BF573" s="131"/>
      <c r="BG573" s="131"/>
      <c r="BH573" s="131"/>
    </row>
    <row r="574" spans="19:60" s="20" customFormat="1" ht="22.5" customHeight="1" x14ac:dyDescent="0.25">
      <c r="S574" s="1"/>
      <c r="V574" s="133"/>
      <c r="W574" s="133"/>
      <c r="AF574" s="1"/>
      <c r="AN574" s="1"/>
      <c r="AV574" s="1"/>
      <c r="AW574" s="131"/>
      <c r="AX574" s="131"/>
      <c r="AY574" s="131"/>
      <c r="AZ574" s="131"/>
      <c r="BA574" s="131"/>
      <c r="BB574" s="131"/>
      <c r="BC574" s="131"/>
      <c r="BD574" s="132"/>
      <c r="BE574" s="131"/>
      <c r="BF574" s="131"/>
      <c r="BG574" s="131"/>
      <c r="BH574" s="131"/>
    </row>
    <row r="575" spans="19:60" s="20" customFormat="1" ht="22.5" customHeight="1" x14ac:dyDescent="0.25">
      <c r="S575" s="1"/>
      <c r="V575" s="133"/>
      <c r="W575" s="133"/>
      <c r="AF575" s="1"/>
      <c r="AN575" s="1"/>
      <c r="AV575" s="1"/>
      <c r="AW575" s="131"/>
      <c r="AX575" s="131"/>
      <c r="AY575" s="131"/>
      <c r="AZ575" s="131"/>
      <c r="BA575" s="131"/>
      <c r="BB575" s="131"/>
      <c r="BC575" s="131"/>
      <c r="BD575" s="132"/>
      <c r="BE575" s="131"/>
      <c r="BF575" s="131"/>
      <c r="BG575" s="131"/>
      <c r="BH575" s="131"/>
    </row>
    <row r="576" spans="19:60" s="20" customFormat="1" ht="22.5" customHeight="1" x14ac:dyDescent="0.25">
      <c r="S576" s="1"/>
      <c r="V576" s="133"/>
      <c r="W576" s="133"/>
      <c r="AF576" s="1"/>
      <c r="AN576" s="1"/>
      <c r="AV576" s="1"/>
      <c r="AW576" s="131"/>
      <c r="AX576" s="131"/>
      <c r="AY576" s="131"/>
      <c r="AZ576" s="131"/>
      <c r="BA576" s="131"/>
      <c r="BB576" s="131"/>
      <c r="BC576" s="131"/>
      <c r="BD576" s="132"/>
      <c r="BE576" s="131"/>
      <c r="BF576" s="131"/>
      <c r="BG576" s="131"/>
      <c r="BH576" s="131"/>
    </row>
    <row r="577" spans="19:60" s="20" customFormat="1" ht="22.5" customHeight="1" x14ac:dyDescent="0.25">
      <c r="S577" s="1"/>
      <c r="V577" s="133"/>
      <c r="W577" s="133"/>
      <c r="AF577" s="1"/>
      <c r="AN577" s="1"/>
      <c r="AV577" s="1"/>
      <c r="AW577" s="131"/>
      <c r="AX577" s="131"/>
      <c r="AY577" s="131"/>
      <c r="AZ577" s="131"/>
      <c r="BA577" s="131"/>
      <c r="BB577" s="131"/>
      <c r="BC577" s="131"/>
      <c r="BD577" s="132"/>
      <c r="BE577" s="131"/>
      <c r="BF577" s="131"/>
      <c r="BG577" s="131"/>
      <c r="BH577" s="131"/>
    </row>
    <row r="578" spans="19:60" s="20" customFormat="1" ht="22.5" customHeight="1" x14ac:dyDescent="0.25">
      <c r="S578" s="1"/>
      <c r="V578" s="133"/>
      <c r="W578" s="133"/>
      <c r="AF578" s="1"/>
      <c r="AN578" s="1"/>
      <c r="AV578" s="1"/>
      <c r="AW578" s="131"/>
      <c r="AX578" s="131"/>
      <c r="AY578" s="131"/>
      <c r="AZ578" s="131"/>
      <c r="BA578" s="131"/>
      <c r="BB578" s="131"/>
      <c r="BC578" s="131"/>
      <c r="BD578" s="132"/>
      <c r="BE578" s="131"/>
      <c r="BF578" s="131"/>
      <c r="BG578" s="131"/>
      <c r="BH578" s="131"/>
    </row>
    <row r="579" spans="19:60" s="20" customFormat="1" ht="22.5" customHeight="1" x14ac:dyDescent="0.25">
      <c r="S579" s="1"/>
      <c r="V579" s="133"/>
      <c r="W579" s="133"/>
      <c r="AF579" s="1"/>
      <c r="AN579" s="1"/>
      <c r="AV579" s="1"/>
      <c r="AW579" s="131"/>
      <c r="AX579" s="131"/>
      <c r="AY579" s="131"/>
      <c r="AZ579" s="131"/>
      <c r="BA579" s="131"/>
      <c r="BB579" s="131"/>
      <c r="BC579" s="131"/>
      <c r="BD579" s="132"/>
      <c r="BE579" s="131"/>
      <c r="BF579" s="131"/>
      <c r="BG579" s="131"/>
      <c r="BH579" s="131"/>
    </row>
    <row r="580" spans="19:60" s="20" customFormat="1" ht="22.5" customHeight="1" x14ac:dyDescent="0.25">
      <c r="S580" s="1"/>
      <c r="V580" s="133"/>
      <c r="W580" s="133"/>
      <c r="AF580" s="1"/>
      <c r="AN580" s="1"/>
      <c r="AV580" s="1"/>
      <c r="AW580" s="131"/>
      <c r="AX580" s="131"/>
      <c r="AY580" s="131"/>
      <c r="AZ580" s="131"/>
      <c r="BA580" s="131"/>
      <c r="BB580" s="131"/>
      <c r="BC580" s="131"/>
      <c r="BD580" s="132"/>
      <c r="BE580" s="131"/>
      <c r="BF580" s="131"/>
      <c r="BG580" s="131"/>
      <c r="BH580" s="131"/>
    </row>
    <row r="581" spans="19:60" s="20" customFormat="1" ht="22.5" customHeight="1" x14ac:dyDescent="0.25">
      <c r="S581" s="1"/>
      <c r="V581" s="133"/>
      <c r="W581" s="133"/>
      <c r="AF581" s="1"/>
      <c r="AN581" s="1"/>
      <c r="AV581" s="1"/>
      <c r="AW581" s="131"/>
      <c r="AX581" s="131"/>
      <c r="AY581" s="131"/>
      <c r="AZ581" s="131"/>
      <c r="BA581" s="131"/>
      <c r="BB581" s="131"/>
      <c r="BC581" s="131"/>
      <c r="BD581" s="132"/>
      <c r="BE581" s="131"/>
      <c r="BF581" s="131"/>
      <c r="BG581" s="131"/>
      <c r="BH581" s="131"/>
    </row>
    <row r="582" spans="19:60" s="20" customFormat="1" ht="22.5" customHeight="1" x14ac:dyDescent="0.25">
      <c r="S582" s="1"/>
      <c r="V582" s="133"/>
      <c r="W582" s="133"/>
      <c r="AF582" s="1"/>
      <c r="AN582" s="1"/>
      <c r="AV582" s="1"/>
      <c r="AW582" s="131"/>
      <c r="AX582" s="131"/>
      <c r="AY582" s="131"/>
      <c r="AZ582" s="131"/>
      <c r="BA582" s="131"/>
      <c r="BB582" s="131"/>
      <c r="BC582" s="131"/>
      <c r="BD582" s="132"/>
      <c r="BE582" s="131"/>
      <c r="BF582" s="131"/>
      <c r="BG582" s="131"/>
      <c r="BH582" s="131"/>
    </row>
  </sheetData>
  <sheetProtection algorithmName="SHA-512" hashValue="Jf0MVxKG8E/SVVpLLCfGuUkXbouhS7ck8VVOSIAxK1YLqRXCftaERFR9YtR6AsWrEXBPdcc5lok23WFYV4nCJg==" saltValue="IOOHCm86MNSwJjULkH6K4A==" spinCount="100000" sheet="1" objects="1" selectLockedCells="1" selectUnlockedCells="1"/>
  <mergeCells count="629">
    <mergeCell ref="C1:BR3"/>
    <mergeCell ref="A4:K4"/>
    <mergeCell ref="L4:P5"/>
    <mergeCell ref="Q4:U5"/>
    <mergeCell ref="V4:W5"/>
    <mergeCell ref="X4:X5"/>
    <mergeCell ref="Y4:AF4"/>
    <mergeCell ref="AG4:AN4"/>
    <mergeCell ref="AO4:AV4"/>
    <mergeCell ref="AW4:BD4"/>
    <mergeCell ref="BE4:BL4"/>
    <mergeCell ref="BM4:BT4"/>
    <mergeCell ref="A5:C5"/>
    <mergeCell ref="E5:F5"/>
    <mergeCell ref="G5:I5"/>
    <mergeCell ref="J5:J6"/>
    <mergeCell ref="K5:K6"/>
    <mergeCell ref="Y5:AB5"/>
    <mergeCell ref="AC5:AF5"/>
    <mergeCell ref="AG5:AJ5"/>
    <mergeCell ref="A7:A9"/>
    <mergeCell ref="B7:B9"/>
    <mergeCell ref="C7:C9"/>
    <mergeCell ref="D7:D9"/>
    <mergeCell ref="E7:E8"/>
    <mergeCell ref="F7:F9"/>
    <mergeCell ref="G7:G9"/>
    <mergeCell ref="AK5:AN5"/>
    <mergeCell ref="AO5:AR5"/>
    <mergeCell ref="W7:W40"/>
    <mergeCell ref="H7:H9"/>
    <mergeCell ref="I7:I9"/>
    <mergeCell ref="J7:J9"/>
    <mergeCell ref="K7:K9"/>
    <mergeCell ref="L7:L8"/>
    <mergeCell ref="M7:M8"/>
    <mergeCell ref="BI5:BL5"/>
    <mergeCell ref="BM5:BP5"/>
    <mergeCell ref="BQ5:BT5"/>
    <mergeCell ref="AS5:AV5"/>
    <mergeCell ref="AW5:AZ5"/>
    <mergeCell ref="BA5:BD5"/>
    <mergeCell ref="BE5:BH5"/>
    <mergeCell ref="Y7:Y8"/>
    <mergeCell ref="Z7:Z8"/>
    <mergeCell ref="AA7:AA8"/>
    <mergeCell ref="AB7:AB8"/>
    <mergeCell ref="AG7:AG8"/>
    <mergeCell ref="AH7:AH8"/>
    <mergeCell ref="N7:N8"/>
    <mergeCell ref="O7:O8"/>
    <mergeCell ref="P7:P8"/>
    <mergeCell ref="V7:V9"/>
    <mergeCell ref="X7:X9"/>
    <mergeCell ref="AC9:AF9"/>
    <mergeCell ref="AK9:AN9"/>
    <mergeCell ref="AS9:AV9"/>
    <mergeCell ref="BA9:BD9"/>
    <mergeCell ref="BI9:BL9"/>
    <mergeCell ref="BQ9:BT9"/>
    <mergeCell ref="BG7:BG8"/>
    <mergeCell ref="BH7:BH8"/>
    <mergeCell ref="BM7:BM8"/>
    <mergeCell ref="BN7:BN8"/>
    <mergeCell ref="BO7:BO8"/>
    <mergeCell ref="BP7:BP8"/>
    <mergeCell ref="AW7:AW8"/>
    <mergeCell ref="AX7:AX8"/>
    <mergeCell ref="AY7:AY8"/>
    <mergeCell ref="AZ7:AZ8"/>
    <mergeCell ref="BE7:BE8"/>
    <mergeCell ref="BF7:BF8"/>
    <mergeCell ref="AI7:AI8"/>
    <mergeCell ref="AJ7:AJ8"/>
    <mergeCell ref="AO7:AO8"/>
    <mergeCell ref="AP7:AP8"/>
    <mergeCell ref="AQ7:AQ8"/>
    <mergeCell ref="AR7:AR8"/>
    <mergeCell ref="BI10:BJ10"/>
    <mergeCell ref="BM10:BN10"/>
    <mergeCell ref="BQ10:BR10"/>
    <mergeCell ref="Y10:Z10"/>
    <mergeCell ref="AC10:AD10"/>
    <mergeCell ref="AG10:AH10"/>
    <mergeCell ref="AK10:AL10"/>
    <mergeCell ref="AO10:AP10"/>
    <mergeCell ref="AS10:AT10"/>
    <mergeCell ref="A11:A12"/>
    <mergeCell ref="B11:B12"/>
    <mergeCell ref="C11:C12"/>
    <mergeCell ref="D11:D12"/>
    <mergeCell ref="E11:E12"/>
    <mergeCell ref="F11:F12"/>
    <mergeCell ref="AW10:AX10"/>
    <mergeCell ref="BA10:BB10"/>
    <mergeCell ref="BE10:BF10"/>
    <mergeCell ref="P11:P12"/>
    <mergeCell ref="V11:V14"/>
    <mergeCell ref="M13:M14"/>
    <mergeCell ref="N13:N14"/>
    <mergeCell ref="O13:O14"/>
    <mergeCell ref="P13:P14"/>
    <mergeCell ref="G11:G12"/>
    <mergeCell ref="H11:H12"/>
    <mergeCell ref="I11:I12"/>
    <mergeCell ref="J11:J12"/>
    <mergeCell ref="K11:K12"/>
    <mergeCell ref="L11:L12"/>
    <mergeCell ref="BN11:BN12"/>
    <mergeCell ref="BO11:BO12"/>
    <mergeCell ref="BP11:BP12"/>
    <mergeCell ref="AW11:AW12"/>
    <mergeCell ref="AX11:AX12"/>
    <mergeCell ref="AY11:AY12"/>
    <mergeCell ref="AZ11:AZ12"/>
    <mergeCell ref="BE11:BE12"/>
    <mergeCell ref="BF11:BF12"/>
    <mergeCell ref="A13:A14"/>
    <mergeCell ref="B13:B14"/>
    <mergeCell ref="C13:C14"/>
    <mergeCell ref="D13:D14"/>
    <mergeCell ref="E13:E14"/>
    <mergeCell ref="F13:F14"/>
    <mergeCell ref="BG11:BG12"/>
    <mergeCell ref="BH11:BH12"/>
    <mergeCell ref="BM11:BM12"/>
    <mergeCell ref="AI11:AI12"/>
    <mergeCell ref="AJ11:AJ12"/>
    <mergeCell ref="AO11:AO12"/>
    <mergeCell ref="AP11:AP12"/>
    <mergeCell ref="AQ11:AQ12"/>
    <mergeCell ref="AR11:AR12"/>
    <mergeCell ref="Y11:Y12"/>
    <mergeCell ref="Z11:Z12"/>
    <mergeCell ref="AA11:AA12"/>
    <mergeCell ref="AB11:AB12"/>
    <mergeCell ref="AG11:AG12"/>
    <mergeCell ref="AH11:AH12"/>
    <mergeCell ref="M11:M12"/>
    <mergeCell ref="N11:N12"/>
    <mergeCell ref="O11:O12"/>
    <mergeCell ref="Y13:Y14"/>
    <mergeCell ref="Z13:Z14"/>
    <mergeCell ref="AA13:AA14"/>
    <mergeCell ref="AB13:AB14"/>
    <mergeCell ref="AG13:AG14"/>
    <mergeCell ref="AH13:AH14"/>
    <mergeCell ref="G13:G14"/>
    <mergeCell ref="H13:H14"/>
    <mergeCell ref="I13:I14"/>
    <mergeCell ref="J13:J14"/>
    <mergeCell ref="K13:K14"/>
    <mergeCell ref="L13:L14"/>
    <mergeCell ref="AX13:AX14"/>
    <mergeCell ref="AY13:AY14"/>
    <mergeCell ref="AZ13:AZ14"/>
    <mergeCell ref="BE13:BE14"/>
    <mergeCell ref="BF13:BF14"/>
    <mergeCell ref="AI13:AI14"/>
    <mergeCell ref="AJ13:AJ14"/>
    <mergeCell ref="AO13:AO14"/>
    <mergeCell ref="AP13:AP14"/>
    <mergeCell ref="AQ13:AQ14"/>
    <mergeCell ref="AR13:AR14"/>
    <mergeCell ref="A16:A17"/>
    <mergeCell ref="B16:B17"/>
    <mergeCell ref="C16:C17"/>
    <mergeCell ref="D16:D17"/>
    <mergeCell ref="E16:E17"/>
    <mergeCell ref="F16:F17"/>
    <mergeCell ref="G16:G17"/>
    <mergeCell ref="BQ14:BT14"/>
    <mergeCell ref="Y15:Z15"/>
    <mergeCell ref="AC15:AD15"/>
    <mergeCell ref="AG15:AH15"/>
    <mergeCell ref="AK15:AL15"/>
    <mergeCell ref="AO15:AP15"/>
    <mergeCell ref="AS15:AT15"/>
    <mergeCell ref="AW15:AX15"/>
    <mergeCell ref="BA15:BB15"/>
    <mergeCell ref="BE15:BF15"/>
    <mergeCell ref="BG13:BG14"/>
    <mergeCell ref="BH13:BH14"/>
    <mergeCell ref="BM13:BM14"/>
    <mergeCell ref="BN13:BN14"/>
    <mergeCell ref="BO13:BO14"/>
    <mergeCell ref="BP13:BP14"/>
    <mergeCell ref="AW13:AW14"/>
    <mergeCell ref="H16:H17"/>
    <mergeCell ref="I16:I17"/>
    <mergeCell ref="J16:J17"/>
    <mergeCell ref="K16:K17"/>
    <mergeCell ref="L16:L17"/>
    <mergeCell ref="M16:M17"/>
    <mergeCell ref="BI15:BJ15"/>
    <mergeCell ref="BM15:BN15"/>
    <mergeCell ref="BQ15:BR15"/>
    <mergeCell ref="AB16:AB17"/>
    <mergeCell ref="AG16:AG17"/>
    <mergeCell ref="AH16:AH17"/>
    <mergeCell ref="AI16:AI17"/>
    <mergeCell ref="N16:N17"/>
    <mergeCell ref="O16:O17"/>
    <mergeCell ref="P16:P17"/>
    <mergeCell ref="V16:V19"/>
    <mergeCell ref="Y16:Y17"/>
    <mergeCell ref="BH16:BH17"/>
    <mergeCell ref="BM16:BM17"/>
    <mergeCell ref="BN16:BN17"/>
    <mergeCell ref="BO16:BO17"/>
    <mergeCell ref="BP16:BP17"/>
    <mergeCell ref="A18:A19"/>
    <mergeCell ref="B18:B19"/>
    <mergeCell ref="C18:C19"/>
    <mergeCell ref="D18:D19"/>
    <mergeCell ref="E18:E19"/>
    <mergeCell ref="AX16:AX17"/>
    <mergeCell ref="AY16:AY17"/>
    <mergeCell ref="AZ16:AZ17"/>
    <mergeCell ref="BE16:BE17"/>
    <mergeCell ref="BF16:BF17"/>
    <mergeCell ref="BG16:BG17"/>
    <mergeCell ref="AJ16:AJ17"/>
    <mergeCell ref="AO16:AO17"/>
    <mergeCell ref="AP16:AP17"/>
    <mergeCell ref="AQ16:AQ17"/>
    <mergeCell ref="AR16:AR17"/>
    <mergeCell ref="AW16:AW17"/>
    <mergeCell ref="Z16:Z17"/>
    <mergeCell ref="AA16:AA17"/>
    <mergeCell ref="L18:L19"/>
    <mergeCell ref="M18:M19"/>
    <mergeCell ref="N18:N19"/>
    <mergeCell ref="O18:O19"/>
    <mergeCell ref="P18:P19"/>
    <mergeCell ref="Y18:Y19"/>
    <mergeCell ref="F18:F19"/>
    <mergeCell ref="G18:G19"/>
    <mergeCell ref="H18:H19"/>
    <mergeCell ref="I18:I19"/>
    <mergeCell ref="J18:J19"/>
    <mergeCell ref="K18:K19"/>
    <mergeCell ref="AJ18:AJ19"/>
    <mergeCell ref="AO18:AO19"/>
    <mergeCell ref="AP18:AP19"/>
    <mergeCell ref="AQ18:AQ19"/>
    <mergeCell ref="AR18:AR19"/>
    <mergeCell ref="AW18:AW19"/>
    <mergeCell ref="Z18:Z19"/>
    <mergeCell ref="AA18:AA19"/>
    <mergeCell ref="AB18:AB19"/>
    <mergeCell ref="AG18:AG19"/>
    <mergeCell ref="AH18:AH19"/>
    <mergeCell ref="AI18:AI19"/>
    <mergeCell ref="BH18:BH19"/>
    <mergeCell ref="BM18:BM19"/>
    <mergeCell ref="BN18:BN19"/>
    <mergeCell ref="BO18:BO19"/>
    <mergeCell ref="BP18:BP19"/>
    <mergeCell ref="BQ19:BT19"/>
    <mergeCell ref="AX18:AX19"/>
    <mergeCell ref="AY18:AY19"/>
    <mergeCell ref="AZ18:AZ19"/>
    <mergeCell ref="BE18:BE19"/>
    <mergeCell ref="BF18:BF19"/>
    <mergeCell ref="BG18:BG19"/>
    <mergeCell ref="BI20:BJ20"/>
    <mergeCell ref="BM20:BN20"/>
    <mergeCell ref="BQ20:BR20"/>
    <mergeCell ref="Y20:Z20"/>
    <mergeCell ref="AC20:AD20"/>
    <mergeCell ref="AG20:AH20"/>
    <mergeCell ref="AK20:AL20"/>
    <mergeCell ref="AO20:AP20"/>
    <mergeCell ref="AS20:AT20"/>
    <mergeCell ref="A21:A22"/>
    <mergeCell ref="B21:B22"/>
    <mergeCell ref="C21:C22"/>
    <mergeCell ref="D21:D22"/>
    <mergeCell ref="E21:E22"/>
    <mergeCell ref="F21:F22"/>
    <mergeCell ref="AW20:AX20"/>
    <mergeCell ref="BA20:BB20"/>
    <mergeCell ref="BE20:BF20"/>
    <mergeCell ref="P21:P22"/>
    <mergeCell ref="V21:V24"/>
    <mergeCell ref="M23:M24"/>
    <mergeCell ref="N23:N24"/>
    <mergeCell ref="O23:O24"/>
    <mergeCell ref="P23:P24"/>
    <mergeCell ref="G21:G22"/>
    <mergeCell ref="H21:H22"/>
    <mergeCell ref="I21:I22"/>
    <mergeCell ref="J21:J22"/>
    <mergeCell ref="K21:K22"/>
    <mergeCell ref="L21:L22"/>
    <mergeCell ref="BN21:BN22"/>
    <mergeCell ref="BO21:BO22"/>
    <mergeCell ref="BP21:BP22"/>
    <mergeCell ref="AW21:AW22"/>
    <mergeCell ref="AX21:AX22"/>
    <mergeCell ref="AY21:AY22"/>
    <mergeCell ref="AZ21:AZ22"/>
    <mergeCell ref="BE21:BE22"/>
    <mergeCell ref="BF21:BF22"/>
    <mergeCell ref="A23:A24"/>
    <mergeCell ref="B23:B24"/>
    <mergeCell ref="C23:C24"/>
    <mergeCell ref="D23:D24"/>
    <mergeCell ref="E23:E24"/>
    <mergeCell ref="F23:F24"/>
    <mergeCell ref="BG21:BG22"/>
    <mergeCell ref="BH21:BH22"/>
    <mergeCell ref="BM21:BM22"/>
    <mergeCell ref="AI21:AI22"/>
    <mergeCell ref="AJ21:AJ22"/>
    <mergeCell ref="AO21:AO22"/>
    <mergeCell ref="AP21:AP22"/>
    <mergeCell ref="AQ21:AQ22"/>
    <mergeCell ref="AR21:AR22"/>
    <mergeCell ref="Y21:Y22"/>
    <mergeCell ref="Z21:Z22"/>
    <mergeCell ref="AA21:AA22"/>
    <mergeCell ref="AB21:AB22"/>
    <mergeCell ref="AG21:AG22"/>
    <mergeCell ref="AH21:AH22"/>
    <mergeCell ref="M21:M22"/>
    <mergeCell ref="N21:N22"/>
    <mergeCell ref="O21:O22"/>
    <mergeCell ref="Y23:Y24"/>
    <mergeCell ref="Z23:Z24"/>
    <mergeCell ref="AA23:AA24"/>
    <mergeCell ref="AB23:AB24"/>
    <mergeCell ref="AG23:AG24"/>
    <mergeCell ref="AH23:AH24"/>
    <mergeCell ref="G23:G24"/>
    <mergeCell ref="H23:H24"/>
    <mergeCell ref="I23:I24"/>
    <mergeCell ref="J23:J24"/>
    <mergeCell ref="K23:K24"/>
    <mergeCell ref="L23:L24"/>
    <mergeCell ref="AX23:AX24"/>
    <mergeCell ref="AY23:AY24"/>
    <mergeCell ref="AZ23:AZ24"/>
    <mergeCell ref="BE23:BE24"/>
    <mergeCell ref="BF23:BF24"/>
    <mergeCell ref="AI23:AI24"/>
    <mergeCell ref="AJ23:AJ24"/>
    <mergeCell ref="AO23:AO24"/>
    <mergeCell ref="AP23:AP24"/>
    <mergeCell ref="AQ23:AQ24"/>
    <mergeCell ref="AR23:AR24"/>
    <mergeCell ref="A26:A27"/>
    <mergeCell ref="B26:B27"/>
    <mergeCell ref="C26:C27"/>
    <mergeCell ref="D26:D27"/>
    <mergeCell ref="E26:E27"/>
    <mergeCell ref="F26:F27"/>
    <mergeCell ref="G26:G27"/>
    <mergeCell ref="BQ24:BT24"/>
    <mergeCell ref="Y25:Z25"/>
    <mergeCell ref="AC25:AD25"/>
    <mergeCell ref="AG25:AH25"/>
    <mergeCell ref="AK25:AL25"/>
    <mergeCell ref="AO25:AP25"/>
    <mergeCell ref="AS25:AT25"/>
    <mergeCell ref="AW25:AX25"/>
    <mergeCell ref="BA25:BB25"/>
    <mergeCell ref="BE25:BF25"/>
    <mergeCell ref="BG23:BG24"/>
    <mergeCell ref="BH23:BH24"/>
    <mergeCell ref="BM23:BM24"/>
    <mergeCell ref="BN23:BN24"/>
    <mergeCell ref="BO23:BO24"/>
    <mergeCell ref="BP23:BP24"/>
    <mergeCell ref="AW23:AW24"/>
    <mergeCell ref="H26:H27"/>
    <mergeCell ref="I26:I27"/>
    <mergeCell ref="J26:J27"/>
    <mergeCell ref="K26:K27"/>
    <mergeCell ref="L26:L27"/>
    <mergeCell ref="M26:M27"/>
    <mergeCell ref="BI25:BJ25"/>
    <mergeCell ref="BM25:BN25"/>
    <mergeCell ref="BQ25:BR25"/>
    <mergeCell ref="AB26:AB27"/>
    <mergeCell ref="AG26:AG27"/>
    <mergeCell ref="AH26:AH27"/>
    <mergeCell ref="AI26:AI27"/>
    <mergeCell ref="N26:N27"/>
    <mergeCell ref="O26:O27"/>
    <mergeCell ref="P26:P27"/>
    <mergeCell ref="V26:V29"/>
    <mergeCell ref="Y26:Y27"/>
    <mergeCell ref="BH26:BH27"/>
    <mergeCell ref="BM26:BM27"/>
    <mergeCell ref="BN26:BN27"/>
    <mergeCell ref="BO26:BO27"/>
    <mergeCell ref="BP26:BP27"/>
    <mergeCell ref="A28:A29"/>
    <mergeCell ref="B28:B29"/>
    <mergeCell ref="C28:C29"/>
    <mergeCell ref="D28:D29"/>
    <mergeCell ref="E28:E29"/>
    <mergeCell ref="AX26:AX27"/>
    <mergeCell ref="AY26:AY27"/>
    <mergeCell ref="AZ26:AZ27"/>
    <mergeCell ref="BE26:BE27"/>
    <mergeCell ref="BF26:BF27"/>
    <mergeCell ref="BG26:BG27"/>
    <mergeCell ref="AJ26:AJ27"/>
    <mergeCell ref="AO26:AO27"/>
    <mergeCell ref="AP26:AP27"/>
    <mergeCell ref="AQ26:AQ27"/>
    <mergeCell ref="AR26:AR27"/>
    <mergeCell ref="AW26:AW27"/>
    <mergeCell ref="Z26:Z27"/>
    <mergeCell ref="AA26:AA27"/>
    <mergeCell ref="L28:L29"/>
    <mergeCell ref="M28:M29"/>
    <mergeCell ref="N28:N29"/>
    <mergeCell ref="O28:O29"/>
    <mergeCell ref="P28:P29"/>
    <mergeCell ref="Y28:Y29"/>
    <mergeCell ref="F28:F29"/>
    <mergeCell ref="G28:G29"/>
    <mergeCell ref="H28:H29"/>
    <mergeCell ref="I28:I29"/>
    <mergeCell ref="J28:J29"/>
    <mergeCell ref="K28:K29"/>
    <mergeCell ref="AJ28:AJ29"/>
    <mergeCell ref="AO28:AO29"/>
    <mergeCell ref="AP28:AP29"/>
    <mergeCell ref="AQ28:AQ29"/>
    <mergeCell ref="AR28:AR29"/>
    <mergeCell ref="AW28:AW29"/>
    <mergeCell ref="Z28:Z29"/>
    <mergeCell ref="AA28:AA29"/>
    <mergeCell ref="AB28:AB29"/>
    <mergeCell ref="AG28:AG29"/>
    <mergeCell ref="AH28:AH29"/>
    <mergeCell ref="AI28:AI29"/>
    <mergeCell ref="BH28:BH29"/>
    <mergeCell ref="BM28:BM29"/>
    <mergeCell ref="BN28:BN29"/>
    <mergeCell ref="BO28:BO29"/>
    <mergeCell ref="BP28:BP29"/>
    <mergeCell ref="BQ29:BT29"/>
    <mergeCell ref="AX28:AX29"/>
    <mergeCell ref="AY28:AY29"/>
    <mergeCell ref="AZ28:AZ29"/>
    <mergeCell ref="BE28:BE29"/>
    <mergeCell ref="BF28:BF29"/>
    <mergeCell ref="BG28:BG29"/>
    <mergeCell ref="BI30:BJ30"/>
    <mergeCell ref="BM30:BN30"/>
    <mergeCell ref="BQ30:BR30"/>
    <mergeCell ref="Y30:Z30"/>
    <mergeCell ref="AC30:AD30"/>
    <mergeCell ref="AG30:AH30"/>
    <mergeCell ref="AK30:AL30"/>
    <mergeCell ref="AO30:AP30"/>
    <mergeCell ref="AS30:AT30"/>
    <mergeCell ref="A31:A32"/>
    <mergeCell ref="B31:B32"/>
    <mergeCell ref="C31:C32"/>
    <mergeCell ref="D31:D32"/>
    <mergeCell ref="E31:E32"/>
    <mergeCell ref="F31:F32"/>
    <mergeCell ref="AW30:AX30"/>
    <mergeCell ref="BA30:BB30"/>
    <mergeCell ref="BE30:BF30"/>
    <mergeCell ref="P31:P32"/>
    <mergeCell ref="V31:V34"/>
    <mergeCell ref="M33:M34"/>
    <mergeCell ref="N33:N34"/>
    <mergeCell ref="O33:O34"/>
    <mergeCell ref="P33:P34"/>
    <mergeCell ref="G31:G32"/>
    <mergeCell ref="H31:H32"/>
    <mergeCell ref="I31:I32"/>
    <mergeCell ref="J31:J32"/>
    <mergeCell ref="K31:K32"/>
    <mergeCell ref="L31:L32"/>
    <mergeCell ref="BN31:BN32"/>
    <mergeCell ref="BO31:BO32"/>
    <mergeCell ref="BP31:BP32"/>
    <mergeCell ref="AW31:AW32"/>
    <mergeCell ref="AX31:AX32"/>
    <mergeCell ref="AY31:AY32"/>
    <mergeCell ref="AZ31:AZ32"/>
    <mergeCell ref="BE31:BE32"/>
    <mergeCell ref="BF31:BF32"/>
    <mergeCell ref="A33:A34"/>
    <mergeCell ref="B33:B34"/>
    <mergeCell ref="C33:C34"/>
    <mergeCell ref="D33:D34"/>
    <mergeCell ref="E33:E34"/>
    <mergeCell ref="F33:F34"/>
    <mergeCell ref="BG31:BG32"/>
    <mergeCell ref="BH31:BH32"/>
    <mergeCell ref="BM31:BM32"/>
    <mergeCell ref="AI31:AI32"/>
    <mergeCell ref="AJ31:AJ32"/>
    <mergeCell ref="AO31:AO32"/>
    <mergeCell ref="AP31:AP32"/>
    <mergeCell ref="AQ31:AQ32"/>
    <mergeCell ref="AR31:AR32"/>
    <mergeCell ref="Y31:Y32"/>
    <mergeCell ref="Z31:Z32"/>
    <mergeCell ref="AA31:AA32"/>
    <mergeCell ref="AB31:AB32"/>
    <mergeCell ref="AG31:AG32"/>
    <mergeCell ref="AH31:AH32"/>
    <mergeCell ref="M31:M32"/>
    <mergeCell ref="N31:N32"/>
    <mergeCell ref="O31:O32"/>
    <mergeCell ref="Y33:Y34"/>
    <mergeCell ref="Z33:Z34"/>
    <mergeCell ref="AA33:AA34"/>
    <mergeCell ref="AB33:AB34"/>
    <mergeCell ref="AG33:AG34"/>
    <mergeCell ref="AH33:AH34"/>
    <mergeCell ref="G33:G34"/>
    <mergeCell ref="H33:H34"/>
    <mergeCell ref="I33:I34"/>
    <mergeCell ref="J33:J34"/>
    <mergeCell ref="K33:K34"/>
    <mergeCell ref="L33:L34"/>
    <mergeCell ref="AX33:AX34"/>
    <mergeCell ref="AY33:AY34"/>
    <mergeCell ref="AZ33:AZ34"/>
    <mergeCell ref="BE33:BE34"/>
    <mergeCell ref="BF33:BF34"/>
    <mergeCell ref="AI33:AI34"/>
    <mergeCell ref="AJ33:AJ34"/>
    <mergeCell ref="AO33:AO34"/>
    <mergeCell ref="AP33:AP34"/>
    <mergeCell ref="AQ33:AQ34"/>
    <mergeCell ref="AR33:AR34"/>
    <mergeCell ref="Q36:U36"/>
    <mergeCell ref="AC36:AF36"/>
    <mergeCell ref="AK36:AN36"/>
    <mergeCell ref="AS36:AV36"/>
    <mergeCell ref="BA36:BD36"/>
    <mergeCell ref="BI36:BL36"/>
    <mergeCell ref="BQ36:BT36"/>
    <mergeCell ref="BQ34:BT34"/>
    <mergeCell ref="Y35:Z35"/>
    <mergeCell ref="AC35:AD35"/>
    <mergeCell ref="AG35:AH35"/>
    <mergeCell ref="AK35:AL35"/>
    <mergeCell ref="AO35:AP35"/>
    <mergeCell ref="AS35:AT35"/>
    <mergeCell ref="AW35:AX35"/>
    <mergeCell ref="BA35:BB35"/>
    <mergeCell ref="BE35:BF35"/>
    <mergeCell ref="BG33:BG34"/>
    <mergeCell ref="BH33:BH34"/>
    <mergeCell ref="BM33:BM34"/>
    <mergeCell ref="BN33:BN34"/>
    <mergeCell ref="BO33:BO34"/>
    <mergeCell ref="BP33:BP34"/>
    <mergeCell ref="AW33:AW34"/>
    <mergeCell ref="BM37:BN37"/>
    <mergeCell ref="BQ37:BR37"/>
    <mergeCell ref="Y37:Z37"/>
    <mergeCell ref="AC37:AD37"/>
    <mergeCell ref="AG37:AH37"/>
    <mergeCell ref="AK37:AL37"/>
    <mergeCell ref="AO37:AP37"/>
    <mergeCell ref="AS37:AT37"/>
    <mergeCell ref="BI35:BJ35"/>
    <mergeCell ref="BM35:BN35"/>
    <mergeCell ref="BQ35:BR35"/>
    <mergeCell ref="Q38:U38"/>
    <mergeCell ref="AC38:AF38"/>
    <mergeCell ref="AK38:AN38"/>
    <mergeCell ref="AS38:AV38"/>
    <mergeCell ref="BA38:BD38"/>
    <mergeCell ref="BI38:BL38"/>
    <mergeCell ref="AW37:AX37"/>
    <mergeCell ref="BA37:BB37"/>
    <mergeCell ref="BE37:BF37"/>
    <mergeCell ref="BI37:BJ37"/>
    <mergeCell ref="BQ38:BT38"/>
    <mergeCell ref="Y39:Z39"/>
    <mergeCell ref="AC39:AD39"/>
    <mergeCell ref="AG39:AH39"/>
    <mergeCell ref="AK39:AL39"/>
    <mergeCell ref="AO39:AP39"/>
    <mergeCell ref="AS39:AT39"/>
    <mergeCell ref="AW39:AX39"/>
    <mergeCell ref="BA39:BB39"/>
    <mergeCell ref="BE39:BF39"/>
    <mergeCell ref="BI39:BJ39"/>
    <mergeCell ref="BM39:BN39"/>
    <mergeCell ref="BQ39:BR39"/>
    <mergeCell ref="Q40:U40"/>
    <mergeCell ref="AC40:AF40"/>
    <mergeCell ref="AK40:AN40"/>
    <mergeCell ref="AS40:AV40"/>
    <mergeCell ref="BA40:BD40"/>
    <mergeCell ref="BI40:BL40"/>
    <mergeCell ref="BQ40:BT40"/>
    <mergeCell ref="AW41:AX41"/>
    <mergeCell ref="BA41:BB41"/>
    <mergeCell ref="BE41:BF41"/>
    <mergeCell ref="BI41:BJ41"/>
    <mergeCell ref="BM41:BN41"/>
    <mergeCell ref="BQ41:BR41"/>
    <mergeCell ref="Y41:Z41"/>
    <mergeCell ref="AC41:AD41"/>
    <mergeCell ref="AG41:AH41"/>
    <mergeCell ref="AK41:AL41"/>
    <mergeCell ref="AO41:AP41"/>
    <mergeCell ref="AS41:AT41"/>
    <mergeCell ref="AW43:AX43"/>
    <mergeCell ref="BA43:BB43"/>
    <mergeCell ref="BE43:BF43"/>
    <mergeCell ref="BI43:BJ43"/>
    <mergeCell ref="BM43:BN43"/>
    <mergeCell ref="BQ43:BR43"/>
    <mergeCell ref="Y43:Z43"/>
    <mergeCell ref="AC43:AD43"/>
    <mergeCell ref="AG43:AH43"/>
    <mergeCell ref="AK43:AL43"/>
    <mergeCell ref="AO43:AP43"/>
    <mergeCell ref="AS43:AT43"/>
  </mergeCell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DF7C2-86DE-4E06-A55F-DF53E007942F}">
  <sheetPr>
    <tabColor theme="9" tint="-0.249977111117893"/>
  </sheetPr>
  <dimension ref="A1:ZP583"/>
  <sheetViews>
    <sheetView topLeftCell="J4" zoomScale="95" zoomScaleNormal="95" workbookViewId="0">
      <pane xSplit="2" ySplit="3" topLeftCell="AP7" activePane="bottomRight" state="frozen"/>
      <selection activeCell="J4" sqref="J4"/>
      <selection pane="topRight" activeCell="L4" sqref="L4"/>
      <selection pane="bottomLeft" activeCell="J7" sqref="J7"/>
      <selection pane="bottomRight" activeCell="T10" sqref="T10"/>
    </sheetView>
  </sheetViews>
  <sheetFormatPr baseColWidth="10" defaultColWidth="11.42578125" defaultRowHeight="22.5" customHeight="1" x14ac:dyDescent="0.25"/>
  <cols>
    <col min="1" max="1" width="22.42578125" style="88" customWidth="1"/>
    <col min="2" max="2" width="26.7109375" style="88" customWidth="1"/>
    <col min="3" max="3" width="23.85546875" style="88" customWidth="1"/>
    <col min="4" max="4" width="33.42578125" style="88" customWidth="1"/>
    <col min="5" max="5" width="43.42578125" style="88" customWidth="1"/>
    <col min="6" max="6" width="17.140625" style="88" customWidth="1"/>
    <col min="7" max="7" width="26.7109375" style="88" customWidth="1"/>
    <col min="8" max="8" width="16.7109375" style="88" customWidth="1"/>
    <col min="9" max="9" width="17.28515625" style="88" customWidth="1"/>
    <col min="10" max="10" width="16.85546875" style="88" customWidth="1"/>
    <col min="11" max="11" width="12.5703125" style="88" customWidth="1"/>
    <col min="12" max="12" width="29.5703125" style="88" customWidth="1"/>
    <col min="13" max="13" width="35.42578125" style="88" customWidth="1"/>
    <col min="14" max="14" width="12.28515625" style="88" customWidth="1"/>
    <col min="15" max="15" width="10.7109375" style="88" customWidth="1"/>
    <col min="16" max="16" width="12.28515625" style="88" customWidth="1"/>
    <col min="17" max="17" width="25.28515625" style="88" customWidth="1"/>
    <col min="18" max="18" width="34" style="88" customWidth="1"/>
    <col min="19" max="19" width="19.28515625" style="134" customWidth="1"/>
    <col min="20" max="20" width="11.7109375" style="88" customWidth="1"/>
    <col min="21" max="21" width="18" style="88" customWidth="1"/>
    <col min="22" max="22" width="17" style="137" customWidth="1"/>
    <col min="23" max="23" width="18.5703125" style="137" customWidth="1"/>
    <col min="24" max="24" width="20.7109375" style="88" customWidth="1"/>
    <col min="25" max="25" width="12.85546875" style="88" customWidth="1"/>
    <col min="26" max="26" width="7.140625" style="88" customWidth="1"/>
    <col min="27" max="27" width="20.7109375" style="88" customWidth="1"/>
    <col min="28" max="28" width="55.42578125" style="88" customWidth="1"/>
    <col min="29" max="29" width="11.5703125" style="88" customWidth="1"/>
    <col min="30" max="30" width="8.140625" style="88" customWidth="1"/>
    <col min="31" max="31" width="20.42578125" style="88" customWidth="1"/>
    <col min="32" max="32" width="43" style="134" customWidth="1"/>
    <col min="33" max="33" width="12.85546875" style="88" customWidth="1"/>
    <col min="34" max="34" width="7.140625" style="88" customWidth="1"/>
    <col min="35" max="35" width="20.7109375" style="88" customWidth="1"/>
    <col min="36" max="36" width="55.42578125" style="88" customWidth="1"/>
    <col min="37" max="37" width="11.5703125" style="88" customWidth="1"/>
    <col min="38" max="38" width="8.140625" style="88" customWidth="1"/>
    <col min="39" max="39" width="20.42578125" style="88" customWidth="1"/>
    <col min="40" max="40" width="43" style="134" customWidth="1"/>
    <col min="41" max="41" width="12.85546875" style="88" customWidth="1"/>
    <col min="42" max="42" width="7.140625" style="88" customWidth="1"/>
    <col min="43" max="43" width="20.7109375" style="88" customWidth="1"/>
    <col min="44" max="44" width="54.7109375" style="88" customWidth="1"/>
    <col min="45" max="45" width="11.5703125" style="88" customWidth="1"/>
    <col min="46" max="46" width="8.140625" style="88" customWidth="1"/>
    <col min="47" max="47" width="20.42578125" style="88" customWidth="1"/>
    <col min="48" max="48" width="43" style="134" customWidth="1"/>
    <col min="49" max="692" width="11.42578125" style="20"/>
    <col min="693" max="16384" width="11.42578125" style="88"/>
  </cols>
  <sheetData>
    <row r="1" spans="1:692" s="1" customFormat="1" ht="15.75" x14ac:dyDescent="0.25">
      <c r="C1" s="769" t="s">
        <v>0</v>
      </c>
      <c r="D1" s="769"/>
      <c r="E1" s="769"/>
      <c r="F1" s="769"/>
      <c r="G1" s="769"/>
      <c r="H1" s="769"/>
      <c r="I1" s="769"/>
      <c r="J1" s="769"/>
      <c r="K1" s="769"/>
      <c r="L1" s="769"/>
      <c r="M1" s="769"/>
      <c r="N1" s="769"/>
      <c r="O1" s="769"/>
      <c r="P1" s="769"/>
      <c r="Q1" s="769"/>
      <c r="R1" s="769"/>
      <c r="S1" s="769"/>
      <c r="T1" s="769"/>
      <c r="U1" s="769"/>
      <c r="V1" s="769"/>
      <c r="W1" s="769"/>
      <c r="X1" s="769"/>
      <c r="AE1" s="4" t="s">
        <v>1</v>
      </c>
      <c r="AF1" s="5">
        <v>43458</v>
      </c>
      <c r="AM1" s="4" t="s">
        <v>1</v>
      </c>
      <c r="AN1" s="5">
        <v>43458</v>
      </c>
      <c r="AU1" s="4" t="s">
        <v>1</v>
      </c>
      <c r="AV1" s="5">
        <v>43458</v>
      </c>
    </row>
    <row r="2" spans="1:692" s="1" customFormat="1" ht="30" customHeight="1" x14ac:dyDescent="0.25">
      <c r="C2" s="769"/>
      <c r="D2" s="769"/>
      <c r="E2" s="769"/>
      <c r="F2" s="769"/>
      <c r="G2" s="769"/>
      <c r="H2" s="769"/>
      <c r="I2" s="769"/>
      <c r="J2" s="769"/>
      <c r="K2" s="769"/>
      <c r="L2" s="769"/>
      <c r="M2" s="769"/>
      <c r="N2" s="769"/>
      <c r="O2" s="769"/>
      <c r="P2" s="769"/>
      <c r="Q2" s="769"/>
      <c r="R2" s="769"/>
      <c r="S2" s="769"/>
      <c r="T2" s="769"/>
      <c r="U2" s="769"/>
      <c r="V2" s="769"/>
      <c r="W2" s="769"/>
      <c r="X2" s="769"/>
      <c r="AE2" s="4" t="s">
        <v>2</v>
      </c>
      <c r="AF2" s="4">
        <v>5</v>
      </c>
      <c r="AM2" s="4" t="s">
        <v>2</v>
      </c>
      <c r="AN2" s="4">
        <v>5</v>
      </c>
      <c r="AU2" s="4" t="s">
        <v>2</v>
      </c>
      <c r="AV2" s="4">
        <v>5</v>
      </c>
    </row>
    <row r="3" spans="1:692" s="1" customFormat="1" ht="29.25" customHeight="1" x14ac:dyDescent="0.25">
      <c r="C3" s="769"/>
      <c r="D3" s="769"/>
      <c r="E3" s="769"/>
      <c r="F3" s="769"/>
      <c r="G3" s="769"/>
      <c r="H3" s="769"/>
      <c r="I3" s="769"/>
      <c r="J3" s="769"/>
      <c r="K3" s="769"/>
      <c r="L3" s="769"/>
      <c r="M3" s="769"/>
      <c r="N3" s="769"/>
      <c r="O3" s="769"/>
      <c r="P3" s="769"/>
      <c r="Q3" s="769"/>
      <c r="R3" s="769"/>
      <c r="S3" s="769"/>
      <c r="T3" s="769"/>
      <c r="U3" s="769"/>
      <c r="V3" s="769"/>
      <c r="W3" s="769"/>
      <c r="X3" s="769"/>
      <c r="AE3" s="4" t="s">
        <v>3</v>
      </c>
      <c r="AF3" s="4" t="s">
        <v>4</v>
      </c>
      <c r="AM3" s="4" t="s">
        <v>3</v>
      </c>
      <c r="AN3" s="4" t="s">
        <v>4</v>
      </c>
      <c r="AU3" s="4" t="s">
        <v>3</v>
      </c>
      <c r="AV3" s="4" t="s">
        <v>4</v>
      </c>
    </row>
    <row r="4" spans="1:692" s="7" customFormat="1" ht="12.75" customHeight="1" x14ac:dyDescent="0.25">
      <c r="A4" s="770" t="s">
        <v>5</v>
      </c>
      <c r="B4" s="771"/>
      <c r="C4" s="771"/>
      <c r="D4" s="771"/>
      <c r="E4" s="771"/>
      <c r="F4" s="771"/>
      <c r="G4" s="771"/>
      <c r="H4" s="771"/>
      <c r="I4" s="771"/>
      <c r="J4" s="771"/>
      <c r="K4" s="772"/>
      <c r="L4" s="773" t="s">
        <v>6</v>
      </c>
      <c r="M4" s="774"/>
      <c r="N4" s="774"/>
      <c r="O4" s="774"/>
      <c r="P4" s="775"/>
      <c r="Q4" s="773" t="s">
        <v>7</v>
      </c>
      <c r="R4" s="774"/>
      <c r="S4" s="774"/>
      <c r="T4" s="774"/>
      <c r="U4" s="775"/>
      <c r="V4" s="779" t="s">
        <v>8</v>
      </c>
      <c r="W4" s="780"/>
      <c r="X4" s="783" t="s">
        <v>9</v>
      </c>
      <c r="Y4" s="776" t="s">
        <v>892</v>
      </c>
      <c r="Z4" s="777"/>
      <c r="AA4" s="777"/>
      <c r="AB4" s="777"/>
      <c r="AC4" s="777"/>
      <c r="AD4" s="777"/>
      <c r="AE4" s="777"/>
      <c r="AF4" s="778"/>
      <c r="AG4" s="776" t="s">
        <v>893</v>
      </c>
      <c r="AH4" s="777"/>
      <c r="AI4" s="777"/>
      <c r="AJ4" s="777"/>
      <c r="AK4" s="777"/>
      <c r="AL4" s="777"/>
      <c r="AM4" s="777"/>
      <c r="AN4" s="778"/>
      <c r="AO4" s="776" t="s">
        <v>894</v>
      </c>
      <c r="AP4" s="777"/>
      <c r="AQ4" s="777"/>
      <c r="AR4" s="777"/>
      <c r="AS4" s="777"/>
      <c r="AT4" s="777"/>
      <c r="AU4" s="777"/>
      <c r="AV4" s="778"/>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row>
    <row r="5" spans="1:692" s="533" customFormat="1" ht="15" x14ac:dyDescent="0.25">
      <c r="A5" s="785" t="s">
        <v>13</v>
      </c>
      <c r="B5" s="786"/>
      <c r="C5" s="787"/>
      <c r="D5" s="534" t="s">
        <v>14</v>
      </c>
      <c r="E5" s="785" t="s">
        <v>15</v>
      </c>
      <c r="F5" s="787"/>
      <c r="G5" s="785" t="s">
        <v>16</v>
      </c>
      <c r="H5" s="786"/>
      <c r="I5" s="787"/>
      <c r="J5" s="788" t="s">
        <v>17</v>
      </c>
      <c r="K5" s="810" t="s">
        <v>1189</v>
      </c>
      <c r="L5" s="776"/>
      <c r="M5" s="777"/>
      <c r="N5" s="777"/>
      <c r="O5" s="777"/>
      <c r="P5" s="778"/>
      <c r="Q5" s="776"/>
      <c r="R5" s="777"/>
      <c r="S5" s="777"/>
      <c r="T5" s="777"/>
      <c r="U5" s="778"/>
      <c r="V5" s="781"/>
      <c r="W5" s="782"/>
      <c r="X5" s="784"/>
      <c r="Y5" s="785" t="s">
        <v>19</v>
      </c>
      <c r="Z5" s="786"/>
      <c r="AA5" s="786"/>
      <c r="AB5" s="790"/>
      <c r="AC5" s="791" t="s">
        <v>20</v>
      </c>
      <c r="AD5" s="786"/>
      <c r="AE5" s="786"/>
      <c r="AF5" s="787"/>
      <c r="AG5" s="785" t="s">
        <v>19</v>
      </c>
      <c r="AH5" s="786"/>
      <c r="AI5" s="786"/>
      <c r="AJ5" s="790"/>
      <c r="AK5" s="791" t="s">
        <v>20</v>
      </c>
      <c r="AL5" s="786"/>
      <c r="AM5" s="786"/>
      <c r="AN5" s="787"/>
      <c r="AO5" s="785" t="s">
        <v>19</v>
      </c>
      <c r="AP5" s="786"/>
      <c r="AQ5" s="786"/>
      <c r="AR5" s="790"/>
      <c r="AS5" s="791" t="s">
        <v>20</v>
      </c>
      <c r="AT5" s="786"/>
      <c r="AU5" s="786"/>
      <c r="AV5" s="787"/>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row>
    <row r="6" spans="1:692" s="7" customFormat="1" ht="25.5" customHeight="1" x14ac:dyDescent="0.25">
      <c r="A6" s="10" t="s">
        <v>21</v>
      </c>
      <c r="B6" s="10" t="s">
        <v>22</v>
      </c>
      <c r="C6" s="535" t="s">
        <v>23</v>
      </c>
      <c r="D6" s="535" t="s">
        <v>24</v>
      </c>
      <c r="E6" s="535" t="s">
        <v>25</v>
      </c>
      <c r="F6" s="535" t="s">
        <v>26</v>
      </c>
      <c r="G6" s="535" t="s">
        <v>27</v>
      </c>
      <c r="H6" s="535" t="s">
        <v>28</v>
      </c>
      <c r="I6" s="535" t="s">
        <v>29</v>
      </c>
      <c r="J6" s="789"/>
      <c r="K6" s="925"/>
      <c r="L6" s="535" t="s">
        <v>6</v>
      </c>
      <c r="M6" s="535" t="s">
        <v>30</v>
      </c>
      <c r="N6" s="523" t="s">
        <v>31</v>
      </c>
      <c r="O6" s="523" t="s">
        <v>32</v>
      </c>
      <c r="P6" s="523" t="s">
        <v>33</v>
      </c>
      <c r="Q6" s="535" t="s">
        <v>7</v>
      </c>
      <c r="R6" s="535" t="s">
        <v>34</v>
      </c>
      <c r="S6" s="535" t="s">
        <v>31</v>
      </c>
      <c r="T6" s="535" t="s">
        <v>32</v>
      </c>
      <c r="U6" s="535" t="s">
        <v>35</v>
      </c>
      <c r="V6" s="13" t="s">
        <v>36</v>
      </c>
      <c r="W6" s="13" t="s">
        <v>37</v>
      </c>
      <c r="X6" s="535" t="s">
        <v>38</v>
      </c>
      <c r="Y6" s="535" t="s">
        <v>39</v>
      </c>
      <c r="Z6" s="535" t="s">
        <v>40</v>
      </c>
      <c r="AA6" s="535" t="s">
        <v>41</v>
      </c>
      <c r="AB6" s="535" t="s">
        <v>42</v>
      </c>
      <c r="AC6" s="535" t="s">
        <v>39</v>
      </c>
      <c r="AD6" s="535" t="s">
        <v>40</v>
      </c>
      <c r="AE6" s="535" t="s">
        <v>41</v>
      </c>
      <c r="AF6" s="535" t="s">
        <v>42</v>
      </c>
      <c r="AG6" s="535" t="s">
        <v>39</v>
      </c>
      <c r="AH6" s="535" t="s">
        <v>40</v>
      </c>
      <c r="AI6" s="535" t="s">
        <v>41</v>
      </c>
      <c r="AJ6" s="535" t="s">
        <v>42</v>
      </c>
      <c r="AK6" s="535" t="s">
        <v>39</v>
      </c>
      <c r="AL6" s="535" t="s">
        <v>40</v>
      </c>
      <c r="AM6" s="535" t="s">
        <v>41</v>
      </c>
      <c r="AN6" s="535" t="s">
        <v>42</v>
      </c>
      <c r="AO6" s="535" t="s">
        <v>39</v>
      </c>
      <c r="AP6" s="535" t="s">
        <v>40</v>
      </c>
      <c r="AQ6" s="535" t="s">
        <v>41</v>
      </c>
      <c r="AR6" s="535" t="s">
        <v>42</v>
      </c>
      <c r="AS6" s="535" t="s">
        <v>39</v>
      </c>
      <c r="AT6" s="535" t="s">
        <v>40</v>
      </c>
      <c r="AU6" s="535" t="s">
        <v>41</v>
      </c>
      <c r="AV6" s="535" t="s">
        <v>42</v>
      </c>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row>
    <row r="7" spans="1:692" s="31" customFormat="1" ht="51" customHeight="1" x14ac:dyDescent="0.25">
      <c r="A7" s="693" t="s">
        <v>43</v>
      </c>
      <c r="B7" s="695" t="s">
        <v>44</v>
      </c>
      <c r="C7" s="742" t="s">
        <v>45</v>
      </c>
      <c r="D7" s="742" t="s">
        <v>46</v>
      </c>
      <c r="E7" s="742" t="s">
        <v>47</v>
      </c>
      <c r="F7" s="742" t="s">
        <v>48</v>
      </c>
      <c r="G7" s="742" t="s">
        <v>49</v>
      </c>
      <c r="H7" s="742" t="s">
        <v>50</v>
      </c>
      <c r="I7" s="742" t="s">
        <v>78</v>
      </c>
      <c r="J7" s="742" t="s">
        <v>1190</v>
      </c>
      <c r="K7" s="742" t="s">
        <v>1191</v>
      </c>
      <c r="L7" s="742" t="s">
        <v>79</v>
      </c>
      <c r="M7" s="742" t="s">
        <v>80</v>
      </c>
      <c r="N7" s="742" t="s">
        <v>56</v>
      </c>
      <c r="O7" s="742"/>
      <c r="P7" s="742">
        <v>2488</v>
      </c>
      <c r="Q7" s="42" t="s">
        <v>81</v>
      </c>
      <c r="R7" s="42" t="s">
        <v>82</v>
      </c>
      <c r="S7" s="554" t="s">
        <v>56</v>
      </c>
      <c r="T7" s="42"/>
      <c r="U7" s="554">
        <v>989</v>
      </c>
      <c r="V7" s="709">
        <v>855931474</v>
      </c>
      <c r="W7" s="1008">
        <v>6807513277</v>
      </c>
      <c r="X7" s="542" t="s">
        <v>1192</v>
      </c>
      <c r="Y7" s="730">
        <f>+Y11+Y15+Y19+Y23+Y27</f>
        <v>556</v>
      </c>
      <c r="Z7" s="733">
        <f>+P7</f>
        <v>2488</v>
      </c>
      <c r="AA7" s="736">
        <f>Y7/Z7</f>
        <v>0.22347266881028938</v>
      </c>
      <c r="AB7" s="744" t="s">
        <v>1193</v>
      </c>
      <c r="AC7" s="28">
        <f>+AC11+AC15+AC19+AC23</f>
        <v>273</v>
      </c>
      <c r="AD7" s="28">
        <f>+U7</f>
        <v>989</v>
      </c>
      <c r="AE7" s="29">
        <f>+AC7/AD7</f>
        <v>0.27603640040444893</v>
      </c>
      <c r="AF7" s="539" t="s">
        <v>1194</v>
      </c>
      <c r="AG7" s="730">
        <f>+AG11+AG15+AG19+AG23+AG27</f>
        <v>790</v>
      </c>
      <c r="AH7" s="733">
        <f>+'[13]PAI SSLA'!P7</f>
        <v>2488</v>
      </c>
      <c r="AI7" s="736">
        <f>AG7/AH7</f>
        <v>0.317524115755627</v>
      </c>
      <c r="AJ7" s="718" t="s">
        <v>1195</v>
      </c>
      <c r="AK7" s="28">
        <f>+AK11+AK15+AK19+AK23</f>
        <v>275</v>
      </c>
      <c r="AL7" s="28">
        <f>+'[13]PAI SSLA'!U7</f>
        <v>989</v>
      </c>
      <c r="AM7" s="29">
        <f>+AK7/AL7</f>
        <v>0.2780586450960566</v>
      </c>
      <c r="AN7" s="539" t="s">
        <v>1196</v>
      </c>
      <c r="AO7" s="730">
        <f>+AO11+AO15+AO19+AO23+AO27</f>
        <v>1130</v>
      </c>
      <c r="AP7" s="733">
        <f>+'[14]PAI SSLA'!P7</f>
        <v>2488</v>
      </c>
      <c r="AQ7" s="736">
        <f>AO7/AP7</f>
        <v>0.45418006430868169</v>
      </c>
      <c r="AR7" s="689" t="s">
        <v>1197</v>
      </c>
      <c r="AS7" s="28">
        <f>+AS11+AS15+AS19+AS23</f>
        <v>278</v>
      </c>
      <c r="AT7" s="28">
        <f>+'[14]PAI SSLA'!U7</f>
        <v>989</v>
      </c>
      <c r="AU7" s="29">
        <f>+AS7/AT7</f>
        <v>0.28109201213346813</v>
      </c>
      <c r="AV7" s="30" t="s">
        <v>1198</v>
      </c>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c r="EZ7" s="20"/>
      <c r="FA7" s="20"/>
      <c r="FB7" s="20"/>
      <c r="FC7" s="20"/>
      <c r="FD7" s="20"/>
      <c r="FE7" s="20"/>
      <c r="FF7" s="20"/>
      <c r="FG7" s="20"/>
      <c r="FH7" s="20"/>
      <c r="FI7" s="20"/>
      <c r="FJ7" s="20"/>
      <c r="FK7" s="20"/>
      <c r="FL7" s="20"/>
      <c r="FM7" s="20"/>
      <c r="FN7" s="20"/>
      <c r="FO7" s="20"/>
      <c r="FP7" s="20"/>
      <c r="FQ7" s="20"/>
      <c r="FR7" s="20"/>
      <c r="FS7" s="20"/>
      <c r="FT7" s="20"/>
      <c r="FU7" s="20"/>
      <c r="FV7" s="20"/>
      <c r="FW7" s="20"/>
      <c r="FX7" s="20"/>
      <c r="FY7" s="20"/>
      <c r="FZ7" s="20"/>
      <c r="GA7" s="20"/>
      <c r="GB7" s="20"/>
      <c r="GC7" s="20"/>
      <c r="GD7" s="20"/>
      <c r="GE7" s="20"/>
      <c r="GF7" s="20"/>
      <c r="GG7" s="20"/>
      <c r="GH7" s="20"/>
      <c r="GI7" s="20"/>
      <c r="GJ7" s="20"/>
      <c r="GK7" s="20"/>
      <c r="GL7" s="20"/>
      <c r="GM7" s="20"/>
      <c r="GN7" s="20"/>
      <c r="GO7" s="20"/>
      <c r="GP7" s="20"/>
      <c r="GQ7" s="20"/>
      <c r="GR7" s="20"/>
      <c r="GS7" s="20"/>
      <c r="GT7" s="20"/>
      <c r="GU7" s="20"/>
      <c r="GV7" s="20"/>
      <c r="GW7" s="20"/>
      <c r="GX7" s="20"/>
      <c r="GY7" s="20"/>
      <c r="GZ7" s="20"/>
      <c r="HA7" s="20"/>
      <c r="HB7" s="20"/>
      <c r="HC7" s="20"/>
      <c r="HD7" s="20"/>
      <c r="HE7" s="20"/>
      <c r="HF7" s="20"/>
      <c r="HG7" s="20"/>
      <c r="HH7" s="20"/>
      <c r="HI7" s="20"/>
      <c r="HJ7" s="20"/>
      <c r="HK7" s="20"/>
      <c r="HL7" s="20"/>
      <c r="HM7" s="20"/>
      <c r="HN7" s="20"/>
      <c r="HO7" s="20"/>
      <c r="HP7" s="20"/>
      <c r="HQ7" s="20"/>
      <c r="HR7" s="20"/>
      <c r="HS7" s="20"/>
      <c r="HT7" s="20"/>
      <c r="HU7" s="20"/>
      <c r="HV7" s="20"/>
      <c r="HW7" s="20"/>
      <c r="HX7" s="20"/>
      <c r="HY7" s="20"/>
      <c r="HZ7" s="20"/>
      <c r="IA7" s="20"/>
      <c r="IB7" s="20"/>
      <c r="IC7" s="20"/>
      <c r="ID7" s="20"/>
      <c r="IE7" s="20"/>
      <c r="IF7" s="20"/>
      <c r="IG7" s="20"/>
      <c r="IH7" s="20"/>
      <c r="II7" s="20"/>
      <c r="IJ7" s="20"/>
      <c r="IK7" s="20"/>
      <c r="IL7" s="20"/>
      <c r="IM7" s="20"/>
      <c r="IN7" s="20"/>
      <c r="IO7" s="20"/>
      <c r="IP7" s="20"/>
      <c r="IQ7" s="20"/>
      <c r="IR7" s="20"/>
      <c r="IS7" s="20"/>
      <c r="IT7" s="20"/>
      <c r="IU7" s="20"/>
      <c r="IV7" s="20"/>
      <c r="IW7" s="20"/>
      <c r="IX7" s="20"/>
      <c r="IY7" s="20"/>
      <c r="IZ7" s="20"/>
      <c r="JA7" s="20"/>
      <c r="JB7" s="20"/>
      <c r="JC7" s="20"/>
      <c r="JD7" s="20"/>
      <c r="JE7" s="20"/>
      <c r="JF7" s="20"/>
      <c r="JG7" s="20"/>
      <c r="JH7" s="20"/>
      <c r="JI7" s="20"/>
      <c r="JJ7" s="20"/>
      <c r="JK7" s="20"/>
      <c r="JL7" s="20"/>
      <c r="JM7" s="20"/>
      <c r="JN7" s="20"/>
      <c r="JO7" s="20"/>
      <c r="JP7" s="20"/>
      <c r="JQ7" s="20"/>
      <c r="JR7" s="20"/>
      <c r="JS7" s="20"/>
      <c r="JT7" s="20"/>
      <c r="JU7" s="20"/>
      <c r="JV7" s="20"/>
      <c r="JW7" s="20"/>
      <c r="JX7" s="20"/>
      <c r="JY7" s="20"/>
      <c r="JZ7" s="20"/>
      <c r="KA7" s="20"/>
      <c r="KB7" s="20"/>
      <c r="KC7" s="20"/>
      <c r="KD7" s="20"/>
      <c r="KE7" s="20"/>
      <c r="KF7" s="20"/>
      <c r="KG7" s="20"/>
      <c r="KH7" s="20"/>
      <c r="KI7" s="20"/>
      <c r="KJ7" s="20"/>
      <c r="KK7" s="20"/>
      <c r="KL7" s="20"/>
      <c r="KM7" s="20"/>
      <c r="KN7" s="20"/>
      <c r="KO7" s="20"/>
      <c r="KP7" s="20"/>
      <c r="KQ7" s="20"/>
      <c r="KR7" s="20"/>
      <c r="KS7" s="20"/>
      <c r="KT7" s="20"/>
      <c r="KU7" s="20"/>
      <c r="KV7" s="20"/>
      <c r="KW7" s="20"/>
      <c r="KX7" s="20"/>
      <c r="KY7" s="20"/>
      <c r="KZ7" s="20"/>
      <c r="LA7" s="20"/>
      <c r="LB7" s="20"/>
      <c r="LC7" s="20"/>
      <c r="LD7" s="20"/>
      <c r="LE7" s="20"/>
      <c r="LF7" s="20"/>
      <c r="LG7" s="20"/>
      <c r="LH7" s="20"/>
      <c r="LI7" s="20"/>
      <c r="LJ7" s="20"/>
      <c r="LK7" s="20"/>
      <c r="LL7" s="20"/>
      <c r="LM7" s="20"/>
      <c r="LN7" s="20"/>
      <c r="LO7" s="20"/>
      <c r="LP7" s="20"/>
      <c r="LQ7" s="20"/>
      <c r="LR7" s="20"/>
      <c r="LS7" s="20"/>
      <c r="LT7" s="20"/>
      <c r="LU7" s="20"/>
      <c r="LV7" s="20"/>
      <c r="LW7" s="20"/>
      <c r="LX7" s="20"/>
      <c r="LY7" s="20"/>
      <c r="LZ7" s="20"/>
      <c r="MA7" s="20"/>
      <c r="MB7" s="20"/>
      <c r="MC7" s="20"/>
      <c r="MD7" s="20"/>
      <c r="ME7" s="20"/>
      <c r="MF7" s="20"/>
      <c r="MG7" s="20"/>
      <c r="MH7" s="20"/>
      <c r="MI7" s="20"/>
      <c r="MJ7" s="20"/>
      <c r="MK7" s="20"/>
      <c r="ML7" s="20"/>
      <c r="MM7" s="20"/>
      <c r="MN7" s="20"/>
      <c r="MO7" s="20"/>
      <c r="MP7" s="20"/>
      <c r="MQ7" s="20"/>
      <c r="MR7" s="20"/>
      <c r="MS7" s="20"/>
      <c r="MT7" s="20"/>
      <c r="MU7" s="20"/>
      <c r="MV7" s="20"/>
      <c r="MW7" s="20"/>
      <c r="MX7" s="20"/>
      <c r="MY7" s="20"/>
      <c r="MZ7" s="20"/>
      <c r="NA7" s="20"/>
      <c r="NB7" s="20"/>
      <c r="NC7" s="20"/>
      <c r="ND7" s="20"/>
      <c r="NE7" s="20"/>
      <c r="NF7" s="20"/>
      <c r="NG7" s="20"/>
      <c r="NH7" s="20"/>
      <c r="NI7" s="20"/>
      <c r="NJ7" s="20"/>
      <c r="NK7" s="20"/>
      <c r="NL7" s="20"/>
      <c r="NM7" s="20"/>
      <c r="NN7" s="20"/>
      <c r="NO7" s="20"/>
      <c r="NP7" s="20"/>
      <c r="NQ7" s="20"/>
      <c r="NR7" s="20"/>
      <c r="NS7" s="20"/>
      <c r="NT7" s="20"/>
      <c r="NU7" s="20"/>
      <c r="NV7" s="20"/>
      <c r="NW7" s="20"/>
      <c r="NX7" s="20"/>
      <c r="NY7" s="20"/>
      <c r="NZ7" s="20"/>
      <c r="OA7" s="20"/>
      <c r="OB7" s="20"/>
      <c r="OC7" s="20"/>
      <c r="OD7" s="20"/>
      <c r="OE7" s="20"/>
      <c r="OF7" s="20"/>
      <c r="OG7" s="20"/>
      <c r="OH7" s="20"/>
      <c r="OI7" s="20"/>
      <c r="OJ7" s="20"/>
      <c r="OK7" s="20"/>
      <c r="OL7" s="20"/>
      <c r="OM7" s="20"/>
      <c r="ON7" s="20"/>
      <c r="OO7" s="20"/>
      <c r="OP7" s="20"/>
      <c r="OQ7" s="20"/>
      <c r="OR7" s="20"/>
      <c r="OS7" s="20"/>
      <c r="OT7" s="20"/>
      <c r="OU7" s="20"/>
      <c r="OV7" s="20"/>
      <c r="OW7" s="20"/>
      <c r="OX7" s="20"/>
      <c r="OY7" s="20"/>
      <c r="OZ7" s="20"/>
      <c r="PA7" s="20"/>
      <c r="PB7" s="20"/>
      <c r="PC7" s="20"/>
      <c r="PD7" s="20"/>
      <c r="PE7" s="20"/>
      <c r="PF7" s="20"/>
      <c r="PG7" s="20"/>
      <c r="PH7" s="20"/>
      <c r="PI7" s="20"/>
      <c r="PJ7" s="20"/>
      <c r="PK7" s="20"/>
      <c r="PL7" s="20"/>
      <c r="PM7" s="20"/>
      <c r="PN7" s="20"/>
      <c r="PO7" s="20"/>
      <c r="PP7" s="20"/>
      <c r="PQ7" s="20"/>
      <c r="PR7" s="20"/>
      <c r="PS7" s="20"/>
      <c r="PT7" s="20"/>
      <c r="PU7" s="20"/>
      <c r="PV7" s="20"/>
      <c r="PW7" s="20"/>
      <c r="PX7" s="20"/>
      <c r="PY7" s="20"/>
      <c r="PZ7" s="20"/>
      <c r="QA7" s="20"/>
      <c r="QB7" s="20"/>
      <c r="QC7" s="20"/>
      <c r="QD7" s="20"/>
      <c r="QE7" s="20"/>
      <c r="QF7" s="20"/>
      <c r="QG7" s="20"/>
      <c r="QH7" s="20"/>
      <c r="QI7" s="20"/>
      <c r="QJ7" s="20"/>
      <c r="QK7" s="20"/>
      <c r="QL7" s="20"/>
      <c r="QM7" s="20"/>
      <c r="QN7" s="20"/>
      <c r="QO7" s="20"/>
      <c r="QP7" s="20"/>
      <c r="QQ7" s="20"/>
      <c r="QR7" s="20"/>
      <c r="QS7" s="20"/>
      <c r="QT7" s="20"/>
      <c r="QU7" s="20"/>
      <c r="QV7" s="20"/>
      <c r="QW7" s="20"/>
      <c r="QX7" s="20"/>
      <c r="QY7" s="20"/>
      <c r="QZ7" s="20"/>
      <c r="RA7" s="20"/>
      <c r="RB7" s="20"/>
      <c r="RC7" s="20"/>
      <c r="RD7" s="20"/>
      <c r="RE7" s="20"/>
      <c r="RF7" s="20"/>
      <c r="RG7" s="20"/>
      <c r="RH7" s="20"/>
      <c r="RI7" s="20"/>
      <c r="RJ7" s="20"/>
      <c r="RK7" s="20"/>
      <c r="RL7" s="20"/>
      <c r="RM7" s="20"/>
      <c r="RN7" s="20"/>
      <c r="RO7" s="20"/>
      <c r="RP7" s="20"/>
      <c r="RQ7" s="20"/>
      <c r="RR7" s="20"/>
      <c r="RS7" s="20"/>
      <c r="RT7" s="20"/>
      <c r="RU7" s="20"/>
      <c r="RV7" s="20"/>
      <c r="RW7" s="20"/>
      <c r="RX7" s="20"/>
      <c r="RY7" s="20"/>
      <c r="RZ7" s="20"/>
      <c r="SA7" s="20"/>
      <c r="SB7" s="20"/>
      <c r="SC7" s="20"/>
      <c r="SD7" s="20"/>
      <c r="SE7" s="20"/>
      <c r="SF7" s="20"/>
      <c r="SG7" s="20"/>
      <c r="SH7" s="20"/>
      <c r="SI7" s="20"/>
      <c r="SJ7" s="20"/>
      <c r="SK7" s="20"/>
      <c r="SL7" s="20"/>
      <c r="SM7" s="20"/>
      <c r="SN7" s="20"/>
      <c r="SO7" s="20"/>
      <c r="SP7" s="20"/>
      <c r="SQ7" s="20"/>
      <c r="SR7" s="20"/>
      <c r="SS7" s="20"/>
      <c r="ST7" s="20"/>
      <c r="SU7" s="20"/>
      <c r="SV7" s="20"/>
      <c r="SW7" s="20"/>
      <c r="SX7" s="20"/>
      <c r="SY7" s="20"/>
      <c r="SZ7" s="20"/>
      <c r="TA7" s="20"/>
      <c r="TB7" s="20"/>
      <c r="TC7" s="20"/>
      <c r="TD7" s="20"/>
      <c r="TE7" s="20"/>
      <c r="TF7" s="20"/>
      <c r="TG7" s="20"/>
      <c r="TH7" s="20"/>
      <c r="TI7" s="20"/>
      <c r="TJ7" s="20"/>
      <c r="TK7" s="20"/>
      <c r="TL7" s="20"/>
      <c r="TM7" s="20"/>
      <c r="TN7" s="20"/>
      <c r="TO7" s="20"/>
      <c r="TP7" s="20"/>
      <c r="TQ7" s="20"/>
      <c r="TR7" s="20"/>
      <c r="TS7" s="20"/>
      <c r="TT7" s="20"/>
      <c r="TU7" s="20"/>
      <c r="TV7" s="20"/>
      <c r="TW7" s="20"/>
      <c r="TX7" s="20"/>
      <c r="TY7" s="20"/>
      <c r="TZ7" s="20"/>
      <c r="UA7" s="20"/>
      <c r="UB7" s="20"/>
      <c r="UC7" s="20"/>
      <c r="UD7" s="20"/>
      <c r="UE7" s="20"/>
      <c r="UF7" s="20"/>
      <c r="UG7" s="20"/>
      <c r="UH7" s="20"/>
      <c r="UI7" s="20"/>
      <c r="UJ7" s="20"/>
      <c r="UK7" s="20"/>
      <c r="UL7" s="20"/>
      <c r="UM7" s="20"/>
      <c r="UN7" s="20"/>
      <c r="UO7" s="20"/>
      <c r="UP7" s="20"/>
      <c r="UQ7" s="20"/>
      <c r="UR7" s="20"/>
      <c r="US7" s="20"/>
      <c r="UT7" s="20"/>
      <c r="UU7" s="20"/>
      <c r="UV7" s="20"/>
      <c r="UW7" s="20"/>
      <c r="UX7" s="20"/>
      <c r="UY7" s="20"/>
      <c r="UZ7" s="20"/>
      <c r="VA7" s="20"/>
      <c r="VB7" s="20"/>
      <c r="VC7" s="20"/>
      <c r="VD7" s="20"/>
      <c r="VE7" s="20"/>
      <c r="VF7" s="20"/>
      <c r="VG7" s="20"/>
      <c r="VH7" s="20"/>
      <c r="VI7" s="20"/>
      <c r="VJ7" s="20"/>
      <c r="VK7" s="20"/>
      <c r="VL7" s="20"/>
      <c r="VM7" s="20"/>
      <c r="VN7" s="20"/>
      <c r="VO7" s="20"/>
      <c r="VP7" s="20"/>
      <c r="VQ7" s="20"/>
      <c r="VR7" s="20"/>
      <c r="VS7" s="20"/>
      <c r="VT7" s="20"/>
      <c r="VU7" s="20"/>
      <c r="VV7" s="20"/>
      <c r="VW7" s="20"/>
      <c r="VX7" s="20"/>
      <c r="VY7" s="20"/>
      <c r="VZ7" s="20"/>
      <c r="WA7" s="20"/>
      <c r="WB7" s="20"/>
      <c r="WC7" s="20"/>
      <c r="WD7" s="20"/>
      <c r="WE7" s="20"/>
      <c r="WF7" s="20"/>
      <c r="WG7" s="20"/>
      <c r="WH7" s="20"/>
      <c r="WI7" s="20"/>
      <c r="WJ7" s="20"/>
      <c r="WK7" s="20"/>
      <c r="WL7" s="20"/>
      <c r="WM7" s="20"/>
      <c r="WN7" s="20"/>
      <c r="WO7" s="20"/>
      <c r="WP7" s="20"/>
      <c r="WQ7" s="20"/>
      <c r="WR7" s="20"/>
      <c r="WS7" s="20"/>
      <c r="WT7" s="20"/>
      <c r="WU7" s="20"/>
      <c r="WV7" s="20"/>
      <c r="WW7" s="20"/>
      <c r="WX7" s="20"/>
      <c r="WY7" s="20"/>
      <c r="WZ7" s="20"/>
      <c r="XA7" s="20"/>
      <c r="XB7" s="20"/>
      <c r="XC7" s="20"/>
      <c r="XD7" s="20"/>
      <c r="XE7" s="20"/>
      <c r="XF7" s="20"/>
      <c r="XG7" s="20"/>
      <c r="XH7" s="20"/>
      <c r="XI7" s="20"/>
      <c r="XJ7" s="20"/>
      <c r="XK7" s="20"/>
      <c r="XL7" s="20"/>
      <c r="XM7" s="20"/>
      <c r="XN7" s="20"/>
      <c r="XO7" s="20"/>
      <c r="XP7" s="20"/>
      <c r="XQ7" s="20"/>
      <c r="XR7" s="20"/>
      <c r="XS7" s="20"/>
      <c r="XT7" s="20"/>
      <c r="XU7" s="20"/>
      <c r="XV7" s="20"/>
      <c r="XW7" s="20"/>
      <c r="XX7" s="20"/>
      <c r="XY7" s="20"/>
      <c r="XZ7" s="20"/>
      <c r="YA7" s="20"/>
      <c r="YB7" s="20"/>
      <c r="YC7" s="20"/>
      <c r="YD7" s="20"/>
      <c r="YE7" s="20"/>
      <c r="YF7" s="20"/>
      <c r="YG7" s="20"/>
      <c r="YH7" s="20"/>
      <c r="YI7" s="20"/>
      <c r="YJ7" s="20"/>
      <c r="YK7" s="20"/>
      <c r="YL7" s="20"/>
      <c r="YM7" s="20"/>
      <c r="YN7" s="20"/>
      <c r="YO7" s="20"/>
      <c r="YP7" s="20"/>
      <c r="YQ7" s="20"/>
      <c r="YR7" s="20"/>
      <c r="YS7" s="20"/>
      <c r="YT7" s="20"/>
      <c r="YU7" s="20"/>
      <c r="YV7" s="20"/>
      <c r="YW7" s="20"/>
      <c r="YX7" s="20"/>
      <c r="YY7" s="20"/>
      <c r="YZ7" s="20"/>
      <c r="ZA7" s="20"/>
      <c r="ZB7" s="20"/>
      <c r="ZC7" s="20"/>
      <c r="ZD7" s="20"/>
      <c r="ZE7" s="20"/>
      <c r="ZF7" s="20"/>
      <c r="ZG7" s="20"/>
      <c r="ZH7" s="20"/>
      <c r="ZI7" s="20"/>
      <c r="ZJ7" s="20"/>
      <c r="ZK7" s="20"/>
      <c r="ZL7" s="20"/>
      <c r="ZM7" s="20"/>
      <c r="ZN7" s="20"/>
      <c r="ZO7" s="20"/>
      <c r="ZP7" s="20"/>
    </row>
    <row r="8" spans="1:692" s="21" customFormat="1" ht="38.25" customHeight="1" x14ac:dyDescent="0.25">
      <c r="A8" s="693"/>
      <c r="B8" s="695"/>
      <c r="C8" s="743"/>
      <c r="D8" s="743"/>
      <c r="E8" s="743"/>
      <c r="F8" s="743"/>
      <c r="G8" s="743"/>
      <c r="H8" s="743"/>
      <c r="I8" s="743"/>
      <c r="J8" s="743"/>
      <c r="K8" s="743"/>
      <c r="L8" s="743"/>
      <c r="M8" s="743"/>
      <c r="N8" s="743"/>
      <c r="O8" s="743"/>
      <c r="P8" s="764"/>
      <c r="Q8" s="14" t="s">
        <v>89</v>
      </c>
      <c r="R8" s="14" t="s">
        <v>90</v>
      </c>
      <c r="S8" s="15" t="s">
        <v>56</v>
      </c>
      <c r="T8" s="14"/>
      <c r="U8" s="15">
        <v>2355</v>
      </c>
      <c r="V8" s="709"/>
      <c r="W8" s="1009"/>
      <c r="X8" s="16" t="s">
        <v>1192</v>
      </c>
      <c r="Y8" s="731"/>
      <c r="Z8" s="734"/>
      <c r="AA8" s="737"/>
      <c r="AB8" s="745"/>
      <c r="AC8" s="18">
        <f>+AC12+AC13+AC16+AC17+AC20++AC21+AC24+AC25+AC27</f>
        <v>723</v>
      </c>
      <c r="AD8" s="18">
        <f>+U8</f>
        <v>2355</v>
      </c>
      <c r="AE8" s="19">
        <f>+AC8/AD8</f>
        <v>0.30700636942675158</v>
      </c>
      <c r="AF8" s="551" t="s">
        <v>1199</v>
      </c>
      <c r="AG8" s="731"/>
      <c r="AH8" s="734"/>
      <c r="AI8" s="737"/>
      <c r="AJ8" s="718"/>
      <c r="AK8" s="18">
        <f>+AK12+AK13+AK16+AK17+AK20+AK21+AK24+AK25+AK27</f>
        <v>994</v>
      </c>
      <c r="AL8" s="18">
        <f>+'[13]PAI SSLA'!U8</f>
        <v>2355</v>
      </c>
      <c r="AM8" s="19">
        <f>+AK8/AL8</f>
        <v>0.42208067940552019</v>
      </c>
      <c r="AN8" s="551" t="s">
        <v>1200</v>
      </c>
      <c r="AO8" s="731"/>
      <c r="AP8" s="734"/>
      <c r="AQ8" s="737"/>
      <c r="AR8" s="689"/>
      <c r="AS8" s="18">
        <f>+AS12+AS13+AS16+AS17+AS20+AS21+AS24+AS25+AS27</f>
        <v>1279</v>
      </c>
      <c r="AT8" s="18">
        <f>+'[14]PAI SSLA'!U8</f>
        <v>2355</v>
      </c>
      <c r="AU8" s="19">
        <f>+AS8/AT8</f>
        <v>0.54309978768577494</v>
      </c>
      <c r="AV8" s="18" t="s">
        <v>1201</v>
      </c>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c r="EZ8" s="20"/>
      <c r="FA8" s="20"/>
      <c r="FB8" s="20"/>
      <c r="FC8" s="20"/>
      <c r="FD8" s="20"/>
      <c r="FE8" s="20"/>
      <c r="FF8" s="20"/>
      <c r="FG8" s="20"/>
      <c r="FH8" s="20"/>
      <c r="FI8" s="20"/>
      <c r="FJ8" s="20"/>
      <c r="FK8" s="20"/>
      <c r="FL8" s="20"/>
      <c r="FM8" s="20"/>
      <c r="FN8" s="20"/>
      <c r="FO8" s="20"/>
      <c r="FP8" s="20"/>
      <c r="FQ8" s="20"/>
      <c r="FR8" s="20"/>
      <c r="FS8" s="20"/>
      <c r="FT8" s="20"/>
      <c r="FU8" s="20"/>
      <c r="FV8" s="20"/>
      <c r="FW8" s="20"/>
      <c r="FX8" s="20"/>
      <c r="FY8" s="20"/>
      <c r="FZ8" s="20"/>
      <c r="GA8" s="20"/>
      <c r="GB8" s="20"/>
      <c r="GC8" s="20"/>
      <c r="GD8" s="20"/>
      <c r="GE8" s="20"/>
      <c r="GF8" s="20"/>
      <c r="GG8" s="20"/>
      <c r="GH8" s="20"/>
      <c r="GI8" s="20"/>
      <c r="GJ8" s="20"/>
      <c r="GK8" s="20"/>
      <c r="GL8" s="20"/>
      <c r="GM8" s="20"/>
      <c r="GN8" s="20"/>
      <c r="GO8" s="20"/>
      <c r="GP8" s="20"/>
      <c r="GQ8" s="20"/>
      <c r="GR8" s="20"/>
      <c r="GS8" s="20"/>
      <c r="GT8" s="20"/>
      <c r="GU8" s="20"/>
      <c r="GV8" s="20"/>
      <c r="GW8" s="20"/>
      <c r="GX8" s="20"/>
      <c r="GY8" s="20"/>
      <c r="GZ8" s="20"/>
      <c r="HA8" s="20"/>
      <c r="HB8" s="20"/>
      <c r="HC8" s="20"/>
      <c r="HD8" s="20"/>
      <c r="HE8" s="20"/>
      <c r="HF8" s="20"/>
      <c r="HG8" s="20"/>
      <c r="HH8" s="20"/>
      <c r="HI8" s="20"/>
      <c r="HJ8" s="20"/>
      <c r="HK8" s="20"/>
      <c r="HL8" s="20"/>
      <c r="HM8" s="20"/>
      <c r="HN8" s="20"/>
      <c r="HO8" s="20"/>
      <c r="HP8" s="20"/>
      <c r="HQ8" s="20"/>
      <c r="HR8" s="20"/>
      <c r="HS8" s="20"/>
      <c r="HT8" s="20"/>
      <c r="HU8" s="20"/>
      <c r="HV8" s="20"/>
      <c r="HW8" s="20"/>
      <c r="HX8" s="20"/>
      <c r="HY8" s="20"/>
      <c r="HZ8" s="20"/>
      <c r="IA8" s="20"/>
      <c r="IB8" s="20"/>
      <c r="IC8" s="20"/>
      <c r="ID8" s="20"/>
      <c r="IE8" s="20"/>
      <c r="IF8" s="20"/>
      <c r="IG8" s="20"/>
      <c r="IH8" s="20"/>
      <c r="II8" s="20"/>
      <c r="IJ8" s="20"/>
      <c r="IK8" s="20"/>
      <c r="IL8" s="20"/>
      <c r="IM8" s="20"/>
      <c r="IN8" s="20"/>
      <c r="IO8" s="20"/>
      <c r="IP8" s="20"/>
      <c r="IQ8" s="20"/>
      <c r="IR8" s="20"/>
      <c r="IS8" s="20"/>
      <c r="IT8" s="20"/>
      <c r="IU8" s="20"/>
      <c r="IV8" s="20"/>
      <c r="IW8" s="20"/>
      <c r="IX8" s="20"/>
      <c r="IY8" s="20"/>
      <c r="IZ8" s="20"/>
      <c r="JA8" s="20"/>
      <c r="JB8" s="20"/>
      <c r="JC8" s="20"/>
      <c r="JD8" s="20"/>
      <c r="JE8" s="20"/>
      <c r="JF8" s="20"/>
      <c r="JG8" s="20"/>
      <c r="JH8" s="20"/>
      <c r="JI8" s="20"/>
      <c r="JJ8" s="20"/>
      <c r="JK8" s="20"/>
      <c r="JL8" s="20"/>
      <c r="JM8" s="20"/>
      <c r="JN8" s="20"/>
      <c r="JO8" s="20"/>
      <c r="JP8" s="20"/>
      <c r="JQ8" s="20"/>
      <c r="JR8" s="20"/>
      <c r="JS8" s="20"/>
      <c r="JT8" s="20"/>
      <c r="JU8" s="20"/>
      <c r="JV8" s="20"/>
      <c r="JW8" s="20"/>
      <c r="JX8" s="20"/>
      <c r="JY8" s="20"/>
      <c r="JZ8" s="20"/>
      <c r="KA8" s="20"/>
      <c r="KB8" s="20"/>
      <c r="KC8" s="20"/>
      <c r="KD8" s="20"/>
      <c r="KE8" s="20"/>
      <c r="KF8" s="20"/>
      <c r="KG8" s="20"/>
      <c r="KH8" s="20"/>
      <c r="KI8" s="20"/>
      <c r="KJ8" s="20"/>
      <c r="KK8" s="20"/>
      <c r="KL8" s="20"/>
      <c r="KM8" s="20"/>
      <c r="KN8" s="20"/>
      <c r="KO8" s="20"/>
      <c r="KP8" s="20"/>
      <c r="KQ8" s="20"/>
      <c r="KR8" s="20"/>
      <c r="KS8" s="20"/>
      <c r="KT8" s="20"/>
      <c r="KU8" s="20"/>
      <c r="KV8" s="20"/>
      <c r="KW8" s="20"/>
      <c r="KX8" s="20"/>
      <c r="KY8" s="20"/>
      <c r="KZ8" s="20"/>
      <c r="LA8" s="20"/>
      <c r="LB8" s="20"/>
      <c r="LC8" s="20"/>
      <c r="LD8" s="20"/>
      <c r="LE8" s="20"/>
      <c r="LF8" s="20"/>
      <c r="LG8" s="20"/>
      <c r="LH8" s="20"/>
      <c r="LI8" s="20"/>
      <c r="LJ8" s="20"/>
      <c r="LK8" s="20"/>
      <c r="LL8" s="20"/>
      <c r="LM8" s="20"/>
      <c r="LN8" s="20"/>
      <c r="LO8" s="20"/>
      <c r="LP8" s="20"/>
      <c r="LQ8" s="20"/>
      <c r="LR8" s="20"/>
      <c r="LS8" s="20"/>
      <c r="LT8" s="20"/>
      <c r="LU8" s="20"/>
      <c r="LV8" s="20"/>
      <c r="LW8" s="20"/>
      <c r="LX8" s="20"/>
      <c r="LY8" s="20"/>
      <c r="LZ8" s="20"/>
      <c r="MA8" s="20"/>
      <c r="MB8" s="20"/>
      <c r="MC8" s="20"/>
      <c r="MD8" s="20"/>
      <c r="ME8" s="20"/>
      <c r="MF8" s="20"/>
      <c r="MG8" s="20"/>
      <c r="MH8" s="20"/>
      <c r="MI8" s="20"/>
      <c r="MJ8" s="20"/>
      <c r="MK8" s="20"/>
      <c r="ML8" s="20"/>
      <c r="MM8" s="20"/>
      <c r="MN8" s="20"/>
      <c r="MO8" s="20"/>
      <c r="MP8" s="20"/>
      <c r="MQ8" s="20"/>
      <c r="MR8" s="20"/>
      <c r="MS8" s="20"/>
      <c r="MT8" s="20"/>
      <c r="MU8" s="20"/>
      <c r="MV8" s="20"/>
      <c r="MW8" s="20"/>
      <c r="MX8" s="20"/>
      <c r="MY8" s="20"/>
      <c r="MZ8" s="20"/>
      <c r="NA8" s="20"/>
      <c r="NB8" s="20"/>
      <c r="NC8" s="20"/>
      <c r="ND8" s="20"/>
      <c r="NE8" s="20"/>
      <c r="NF8" s="20"/>
      <c r="NG8" s="20"/>
      <c r="NH8" s="20"/>
      <c r="NI8" s="20"/>
      <c r="NJ8" s="20"/>
      <c r="NK8" s="20"/>
      <c r="NL8" s="20"/>
      <c r="NM8" s="20"/>
      <c r="NN8" s="20"/>
      <c r="NO8" s="20"/>
      <c r="NP8" s="20"/>
      <c r="NQ8" s="20"/>
      <c r="NR8" s="20"/>
      <c r="NS8" s="20"/>
      <c r="NT8" s="20"/>
      <c r="NU8" s="20"/>
      <c r="NV8" s="20"/>
      <c r="NW8" s="20"/>
      <c r="NX8" s="20"/>
      <c r="NY8" s="20"/>
      <c r="NZ8" s="20"/>
      <c r="OA8" s="20"/>
      <c r="OB8" s="20"/>
      <c r="OC8" s="20"/>
      <c r="OD8" s="20"/>
      <c r="OE8" s="20"/>
      <c r="OF8" s="20"/>
      <c r="OG8" s="20"/>
      <c r="OH8" s="20"/>
      <c r="OI8" s="20"/>
      <c r="OJ8" s="20"/>
      <c r="OK8" s="20"/>
      <c r="OL8" s="20"/>
      <c r="OM8" s="20"/>
      <c r="ON8" s="20"/>
      <c r="OO8" s="20"/>
      <c r="OP8" s="20"/>
      <c r="OQ8" s="20"/>
      <c r="OR8" s="20"/>
      <c r="OS8" s="20"/>
      <c r="OT8" s="20"/>
      <c r="OU8" s="20"/>
      <c r="OV8" s="20"/>
      <c r="OW8" s="20"/>
      <c r="OX8" s="20"/>
      <c r="OY8" s="20"/>
      <c r="OZ8" s="20"/>
      <c r="PA8" s="20"/>
      <c r="PB8" s="20"/>
      <c r="PC8" s="20"/>
      <c r="PD8" s="20"/>
      <c r="PE8" s="20"/>
      <c r="PF8" s="20"/>
      <c r="PG8" s="20"/>
      <c r="PH8" s="20"/>
      <c r="PI8" s="20"/>
      <c r="PJ8" s="20"/>
      <c r="PK8" s="20"/>
      <c r="PL8" s="20"/>
      <c r="PM8" s="20"/>
      <c r="PN8" s="20"/>
      <c r="PO8" s="20"/>
      <c r="PP8" s="20"/>
      <c r="PQ8" s="20"/>
      <c r="PR8" s="20"/>
      <c r="PS8" s="20"/>
      <c r="PT8" s="20"/>
      <c r="PU8" s="20"/>
      <c r="PV8" s="20"/>
      <c r="PW8" s="20"/>
      <c r="PX8" s="20"/>
      <c r="PY8" s="20"/>
      <c r="PZ8" s="20"/>
      <c r="QA8" s="20"/>
      <c r="QB8" s="20"/>
      <c r="QC8" s="20"/>
      <c r="QD8" s="20"/>
      <c r="QE8" s="20"/>
      <c r="QF8" s="20"/>
      <c r="QG8" s="20"/>
      <c r="QH8" s="20"/>
      <c r="QI8" s="20"/>
      <c r="QJ8" s="20"/>
      <c r="QK8" s="20"/>
      <c r="QL8" s="20"/>
      <c r="QM8" s="20"/>
      <c r="QN8" s="20"/>
      <c r="QO8" s="20"/>
      <c r="QP8" s="20"/>
      <c r="QQ8" s="20"/>
      <c r="QR8" s="20"/>
      <c r="QS8" s="20"/>
      <c r="QT8" s="20"/>
      <c r="QU8" s="20"/>
      <c r="QV8" s="20"/>
      <c r="QW8" s="20"/>
      <c r="QX8" s="20"/>
      <c r="QY8" s="20"/>
      <c r="QZ8" s="20"/>
      <c r="RA8" s="20"/>
      <c r="RB8" s="20"/>
      <c r="RC8" s="20"/>
      <c r="RD8" s="20"/>
      <c r="RE8" s="20"/>
      <c r="RF8" s="20"/>
      <c r="RG8" s="20"/>
      <c r="RH8" s="20"/>
      <c r="RI8" s="20"/>
      <c r="RJ8" s="20"/>
      <c r="RK8" s="20"/>
      <c r="RL8" s="20"/>
      <c r="RM8" s="20"/>
      <c r="RN8" s="20"/>
      <c r="RO8" s="20"/>
      <c r="RP8" s="20"/>
      <c r="RQ8" s="20"/>
      <c r="RR8" s="20"/>
      <c r="RS8" s="20"/>
      <c r="RT8" s="20"/>
      <c r="RU8" s="20"/>
      <c r="RV8" s="20"/>
      <c r="RW8" s="20"/>
      <c r="RX8" s="20"/>
      <c r="RY8" s="20"/>
      <c r="RZ8" s="20"/>
      <c r="SA8" s="20"/>
      <c r="SB8" s="20"/>
      <c r="SC8" s="20"/>
      <c r="SD8" s="20"/>
      <c r="SE8" s="20"/>
      <c r="SF8" s="20"/>
      <c r="SG8" s="20"/>
      <c r="SH8" s="20"/>
      <c r="SI8" s="20"/>
      <c r="SJ8" s="20"/>
      <c r="SK8" s="20"/>
      <c r="SL8" s="20"/>
      <c r="SM8" s="20"/>
      <c r="SN8" s="20"/>
      <c r="SO8" s="20"/>
      <c r="SP8" s="20"/>
      <c r="SQ8" s="20"/>
      <c r="SR8" s="20"/>
      <c r="SS8" s="20"/>
      <c r="ST8" s="20"/>
      <c r="SU8" s="20"/>
      <c r="SV8" s="20"/>
      <c r="SW8" s="20"/>
      <c r="SX8" s="20"/>
      <c r="SY8" s="20"/>
      <c r="SZ8" s="20"/>
      <c r="TA8" s="20"/>
      <c r="TB8" s="20"/>
      <c r="TC8" s="20"/>
      <c r="TD8" s="20"/>
      <c r="TE8" s="20"/>
      <c r="TF8" s="20"/>
      <c r="TG8" s="20"/>
      <c r="TH8" s="20"/>
      <c r="TI8" s="20"/>
      <c r="TJ8" s="20"/>
      <c r="TK8" s="20"/>
      <c r="TL8" s="20"/>
      <c r="TM8" s="20"/>
      <c r="TN8" s="20"/>
      <c r="TO8" s="20"/>
      <c r="TP8" s="20"/>
      <c r="TQ8" s="20"/>
      <c r="TR8" s="20"/>
      <c r="TS8" s="20"/>
      <c r="TT8" s="20"/>
      <c r="TU8" s="20"/>
      <c r="TV8" s="20"/>
      <c r="TW8" s="20"/>
      <c r="TX8" s="20"/>
      <c r="TY8" s="20"/>
      <c r="TZ8" s="20"/>
      <c r="UA8" s="20"/>
      <c r="UB8" s="20"/>
      <c r="UC8" s="20"/>
      <c r="UD8" s="20"/>
      <c r="UE8" s="20"/>
      <c r="UF8" s="20"/>
      <c r="UG8" s="20"/>
      <c r="UH8" s="20"/>
      <c r="UI8" s="20"/>
      <c r="UJ8" s="20"/>
      <c r="UK8" s="20"/>
      <c r="UL8" s="20"/>
      <c r="UM8" s="20"/>
      <c r="UN8" s="20"/>
      <c r="UO8" s="20"/>
      <c r="UP8" s="20"/>
      <c r="UQ8" s="20"/>
      <c r="UR8" s="20"/>
      <c r="US8" s="20"/>
      <c r="UT8" s="20"/>
      <c r="UU8" s="20"/>
      <c r="UV8" s="20"/>
      <c r="UW8" s="20"/>
      <c r="UX8" s="20"/>
      <c r="UY8" s="20"/>
      <c r="UZ8" s="20"/>
      <c r="VA8" s="20"/>
      <c r="VB8" s="20"/>
      <c r="VC8" s="20"/>
      <c r="VD8" s="20"/>
      <c r="VE8" s="20"/>
      <c r="VF8" s="20"/>
      <c r="VG8" s="20"/>
      <c r="VH8" s="20"/>
      <c r="VI8" s="20"/>
      <c r="VJ8" s="20"/>
      <c r="VK8" s="20"/>
      <c r="VL8" s="20"/>
      <c r="VM8" s="20"/>
      <c r="VN8" s="20"/>
      <c r="VO8" s="20"/>
      <c r="VP8" s="20"/>
      <c r="VQ8" s="20"/>
      <c r="VR8" s="20"/>
      <c r="VS8" s="20"/>
      <c r="VT8" s="20"/>
      <c r="VU8" s="20"/>
      <c r="VV8" s="20"/>
      <c r="VW8" s="20"/>
      <c r="VX8" s="20"/>
      <c r="VY8" s="20"/>
      <c r="VZ8" s="20"/>
      <c r="WA8" s="20"/>
      <c r="WB8" s="20"/>
      <c r="WC8" s="20"/>
      <c r="WD8" s="20"/>
      <c r="WE8" s="20"/>
      <c r="WF8" s="20"/>
      <c r="WG8" s="20"/>
      <c r="WH8" s="20"/>
      <c r="WI8" s="20"/>
      <c r="WJ8" s="20"/>
      <c r="WK8" s="20"/>
      <c r="WL8" s="20"/>
      <c r="WM8" s="20"/>
      <c r="WN8" s="20"/>
      <c r="WO8" s="20"/>
      <c r="WP8" s="20"/>
      <c r="WQ8" s="20"/>
      <c r="WR8" s="20"/>
      <c r="WS8" s="20"/>
      <c r="WT8" s="20"/>
      <c r="WU8" s="20"/>
      <c r="WV8" s="20"/>
      <c r="WW8" s="20"/>
      <c r="WX8" s="20"/>
      <c r="WY8" s="20"/>
      <c r="WZ8" s="20"/>
      <c r="XA8" s="20"/>
      <c r="XB8" s="20"/>
      <c r="XC8" s="20"/>
      <c r="XD8" s="20"/>
      <c r="XE8" s="20"/>
      <c r="XF8" s="20"/>
      <c r="XG8" s="20"/>
      <c r="XH8" s="20"/>
      <c r="XI8" s="20"/>
      <c r="XJ8" s="20"/>
      <c r="XK8" s="20"/>
      <c r="XL8" s="20"/>
      <c r="XM8" s="20"/>
      <c r="XN8" s="20"/>
      <c r="XO8" s="20"/>
      <c r="XP8" s="20"/>
      <c r="XQ8" s="20"/>
      <c r="XR8" s="20"/>
      <c r="XS8" s="20"/>
      <c r="XT8" s="20"/>
      <c r="XU8" s="20"/>
      <c r="XV8" s="20"/>
      <c r="XW8" s="20"/>
      <c r="XX8" s="20"/>
      <c r="XY8" s="20"/>
      <c r="XZ8" s="20"/>
      <c r="YA8" s="20"/>
      <c r="YB8" s="20"/>
      <c r="YC8" s="20"/>
      <c r="YD8" s="20"/>
      <c r="YE8" s="20"/>
      <c r="YF8" s="20"/>
      <c r="YG8" s="20"/>
      <c r="YH8" s="20"/>
      <c r="YI8" s="20"/>
      <c r="YJ8" s="20"/>
      <c r="YK8" s="20"/>
      <c r="YL8" s="20"/>
      <c r="YM8" s="20"/>
      <c r="YN8" s="20"/>
      <c r="YO8" s="20"/>
      <c r="YP8" s="20"/>
      <c r="YQ8" s="20"/>
      <c r="YR8" s="20"/>
      <c r="YS8" s="20"/>
      <c r="YT8" s="20"/>
      <c r="YU8" s="20"/>
      <c r="YV8" s="20"/>
      <c r="YW8" s="20"/>
      <c r="YX8" s="20"/>
      <c r="YY8" s="20"/>
      <c r="YZ8" s="20"/>
      <c r="ZA8" s="20"/>
      <c r="ZB8" s="20"/>
      <c r="ZC8" s="20"/>
      <c r="ZD8" s="20"/>
      <c r="ZE8" s="20"/>
      <c r="ZF8" s="20"/>
      <c r="ZG8" s="20"/>
      <c r="ZH8" s="20"/>
      <c r="ZI8" s="20"/>
      <c r="ZJ8" s="20"/>
      <c r="ZK8" s="20"/>
      <c r="ZL8" s="20"/>
      <c r="ZM8" s="20"/>
      <c r="ZN8" s="20"/>
      <c r="ZO8" s="20"/>
      <c r="ZP8" s="20"/>
    </row>
    <row r="9" spans="1:692" s="31" customFormat="1" ht="45" customHeight="1" x14ac:dyDescent="0.25">
      <c r="A9" s="693"/>
      <c r="B9" s="695"/>
      <c r="C9" s="743"/>
      <c r="D9" s="743"/>
      <c r="E9" s="743"/>
      <c r="F9" s="743"/>
      <c r="G9" s="743"/>
      <c r="H9" s="743"/>
      <c r="I9" s="743"/>
      <c r="J9" s="743"/>
      <c r="K9" s="743"/>
      <c r="L9" s="743"/>
      <c r="M9" s="743"/>
      <c r="N9" s="743"/>
      <c r="O9" s="743"/>
      <c r="P9" s="743"/>
      <c r="Q9" s="22" t="s">
        <v>94</v>
      </c>
      <c r="R9" s="22" t="s">
        <v>95</v>
      </c>
      <c r="S9" s="553" t="s">
        <v>74</v>
      </c>
      <c r="T9" s="22"/>
      <c r="U9" s="44">
        <v>0.75</v>
      </c>
      <c r="V9" s="709"/>
      <c r="W9" s="1009"/>
      <c r="X9" s="45" t="s">
        <v>1192</v>
      </c>
      <c r="Y9" s="732"/>
      <c r="Z9" s="735"/>
      <c r="AA9" s="738"/>
      <c r="AB9" s="746"/>
      <c r="AC9" s="585">
        <f>34/Y7</f>
        <v>6.1151079136690649E-2</v>
      </c>
      <c r="AD9" s="50">
        <f>+U9</f>
        <v>0.75</v>
      </c>
      <c r="AE9" s="49">
        <f>+AC9/AD9</f>
        <v>8.1534772182254203E-2</v>
      </c>
      <c r="AF9" s="539" t="s">
        <v>1202</v>
      </c>
      <c r="AG9" s="732"/>
      <c r="AH9" s="735"/>
      <c r="AI9" s="738"/>
      <c r="AJ9" s="718"/>
      <c r="AK9" s="585">
        <f>(5+14+13+21+19)/AG7</f>
        <v>9.1139240506329114E-2</v>
      </c>
      <c r="AL9" s="50">
        <f>+'[13]PAI SSLA'!U9</f>
        <v>0.75</v>
      </c>
      <c r="AM9" s="49">
        <f>+AK9/AL9</f>
        <v>0.12151898734177215</v>
      </c>
      <c r="AN9" s="539" t="s">
        <v>1203</v>
      </c>
      <c r="AO9" s="732"/>
      <c r="AP9" s="735"/>
      <c r="AQ9" s="738"/>
      <c r="AR9" s="689"/>
      <c r="AS9" s="29">
        <f>(22+36+35+28)/(AO7-AO27)</f>
        <v>0.23540856031128404</v>
      </c>
      <c r="AT9" s="50">
        <f>+'[14]PAI SSLA'!U9</f>
        <v>0.75</v>
      </c>
      <c r="AU9" s="49">
        <f>+AS9/AT9</f>
        <v>0.31387808041504539</v>
      </c>
      <c r="AV9" s="51" t="s">
        <v>1204</v>
      </c>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row>
    <row r="10" spans="1:692" s="21" customFormat="1" ht="57" customHeight="1" x14ac:dyDescent="0.25">
      <c r="A10" s="52"/>
      <c r="B10" s="52"/>
      <c r="C10" s="52"/>
      <c r="D10" s="52"/>
      <c r="E10" s="52"/>
      <c r="F10" s="52"/>
      <c r="G10" s="52"/>
      <c r="H10" s="52"/>
      <c r="I10" s="52"/>
      <c r="J10" s="52"/>
      <c r="K10" s="52"/>
      <c r="L10" s="52"/>
      <c r="M10" s="52"/>
      <c r="N10" s="52"/>
      <c r="O10" s="52"/>
      <c r="P10" s="53"/>
      <c r="Q10" s="52"/>
      <c r="R10" s="52"/>
      <c r="S10" s="53"/>
      <c r="T10" s="52"/>
      <c r="U10" s="52"/>
      <c r="V10" s="52"/>
      <c r="W10" s="1009"/>
      <c r="X10" s="52"/>
      <c r="Y10" s="657" t="s">
        <v>99</v>
      </c>
      <c r="Z10" s="657"/>
      <c r="AA10" s="55">
        <f>AVERAGE(AA7:AA9)</f>
        <v>0.22347266881028938</v>
      </c>
      <c r="AB10" s="56"/>
      <c r="AC10" s="685" t="s">
        <v>100</v>
      </c>
      <c r="AD10" s="685"/>
      <c r="AE10" s="57">
        <f>AVERAGE(AE7,AE8,AE9)</f>
        <v>0.22152584733781824</v>
      </c>
      <c r="AF10" s="58"/>
      <c r="AG10" s="657" t="s">
        <v>99</v>
      </c>
      <c r="AH10" s="657"/>
      <c r="AI10" s="55">
        <f>AVERAGE(AI7:AI9)</f>
        <v>0.317524115755627</v>
      </c>
      <c r="AJ10" s="56"/>
      <c r="AK10" s="685" t="s">
        <v>100</v>
      </c>
      <c r="AL10" s="685"/>
      <c r="AM10" s="57">
        <f>AVERAGE(AM7,AM8,AM9)</f>
        <v>0.27388610394778296</v>
      </c>
      <c r="AN10" s="58"/>
      <c r="AO10" s="657" t="s">
        <v>99</v>
      </c>
      <c r="AP10" s="657"/>
      <c r="AQ10" s="55">
        <f>AVERAGE(AQ7:AQ9)</f>
        <v>0.45418006430868169</v>
      </c>
      <c r="AR10" s="56"/>
      <c r="AS10" s="685" t="s">
        <v>100</v>
      </c>
      <c r="AT10" s="685"/>
      <c r="AU10" s="57">
        <f>AVERAGE(AU7,AU8,AU9)</f>
        <v>0.37935662674476278</v>
      </c>
      <c r="AV10" s="58"/>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c r="IH10" s="20"/>
      <c r="II10" s="20"/>
      <c r="IJ10" s="20"/>
      <c r="IK10" s="20"/>
      <c r="IL10" s="20"/>
      <c r="IM10" s="20"/>
      <c r="IN10" s="20"/>
      <c r="IO10" s="20"/>
      <c r="IP10" s="20"/>
      <c r="IQ10" s="20"/>
      <c r="IR10" s="20"/>
      <c r="IS10" s="20"/>
      <c r="IT10" s="20"/>
      <c r="IU10" s="20"/>
      <c r="IV10" s="20"/>
      <c r="IW10" s="20"/>
      <c r="IX10" s="20"/>
      <c r="IY10" s="20"/>
      <c r="IZ10" s="20"/>
      <c r="JA10" s="20"/>
      <c r="JB10" s="20"/>
      <c r="JC10" s="20"/>
      <c r="JD10" s="20"/>
      <c r="JE10" s="20"/>
      <c r="JF10" s="20"/>
      <c r="JG10" s="20"/>
      <c r="JH10" s="20"/>
      <c r="JI10" s="20"/>
      <c r="JJ10" s="20"/>
      <c r="JK10" s="20"/>
      <c r="JL10" s="20"/>
      <c r="JM10" s="20"/>
      <c r="JN10" s="20"/>
      <c r="JO10" s="20"/>
      <c r="JP10" s="20"/>
      <c r="JQ10" s="20"/>
      <c r="JR10" s="20"/>
      <c r="JS10" s="20"/>
      <c r="JT10" s="20"/>
      <c r="JU10" s="20"/>
      <c r="JV10" s="20"/>
      <c r="JW10" s="20"/>
      <c r="JX10" s="20"/>
      <c r="JY10" s="20"/>
      <c r="JZ10" s="20"/>
      <c r="KA10" s="20"/>
      <c r="KB10" s="20"/>
      <c r="KC10" s="20"/>
      <c r="KD10" s="20"/>
      <c r="KE10" s="20"/>
      <c r="KF10" s="20"/>
      <c r="KG10" s="20"/>
      <c r="KH10" s="20"/>
      <c r="KI10" s="20"/>
      <c r="KJ10" s="20"/>
      <c r="KK10" s="20"/>
      <c r="KL10" s="20"/>
      <c r="KM10" s="20"/>
      <c r="KN10" s="20"/>
      <c r="KO10" s="20"/>
      <c r="KP10" s="20"/>
      <c r="KQ10" s="20"/>
      <c r="KR10" s="20"/>
      <c r="KS10" s="20"/>
      <c r="KT10" s="20"/>
      <c r="KU10" s="20"/>
      <c r="KV10" s="20"/>
      <c r="KW10" s="20"/>
      <c r="KX10" s="20"/>
      <c r="KY10" s="20"/>
      <c r="KZ10" s="20"/>
      <c r="LA10" s="20"/>
      <c r="LB10" s="20"/>
      <c r="LC10" s="20"/>
      <c r="LD10" s="20"/>
      <c r="LE10" s="20"/>
      <c r="LF10" s="20"/>
      <c r="LG10" s="20"/>
      <c r="LH10" s="20"/>
      <c r="LI10" s="20"/>
      <c r="LJ10" s="20"/>
      <c r="LK10" s="20"/>
      <c r="LL10" s="20"/>
      <c r="LM10" s="20"/>
      <c r="LN10" s="20"/>
      <c r="LO10" s="20"/>
      <c r="LP10" s="20"/>
      <c r="LQ10" s="20"/>
      <c r="LR10" s="20"/>
      <c r="LS10" s="20"/>
      <c r="LT10" s="20"/>
      <c r="LU10" s="20"/>
      <c r="LV10" s="20"/>
      <c r="LW10" s="20"/>
      <c r="LX10" s="20"/>
      <c r="LY10" s="20"/>
      <c r="LZ10" s="20"/>
      <c r="MA10" s="20"/>
      <c r="MB10" s="20"/>
      <c r="MC10" s="20"/>
      <c r="MD10" s="20"/>
      <c r="ME10" s="20"/>
      <c r="MF10" s="20"/>
      <c r="MG10" s="20"/>
      <c r="MH10" s="20"/>
      <c r="MI10" s="20"/>
      <c r="MJ10" s="20"/>
      <c r="MK10" s="20"/>
      <c r="ML10" s="20"/>
      <c r="MM10" s="20"/>
      <c r="MN10" s="20"/>
      <c r="MO10" s="20"/>
      <c r="MP10" s="20"/>
      <c r="MQ10" s="20"/>
      <c r="MR10" s="20"/>
      <c r="MS10" s="20"/>
      <c r="MT10" s="20"/>
      <c r="MU10" s="20"/>
      <c r="MV10" s="20"/>
      <c r="MW10" s="20"/>
      <c r="MX10" s="20"/>
      <c r="MY10" s="20"/>
      <c r="MZ10" s="20"/>
      <c r="NA10" s="20"/>
      <c r="NB10" s="20"/>
      <c r="NC10" s="20"/>
      <c r="ND10" s="20"/>
      <c r="NE10" s="20"/>
      <c r="NF10" s="20"/>
      <c r="NG10" s="20"/>
      <c r="NH10" s="20"/>
      <c r="NI10" s="20"/>
      <c r="NJ10" s="20"/>
      <c r="NK10" s="20"/>
      <c r="NL10" s="20"/>
      <c r="NM10" s="20"/>
      <c r="NN10" s="20"/>
      <c r="NO10" s="20"/>
      <c r="NP10" s="20"/>
      <c r="NQ10" s="20"/>
      <c r="NR10" s="20"/>
      <c r="NS10" s="20"/>
      <c r="NT10" s="20"/>
      <c r="NU10" s="20"/>
      <c r="NV10" s="20"/>
      <c r="NW10" s="20"/>
      <c r="NX10" s="20"/>
      <c r="NY10" s="20"/>
      <c r="NZ10" s="20"/>
      <c r="OA10" s="20"/>
      <c r="OB10" s="20"/>
      <c r="OC10" s="20"/>
      <c r="OD10" s="20"/>
      <c r="OE10" s="20"/>
      <c r="OF10" s="20"/>
      <c r="OG10" s="20"/>
      <c r="OH10" s="20"/>
      <c r="OI10" s="20"/>
      <c r="OJ10" s="20"/>
      <c r="OK10" s="20"/>
      <c r="OL10" s="20"/>
      <c r="OM10" s="20"/>
      <c r="ON10" s="20"/>
      <c r="OO10" s="20"/>
      <c r="OP10" s="20"/>
      <c r="OQ10" s="20"/>
      <c r="OR10" s="20"/>
      <c r="OS10" s="20"/>
      <c r="OT10" s="20"/>
      <c r="OU10" s="20"/>
      <c r="OV10" s="20"/>
      <c r="OW10" s="20"/>
      <c r="OX10" s="20"/>
      <c r="OY10" s="20"/>
      <c r="OZ10" s="20"/>
      <c r="PA10" s="20"/>
      <c r="PB10" s="20"/>
      <c r="PC10" s="20"/>
      <c r="PD10" s="20"/>
      <c r="PE10" s="20"/>
      <c r="PF10" s="20"/>
      <c r="PG10" s="20"/>
      <c r="PH10" s="20"/>
      <c r="PI10" s="20"/>
      <c r="PJ10" s="20"/>
      <c r="PK10" s="20"/>
      <c r="PL10" s="20"/>
      <c r="PM10" s="20"/>
      <c r="PN10" s="20"/>
      <c r="PO10" s="20"/>
      <c r="PP10" s="20"/>
      <c r="PQ10" s="20"/>
      <c r="PR10" s="20"/>
      <c r="PS10" s="20"/>
      <c r="PT10" s="20"/>
      <c r="PU10" s="20"/>
      <c r="PV10" s="20"/>
      <c r="PW10" s="20"/>
      <c r="PX10" s="20"/>
      <c r="PY10" s="20"/>
      <c r="PZ10" s="20"/>
      <c r="QA10" s="20"/>
      <c r="QB10" s="20"/>
      <c r="QC10" s="20"/>
      <c r="QD10" s="20"/>
      <c r="QE10" s="20"/>
      <c r="QF10" s="20"/>
      <c r="QG10" s="20"/>
      <c r="QH10" s="20"/>
      <c r="QI10" s="20"/>
      <c r="QJ10" s="20"/>
      <c r="QK10" s="20"/>
      <c r="QL10" s="20"/>
      <c r="QM10" s="20"/>
      <c r="QN10" s="20"/>
      <c r="QO10" s="20"/>
      <c r="QP10" s="20"/>
      <c r="QQ10" s="20"/>
      <c r="QR10" s="20"/>
      <c r="QS10" s="20"/>
      <c r="QT10" s="20"/>
      <c r="QU10" s="20"/>
      <c r="QV10" s="20"/>
      <c r="QW10" s="20"/>
      <c r="QX10" s="20"/>
      <c r="QY10" s="20"/>
      <c r="QZ10" s="20"/>
      <c r="RA10" s="20"/>
      <c r="RB10" s="20"/>
      <c r="RC10" s="20"/>
      <c r="RD10" s="20"/>
      <c r="RE10" s="20"/>
      <c r="RF10" s="20"/>
      <c r="RG10" s="20"/>
      <c r="RH10" s="20"/>
      <c r="RI10" s="20"/>
      <c r="RJ10" s="20"/>
      <c r="RK10" s="20"/>
      <c r="RL10" s="20"/>
      <c r="RM10" s="20"/>
      <c r="RN10" s="20"/>
      <c r="RO10" s="20"/>
      <c r="RP10" s="20"/>
      <c r="RQ10" s="20"/>
      <c r="RR10" s="20"/>
      <c r="RS10" s="20"/>
      <c r="RT10" s="20"/>
      <c r="RU10" s="20"/>
      <c r="RV10" s="20"/>
      <c r="RW10" s="20"/>
      <c r="RX10" s="20"/>
      <c r="RY10" s="20"/>
      <c r="RZ10" s="20"/>
      <c r="SA10" s="20"/>
      <c r="SB10" s="20"/>
      <c r="SC10" s="20"/>
      <c r="SD10" s="20"/>
      <c r="SE10" s="20"/>
      <c r="SF10" s="20"/>
      <c r="SG10" s="20"/>
      <c r="SH10" s="20"/>
      <c r="SI10" s="20"/>
      <c r="SJ10" s="20"/>
      <c r="SK10" s="20"/>
      <c r="SL10" s="20"/>
      <c r="SM10" s="20"/>
      <c r="SN10" s="20"/>
      <c r="SO10" s="20"/>
      <c r="SP10" s="20"/>
      <c r="SQ10" s="20"/>
      <c r="SR10" s="20"/>
      <c r="SS10" s="20"/>
      <c r="ST10" s="20"/>
      <c r="SU10" s="20"/>
      <c r="SV10" s="20"/>
      <c r="SW10" s="20"/>
      <c r="SX10" s="20"/>
      <c r="SY10" s="20"/>
      <c r="SZ10" s="20"/>
      <c r="TA10" s="20"/>
      <c r="TB10" s="20"/>
      <c r="TC10" s="20"/>
      <c r="TD10" s="20"/>
      <c r="TE10" s="20"/>
      <c r="TF10" s="20"/>
      <c r="TG10" s="20"/>
      <c r="TH10" s="20"/>
      <c r="TI10" s="20"/>
      <c r="TJ10" s="20"/>
      <c r="TK10" s="20"/>
      <c r="TL10" s="20"/>
      <c r="TM10" s="20"/>
      <c r="TN10" s="20"/>
      <c r="TO10" s="20"/>
      <c r="TP10" s="20"/>
      <c r="TQ10" s="20"/>
      <c r="TR10" s="20"/>
      <c r="TS10" s="20"/>
      <c r="TT10" s="20"/>
      <c r="TU10" s="20"/>
      <c r="TV10" s="20"/>
      <c r="TW10" s="20"/>
      <c r="TX10" s="20"/>
      <c r="TY10" s="20"/>
      <c r="TZ10" s="20"/>
      <c r="UA10" s="20"/>
      <c r="UB10" s="20"/>
      <c r="UC10" s="20"/>
      <c r="UD10" s="20"/>
      <c r="UE10" s="20"/>
      <c r="UF10" s="20"/>
      <c r="UG10" s="20"/>
      <c r="UH10" s="20"/>
      <c r="UI10" s="20"/>
      <c r="UJ10" s="20"/>
      <c r="UK10" s="20"/>
      <c r="UL10" s="20"/>
      <c r="UM10" s="20"/>
      <c r="UN10" s="20"/>
      <c r="UO10" s="20"/>
      <c r="UP10" s="20"/>
      <c r="UQ10" s="20"/>
      <c r="UR10" s="20"/>
      <c r="US10" s="20"/>
      <c r="UT10" s="20"/>
      <c r="UU10" s="20"/>
      <c r="UV10" s="20"/>
      <c r="UW10" s="20"/>
      <c r="UX10" s="20"/>
      <c r="UY10" s="20"/>
      <c r="UZ10" s="20"/>
      <c r="VA10" s="20"/>
      <c r="VB10" s="20"/>
      <c r="VC10" s="20"/>
      <c r="VD10" s="20"/>
      <c r="VE10" s="20"/>
      <c r="VF10" s="20"/>
      <c r="VG10" s="20"/>
      <c r="VH10" s="20"/>
      <c r="VI10" s="20"/>
      <c r="VJ10" s="20"/>
      <c r="VK10" s="20"/>
      <c r="VL10" s="20"/>
      <c r="VM10" s="20"/>
      <c r="VN10" s="20"/>
      <c r="VO10" s="20"/>
      <c r="VP10" s="20"/>
      <c r="VQ10" s="20"/>
      <c r="VR10" s="20"/>
      <c r="VS10" s="20"/>
      <c r="VT10" s="20"/>
      <c r="VU10" s="20"/>
      <c r="VV10" s="20"/>
      <c r="VW10" s="20"/>
      <c r="VX10" s="20"/>
      <c r="VY10" s="20"/>
      <c r="VZ10" s="20"/>
      <c r="WA10" s="20"/>
      <c r="WB10" s="20"/>
      <c r="WC10" s="20"/>
      <c r="WD10" s="20"/>
      <c r="WE10" s="20"/>
      <c r="WF10" s="20"/>
      <c r="WG10" s="20"/>
      <c r="WH10" s="20"/>
      <c r="WI10" s="20"/>
      <c r="WJ10" s="20"/>
      <c r="WK10" s="20"/>
      <c r="WL10" s="20"/>
      <c r="WM10" s="20"/>
      <c r="WN10" s="20"/>
      <c r="WO10" s="20"/>
      <c r="WP10" s="20"/>
      <c r="WQ10" s="20"/>
      <c r="WR10" s="20"/>
      <c r="WS10" s="20"/>
      <c r="WT10" s="20"/>
      <c r="WU10" s="20"/>
      <c r="WV10" s="20"/>
      <c r="WW10" s="20"/>
      <c r="WX10" s="20"/>
      <c r="WY10" s="20"/>
      <c r="WZ10" s="20"/>
      <c r="XA10" s="20"/>
      <c r="XB10" s="20"/>
      <c r="XC10" s="20"/>
      <c r="XD10" s="20"/>
      <c r="XE10" s="20"/>
      <c r="XF10" s="20"/>
      <c r="XG10" s="20"/>
      <c r="XH10" s="20"/>
      <c r="XI10" s="20"/>
      <c r="XJ10" s="20"/>
      <c r="XK10" s="20"/>
      <c r="XL10" s="20"/>
      <c r="XM10" s="20"/>
      <c r="XN10" s="20"/>
      <c r="XO10" s="20"/>
      <c r="XP10" s="20"/>
      <c r="XQ10" s="20"/>
      <c r="XR10" s="20"/>
      <c r="XS10" s="20"/>
      <c r="XT10" s="20"/>
      <c r="XU10" s="20"/>
      <c r="XV10" s="20"/>
      <c r="XW10" s="20"/>
      <c r="XX10" s="20"/>
      <c r="XY10" s="20"/>
      <c r="XZ10" s="20"/>
      <c r="YA10" s="20"/>
      <c r="YB10" s="20"/>
      <c r="YC10" s="20"/>
      <c r="YD10" s="20"/>
      <c r="YE10" s="20"/>
      <c r="YF10" s="20"/>
      <c r="YG10" s="20"/>
      <c r="YH10" s="20"/>
      <c r="YI10" s="20"/>
      <c r="YJ10" s="20"/>
      <c r="YK10" s="20"/>
      <c r="YL10" s="20"/>
      <c r="YM10" s="20"/>
      <c r="YN10" s="20"/>
      <c r="YO10" s="20"/>
      <c r="YP10" s="20"/>
      <c r="YQ10" s="20"/>
      <c r="YR10" s="20"/>
      <c r="YS10" s="20"/>
      <c r="YT10" s="20"/>
      <c r="YU10" s="20"/>
      <c r="YV10" s="20"/>
      <c r="YW10" s="20"/>
      <c r="YX10" s="20"/>
      <c r="YY10" s="20"/>
      <c r="YZ10" s="20"/>
      <c r="ZA10" s="20"/>
      <c r="ZB10" s="20"/>
      <c r="ZC10" s="20"/>
      <c r="ZD10" s="20"/>
      <c r="ZE10" s="20"/>
      <c r="ZF10" s="20"/>
      <c r="ZG10" s="20"/>
      <c r="ZH10" s="20"/>
      <c r="ZI10" s="20"/>
      <c r="ZJ10" s="20"/>
      <c r="ZK10" s="20"/>
      <c r="ZL10" s="20"/>
      <c r="ZM10" s="20"/>
      <c r="ZN10" s="20"/>
      <c r="ZO10" s="20"/>
      <c r="ZP10" s="20"/>
    </row>
    <row r="11" spans="1:692" s="31" customFormat="1" ht="54" customHeight="1" x14ac:dyDescent="0.25">
      <c r="A11" s="693" t="s">
        <v>43</v>
      </c>
      <c r="B11" s="694" t="s">
        <v>44</v>
      </c>
      <c r="C11" s="696" t="s">
        <v>45</v>
      </c>
      <c r="D11" s="696" t="s">
        <v>46</v>
      </c>
      <c r="E11" s="696" t="s">
        <v>47</v>
      </c>
      <c r="F11" s="696" t="s">
        <v>48</v>
      </c>
      <c r="G11" s="696" t="s">
        <v>49</v>
      </c>
      <c r="H11" s="696" t="s">
        <v>50</v>
      </c>
      <c r="I11" s="711" t="s">
        <v>78</v>
      </c>
      <c r="J11" s="742" t="s">
        <v>1190</v>
      </c>
      <c r="K11" s="690" t="s">
        <v>980</v>
      </c>
      <c r="L11" s="690" t="s">
        <v>79</v>
      </c>
      <c r="M11" s="690" t="s">
        <v>80</v>
      </c>
      <c r="N11" s="690" t="s">
        <v>56</v>
      </c>
      <c r="O11" s="690"/>
      <c r="P11" s="690">
        <v>215</v>
      </c>
      <c r="Q11" s="63" t="s">
        <v>81</v>
      </c>
      <c r="R11" s="63" t="s">
        <v>82</v>
      </c>
      <c r="S11" s="548" t="s">
        <v>56</v>
      </c>
      <c r="T11" s="84"/>
      <c r="U11" s="548">
        <v>176</v>
      </c>
      <c r="V11" s="709">
        <v>935599331</v>
      </c>
      <c r="W11" s="1009"/>
      <c r="X11" s="542" t="s">
        <v>144</v>
      </c>
      <c r="Y11" s="718">
        <v>45</v>
      </c>
      <c r="Z11" s="718">
        <f>+P11</f>
        <v>215</v>
      </c>
      <c r="AA11" s="719">
        <f>Y11/Z11</f>
        <v>0.20930232558139536</v>
      </c>
      <c r="AB11" s="718" t="s">
        <v>1205</v>
      </c>
      <c r="AC11" s="537">
        <v>47</v>
      </c>
      <c r="AD11" s="537">
        <f>+U11</f>
        <v>176</v>
      </c>
      <c r="AE11" s="538">
        <f>+AC11/AD11</f>
        <v>0.26704545454545453</v>
      </c>
      <c r="AF11" s="539" t="s">
        <v>1206</v>
      </c>
      <c r="AG11" s="718">
        <v>71</v>
      </c>
      <c r="AH11" s="718">
        <f>+'[13]PAI SSLA'!P11</f>
        <v>215</v>
      </c>
      <c r="AI11" s="719">
        <f>AG11/AH11</f>
        <v>0.33023255813953489</v>
      </c>
      <c r="AJ11" s="718" t="s">
        <v>1207</v>
      </c>
      <c r="AK11" s="537">
        <v>48</v>
      </c>
      <c r="AL11" s="537">
        <f>+'[13]PAI SSLA'!U11</f>
        <v>176</v>
      </c>
      <c r="AM11" s="538">
        <f>+AK11/AL11</f>
        <v>0.27272727272727271</v>
      </c>
      <c r="AN11" s="539" t="s">
        <v>1208</v>
      </c>
      <c r="AO11" s="718">
        <v>110</v>
      </c>
      <c r="AP11" s="718">
        <f>+'[14]PAI SSLA'!P11</f>
        <v>215</v>
      </c>
      <c r="AQ11" s="719">
        <f>AO11/AP11</f>
        <v>0.51162790697674421</v>
      </c>
      <c r="AR11" s="718" t="s">
        <v>1209</v>
      </c>
      <c r="AS11" s="537">
        <v>50</v>
      </c>
      <c r="AT11" s="537">
        <f>+'[14]PAI SSLA'!U11</f>
        <v>176</v>
      </c>
      <c r="AU11" s="538">
        <f>+AS11/AT11</f>
        <v>0.28409090909090912</v>
      </c>
      <c r="AV11" s="539" t="s">
        <v>1210</v>
      </c>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row>
    <row r="12" spans="1:692" s="21" customFormat="1" ht="72.75" customHeight="1" x14ac:dyDescent="0.25">
      <c r="A12" s="693"/>
      <c r="B12" s="695"/>
      <c r="C12" s="697"/>
      <c r="D12" s="697"/>
      <c r="E12" s="697"/>
      <c r="F12" s="697"/>
      <c r="G12" s="697"/>
      <c r="H12" s="697"/>
      <c r="I12" s="712"/>
      <c r="J12" s="743"/>
      <c r="K12" s="690"/>
      <c r="L12" s="690"/>
      <c r="M12" s="690"/>
      <c r="N12" s="690"/>
      <c r="O12" s="690"/>
      <c r="P12" s="690"/>
      <c r="Q12" s="70" t="s">
        <v>133</v>
      </c>
      <c r="R12" s="70" t="s">
        <v>134</v>
      </c>
      <c r="S12" s="527" t="s">
        <v>56</v>
      </c>
      <c r="T12" s="70"/>
      <c r="U12" s="527">
        <v>176</v>
      </c>
      <c r="V12" s="709"/>
      <c r="W12" s="1009"/>
      <c r="X12" s="543" t="s">
        <v>144</v>
      </c>
      <c r="Y12" s="718"/>
      <c r="Z12" s="718"/>
      <c r="AA12" s="719"/>
      <c r="AB12" s="718"/>
      <c r="AC12" s="551">
        <v>41</v>
      </c>
      <c r="AD12" s="551">
        <f>+U12</f>
        <v>176</v>
      </c>
      <c r="AE12" s="552">
        <f>AC12/AD12</f>
        <v>0.23295454545454544</v>
      </c>
      <c r="AF12" s="551" t="s">
        <v>1211</v>
      </c>
      <c r="AG12" s="718"/>
      <c r="AH12" s="718"/>
      <c r="AI12" s="719"/>
      <c r="AJ12" s="718"/>
      <c r="AK12" s="551">
        <v>49</v>
      </c>
      <c r="AL12" s="551">
        <f>+'[13]PAI SSLA'!U12</f>
        <v>176</v>
      </c>
      <c r="AM12" s="552">
        <f>AK12/AL12</f>
        <v>0.27840909090909088</v>
      </c>
      <c r="AN12" s="551" t="s">
        <v>1212</v>
      </c>
      <c r="AO12" s="718"/>
      <c r="AP12" s="718"/>
      <c r="AQ12" s="719"/>
      <c r="AR12" s="718"/>
      <c r="AS12" s="551">
        <v>50</v>
      </c>
      <c r="AT12" s="551">
        <f>+'[14]PAI SSLA'!U12</f>
        <v>176</v>
      </c>
      <c r="AU12" s="552">
        <f>AS12/AT12</f>
        <v>0.28409090909090912</v>
      </c>
      <c r="AV12" s="551" t="s">
        <v>1213</v>
      </c>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c r="JW12" s="20"/>
      <c r="JX12" s="20"/>
      <c r="JY12" s="20"/>
      <c r="JZ12" s="20"/>
      <c r="KA12" s="20"/>
      <c r="KB12" s="20"/>
      <c r="KC12" s="20"/>
      <c r="KD12" s="20"/>
      <c r="KE12" s="20"/>
      <c r="KF12" s="20"/>
      <c r="KG12" s="20"/>
      <c r="KH12" s="20"/>
      <c r="KI12" s="20"/>
      <c r="KJ12" s="20"/>
      <c r="KK12" s="20"/>
      <c r="KL12" s="20"/>
      <c r="KM12" s="20"/>
      <c r="KN12" s="20"/>
      <c r="KO12" s="20"/>
      <c r="KP12" s="20"/>
      <c r="KQ12" s="20"/>
      <c r="KR12" s="20"/>
      <c r="KS12" s="20"/>
      <c r="KT12" s="20"/>
      <c r="KU12" s="20"/>
      <c r="KV12" s="20"/>
      <c r="KW12" s="20"/>
      <c r="KX12" s="20"/>
      <c r="KY12" s="20"/>
      <c r="KZ12" s="20"/>
      <c r="LA12" s="20"/>
      <c r="LB12" s="20"/>
      <c r="LC12" s="20"/>
      <c r="LD12" s="20"/>
      <c r="LE12" s="20"/>
      <c r="LF12" s="20"/>
      <c r="LG12" s="20"/>
      <c r="LH12" s="20"/>
      <c r="LI12" s="20"/>
      <c r="LJ12" s="20"/>
      <c r="LK12" s="20"/>
      <c r="LL12" s="20"/>
      <c r="LM12" s="20"/>
      <c r="LN12" s="20"/>
      <c r="LO12" s="20"/>
      <c r="LP12" s="20"/>
      <c r="LQ12" s="20"/>
      <c r="LR12" s="20"/>
      <c r="LS12" s="20"/>
      <c r="LT12" s="20"/>
      <c r="LU12" s="20"/>
      <c r="LV12" s="20"/>
      <c r="LW12" s="20"/>
      <c r="LX12" s="20"/>
      <c r="LY12" s="20"/>
      <c r="LZ12" s="20"/>
      <c r="MA12" s="20"/>
      <c r="MB12" s="20"/>
      <c r="MC12" s="20"/>
      <c r="MD12" s="20"/>
      <c r="ME12" s="20"/>
      <c r="MF12" s="20"/>
      <c r="MG12" s="20"/>
      <c r="MH12" s="20"/>
      <c r="MI12" s="20"/>
      <c r="MJ12" s="20"/>
      <c r="MK12" s="20"/>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20"/>
      <c r="NY12" s="20"/>
      <c r="NZ12" s="20"/>
      <c r="OA12" s="20"/>
      <c r="OB12" s="20"/>
      <c r="OC12" s="20"/>
      <c r="OD12" s="20"/>
      <c r="OE12" s="20"/>
      <c r="OF12" s="20"/>
      <c r="OG12" s="20"/>
      <c r="OH12" s="20"/>
      <c r="OI12" s="20"/>
      <c r="OJ12" s="20"/>
      <c r="OK12" s="20"/>
      <c r="OL12" s="20"/>
      <c r="OM12" s="20"/>
      <c r="ON12" s="20"/>
      <c r="OO12" s="20"/>
      <c r="OP12" s="20"/>
      <c r="OQ12" s="20"/>
      <c r="OR12" s="20"/>
      <c r="OS12" s="20"/>
      <c r="OT12" s="20"/>
      <c r="OU12" s="20"/>
      <c r="OV12" s="20"/>
      <c r="OW12" s="20"/>
      <c r="OX12" s="20"/>
      <c r="OY12" s="20"/>
      <c r="OZ12" s="20"/>
      <c r="PA12" s="20"/>
      <c r="PB12" s="20"/>
      <c r="PC12" s="20"/>
      <c r="PD12" s="20"/>
      <c r="PE12" s="20"/>
      <c r="PF12" s="20"/>
      <c r="PG12" s="20"/>
      <c r="PH12" s="20"/>
      <c r="PI12" s="20"/>
      <c r="PJ12" s="20"/>
      <c r="PK12" s="20"/>
      <c r="PL12" s="20"/>
      <c r="PM12" s="20"/>
      <c r="PN12" s="20"/>
      <c r="PO12" s="20"/>
      <c r="PP12" s="20"/>
      <c r="PQ12" s="20"/>
      <c r="PR12" s="20"/>
      <c r="PS12" s="20"/>
      <c r="PT12" s="20"/>
      <c r="PU12" s="20"/>
      <c r="PV12" s="20"/>
      <c r="PW12" s="20"/>
      <c r="PX12" s="20"/>
      <c r="PY12" s="20"/>
      <c r="PZ12" s="20"/>
      <c r="QA12" s="20"/>
      <c r="QB12" s="20"/>
      <c r="QC12" s="20"/>
      <c r="QD12" s="20"/>
      <c r="QE12" s="20"/>
      <c r="QF12" s="20"/>
      <c r="QG12" s="20"/>
      <c r="QH12" s="20"/>
      <c r="QI12" s="20"/>
      <c r="QJ12" s="20"/>
      <c r="QK12" s="20"/>
      <c r="QL12" s="20"/>
      <c r="QM12" s="20"/>
      <c r="QN12" s="20"/>
      <c r="QO12" s="20"/>
      <c r="QP12" s="20"/>
      <c r="QQ12" s="20"/>
      <c r="QR12" s="20"/>
      <c r="QS12" s="20"/>
      <c r="QT12" s="20"/>
      <c r="QU12" s="20"/>
      <c r="QV12" s="20"/>
      <c r="QW12" s="20"/>
      <c r="QX12" s="20"/>
      <c r="QY12" s="20"/>
      <c r="QZ12" s="20"/>
      <c r="RA12" s="20"/>
      <c r="RB12" s="20"/>
      <c r="RC12" s="20"/>
      <c r="RD12" s="20"/>
      <c r="RE12" s="20"/>
      <c r="RF12" s="20"/>
      <c r="RG12" s="20"/>
      <c r="RH12" s="20"/>
      <c r="RI12" s="20"/>
      <c r="RJ12" s="20"/>
      <c r="RK12" s="20"/>
      <c r="RL12" s="20"/>
      <c r="RM12" s="20"/>
      <c r="RN12" s="20"/>
      <c r="RO12" s="20"/>
      <c r="RP12" s="20"/>
      <c r="RQ12" s="20"/>
      <c r="RR12" s="20"/>
      <c r="RS12" s="20"/>
      <c r="RT12" s="20"/>
      <c r="RU12" s="20"/>
      <c r="RV12" s="20"/>
      <c r="RW12" s="20"/>
      <c r="RX12" s="20"/>
      <c r="RY12" s="20"/>
      <c r="RZ12" s="20"/>
      <c r="SA12" s="20"/>
      <c r="SB12" s="20"/>
      <c r="SC12" s="20"/>
      <c r="SD12" s="20"/>
      <c r="SE12" s="20"/>
      <c r="SF12" s="20"/>
      <c r="SG12" s="20"/>
      <c r="SH12" s="20"/>
      <c r="SI12" s="20"/>
      <c r="SJ12" s="20"/>
      <c r="SK12" s="20"/>
      <c r="SL12" s="20"/>
      <c r="SM12" s="20"/>
      <c r="SN12" s="20"/>
      <c r="SO12" s="20"/>
      <c r="SP12" s="20"/>
      <c r="SQ12" s="20"/>
      <c r="SR12" s="20"/>
      <c r="SS12" s="20"/>
      <c r="ST12" s="20"/>
      <c r="SU12" s="20"/>
      <c r="SV12" s="20"/>
      <c r="SW12" s="20"/>
      <c r="SX12" s="20"/>
      <c r="SY12" s="20"/>
      <c r="SZ12" s="20"/>
      <c r="TA12" s="20"/>
      <c r="TB12" s="20"/>
      <c r="TC12" s="20"/>
      <c r="TD12" s="20"/>
      <c r="TE12" s="20"/>
      <c r="TF12" s="20"/>
      <c r="TG12" s="20"/>
      <c r="TH12" s="20"/>
      <c r="TI12" s="20"/>
      <c r="TJ12" s="20"/>
      <c r="TK12" s="20"/>
      <c r="TL12" s="20"/>
      <c r="TM12" s="20"/>
      <c r="TN12" s="20"/>
      <c r="TO12" s="20"/>
      <c r="TP12" s="20"/>
      <c r="TQ12" s="20"/>
      <c r="TR12" s="20"/>
      <c r="TS12" s="20"/>
      <c r="TT12" s="20"/>
      <c r="TU12" s="20"/>
      <c r="TV12" s="20"/>
      <c r="TW12" s="20"/>
      <c r="TX12" s="20"/>
      <c r="TY12" s="20"/>
      <c r="TZ12" s="20"/>
      <c r="UA12" s="20"/>
      <c r="UB12" s="20"/>
      <c r="UC12" s="20"/>
      <c r="UD12" s="20"/>
      <c r="UE12" s="20"/>
      <c r="UF12" s="20"/>
      <c r="UG12" s="20"/>
      <c r="UH12" s="20"/>
      <c r="UI12" s="20"/>
      <c r="UJ12" s="20"/>
      <c r="UK12" s="20"/>
      <c r="UL12" s="20"/>
      <c r="UM12" s="20"/>
      <c r="UN12" s="20"/>
      <c r="UO12" s="20"/>
      <c r="UP12" s="20"/>
      <c r="UQ12" s="20"/>
      <c r="UR12" s="20"/>
      <c r="US12" s="20"/>
      <c r="UT12" s="20"/>
      <c r="UU12" s="20"/>
      <c r="UV12" s="20"/>
      <c r="UW12" s="20"/>
      <c r="UX12" s="20"/>
      <c r="UY12" s="20"/>
      <c r="UZ12" s="20"/>
      <c r="VA12" s="20"/>
      <c r="VB12" s="20"/>
      <c r="VC12" s="20"/>
      <c r="VD12" s="20"/>
      <c r="VE12" s="20"/>
      <c r="VF12" s="20"/>
      <c r="VG12" s="20"/>
      <c r="VH12" s="20"/>
      <c r="VI12" s="20"/>
      <c r="VJ12" s="20"/>
      <c r="VK12" s="20"/>
      <c r="VL12" s="20"/>
      <c r="VM12" s="20"/>
      <c r="VN12" s="20"/>
      <c r="VO12" s="20"/>
      <c r="VP12" s="20"/>
      <c r="VQ12" s="20"/>
      <c r="VR12" s="20"/>
      <c r="VS12" s="20"/>
      <c r="VT12" s="20"/>
      <c r="VU12" s="20"/>
      <c r="VV12" s="20"/>
      <c r="VW12" s="20"/>
      <c r="VX12" s="20"/>
      <c r="VY12" s="20"/>
      <c r="VZ12" s="20"/>
      <c r="WA12" s="20"/>
      <c r="WB12" s="20"/>
      <c r="WC12" s="20"/>
      <c r="WD12" s="20"/>
      <c r="WE12" s="20"/>
      <c r="WF12" s="20"/>
      <c r="WG12" s="20"/>
      <c r="WH12" s="20"/>
      <c r="WI12" s="20"/>
      <c r="WJ12" s="20"/>
      <c r="WK12" s="20"/>
      <c r="WL12" s="20"/>
      <c r="WM12" s="20"/>
      <c r="WN12" s="20"/>
      <c r="WO12" s="20"/>
      <c r="WP12" s="20"/>
      <c r="WQ12" s="20"/>
      <c r="WR12" s="20"/>
      <c r="WS12" s="20"/>
      <c r="WT12" s="20"/>
      <c r="WU12" s="20"/>
      <c r="WV12" s="20"/>
      <c r="WW12" s="20"/>
      <c r="WX12" s="20"/>
      <c r="WY12" s="20"/>
      <c r="WZ12" s="20"/>
      <c r="XA12" s="20"/>
      <c r="XB12" s="20"/>
      <c r="XC12" s="20"/>
      <c r="XD12" s="20"/>
      <c r="XE12" s="20"/>
      <c r="XF12" s="20"/>
      <c r="XG12" s="20"/>
      <c r="XH12" s="20"/>
      <c r="XI12" s="20"/>
      <c r="XJ12" s="20"/>
      <c r="XK12" s="20"/>
      <c r="XL12" s="20"/>
      <c r="XM12" s="20"/>
      <c r="XN12" s="20"/>
      <c r="XO12" s="20"/>
      <c r="XP12" s="20"/>
      <c r="XQ12" s="20"/>
      <c r="XR12" s="20"/>
      <c r="XS12" s="20"/>
      <c r="XT12" s="20"/>
      <c r="XU12" s="20"/>
      <c r="XV12" s="20"/>
      <c r="XW12" s="20"/>
      <c r="XX12" s="20"/>
      <c r="XY12" s="20"/>
      <c r="XZ12" s="20"/>
      <c r="YA12" s="20"/>
      <c r="YB12" s="20"/>
      <c r="YC12" s="20"/>
      <c r="YD12" s="20"/>
      <c r="YE12" s="20"/>
      <c r="YF12" s="20"/>
      <c r="YG12" s="20"/>
      <c r="YH12" s="20"/>
      <c r="YI12" s="20"/>
      <c r="YJ12" s="20"/>
      <c r="YK12" s="20"/>
      <c r="YL12" s="20"/>
      <c r="YM12" s="20"/>
      <c r="YN12" s="20"/>
      <c r="YO12" s="20"/>
      <c r="YP12" s="20"/>
      <c r="YQ12" s="20"/>
      <c r="YR12" s="20"/>
      <c r="YS12" s="20"/>
      <c r="YT12" s="20"/>
      <c r="YU12" s="20"/>
      <c r="YV12" s="20"/>
      <c r="YW12" s="20"/>
      <c r="YX12" s="20"/>
      <c r="YY12" s="20"/>
      <c r="YZ12" s="20"/>
      <c r="ZA12" s="20"/>
      <c r="ZB12" s="20"/>
      <c r="ZC12" s="20"/>
      <c r="ZD12" s="20"/>
      <c r="ZE12" s="20"/>
      <c r="ZF12" s="20"/>
      <c r="ZG12" s="20"/>
      <c r="ZH12" s="20"/>
      <c r="ZI12" s="20"/>
      <c r="ZJ12" s="20"/>
      <c r="ZK12" s="20"/>
      <c r="ZL12" s="20"/>
      <c r="ZM12" s="20"/>
      <c r="ZN12" s="20"/>
      <c r="ZO12" s="20"/>
      <c r="ZP12" s="20"/>
    </row>
    <row r="13" spans="1:692" s="31" customFormat="1" ht="53.25" customHeight="1" x14ac:dyDescent="0.25">
      <c r="A13" s="693"/>
      <c r="B13" s="695"/>
      <c r="C13" s="697"/>
      <c r="D13" s="697"/>
      <c r="E13" s="697"/>
      <c r="F13" s="697"/>
      <c r="G13" s="697"/>
      <c r="H13" s="697"/>
      <c r="I13" s="712"/>
      <c r="J13" s="743"/>
      <c r="K13" s="690"/>
      <c r="L13" s="690"/>
      <c r="M13" s="690"/>
      <c r="N13" s="690"/>
      <c r="O13" s="690"/>
      <c r="P13" s="690"/>
      <c r="Q13" s="63" t="s">
        <v>138</v>
      </c>
      <c r="R13" s="63" t="s">
        <v>139</v>
      </c>
      <c r="S13" s="548" t="s">
        <v>56</v>
      </c>
      <c r="T13" s="84"/>
      <c r="U13" s="548">
        <v>26</v>
      </c>
      <c r="V13" s="709"/>
      <c r="W13" s="1009"/>
      <c r="X13" s="542" t="s">
        <v>144</v>
      </c>
      <c r="Y13" s="718"/>
      <c r="Z13" s="718"/>
      <c r="AA13" s="719"/>
      <c r="AB13" s="718"/>
      <c r="AC13" s="537">
        <v>15</v>
      </c>
      <c r="AD13" s="537">
        <f>+U13</f>
        <v>26</v>
      </c>
      <c r="AE13" s="538">
        <f>AC13/AD13</f>
        <v>0.57692307692307687</v>
      </c>
      <c r="AF13" s="539" t="s">
        <v>1214</v>
      </c>
      <c r="AG13" s="718"/>
      <c r="AH13" s="718"/>
      <c r="AI13" s="719"/>
      <c r="AJ13" s="718"/>
      <c r="AK13" s="537">
        <v>37</v>
      </c>
      <c r="AL13" s="537">
        <f>+'[13]PAI SSLA'!U13</f>
        <v>26</v>
      </c>
      <c r="AM13" s="586">
        <f>AK13/AL13</f>
        <v>1.4230769230769231</v>
      </c>
      <c r="AN13" s="539" t="s">
        <v>1215</v>
      </c>
      <c r="AO13" s="718"/>
      <c r="AP13" s="718"/>
      <c r="AQ13" s="719"/>
      <c r="AR13" s="718"/>
      <c r="AS13" s="537">
        <v>67</v>
      </c>
      <c r="AT13" s="537">
        <f>+'[14]PAI SSLA'!U13</f>
        <v>26</v>
      </c>
      <c r="AU13" s="587">
        <f>AS13/AT13</f>
        <v>2.5769230769230771</v>
      </c>
      <c r="AV13" s="539" t="s">
        <v>1216</v>
      </c>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c r="JW13" s="20"/>
      <c r="JX13" s="20"/>
      <c r="JY13" s="20"/>
      <c r="JZ13" s="20"/>
      <c r="KA13" s="20"/>
      <c r="KB13" s="20"/>
      <c r="KC13" s="20"/>
      <c r="KD13" s="20"/>
      <c r="KE13" s="20"/>
      <c r="KF13" s="20"/>
      <c r="KG13" s="20"/>
      <c r="KH13" s="20"/>
      <c r="KI13" s="20"/>
      <c r="KJ13" s="20"/>
      <c r="KK13" s="20"/>
      <c r="KL13" s="20"/>
      <c r="KM13" s="20"/>
      <c r="KN13" s="20"/>
      <c r="KO13" s="20"/>
      <c r="KP13" s="20"/>
      <c r="KQ13" s="20"/>
      <c r="KR13" s="20"/>
      <c r="KS13" s="20"/>
      <c r="KT13" s="20"/>
      <c r="KU13" s="20"/>
      <c r="KV13" s="20"/>
      <c r="KW13" s="20"/>
      <c r="KX13" s="20"/>
      <c r="KY13" s="20"/>
      <c r="KZ13" s="20"/>
      <c r="LA13" s="20"/>
      <c r="LB13" s="20"/>
      <c r="LC13" s="20"/>
      <c r="LD13" s="20"/>
      <c r="LE13" s="20"/>
      <c r="LF13" s="20"/>
      <c r="LG13" s="20"/>
      <c r="LH13" s="20"/>
      <c r="LI13" s="20"/>
      <c r="LJ13" s="20"/>
      <c r="LK13" s="20"/>
      <c r="LL13" s="20"/>
      <c r="LM13" s="20"/>
      <c r="LN13" s="20"/>
      <c r="LO13" s="20"/>
      <c r="LP13" s="20"/>
      <c r="LQ13" s="20"/>
      <c r="LR13" s="20"/>
      <c r="LS13" s="20"/>
      <c r="LT13" s="20"/>
      <c r="LU13" s="20"/>
      <c r="LV13" s="20"/>
      <c r="LW13" s="20"/>
      <c r="LX13" s="20"/>
      <c r="LY13" s="20"/>
      <c r="LZ13" s="20"/>
      <c r="MA13" s="20"/>
      <c r="MB13" s="20"/>
      <c r="MC13" s="20"/>
      <c r="MD13" s="20"/>
      <c r="ME13" s="20"/>
      <c r="MF13" s="20"/>
      <c r="MG13" s="20"/>
      <c r="MH13" s="20"/>
      <c r="MI13" s="20"/>
      <c r="MJ13" s="20"/>
      <c r="MK13" s="20"/>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20"/>
      <c r="NY13" s="20"/>
      <c r="NZ13" s="20"/>
      <c r="OA13" s="20"/>
      <c r="OB13" s="20"/>
      <c r="OC13" s="20"/>
      <c r="OD13" s="20"/>
      <c r="OE13" s="20"/>
      <c r="OF13" s="20"/>
      <c r="OG13" s="20"/>
      <c r="OH13" s="20"/>
      <c r="OI13" s="20"/>
      <c r="OJ13" s="20"/>
      <c r="OK13" s="20"/>
      <c r="OL13" s="20"/>
      <c r="OM13" s="20"/>
      <c r="ON13" s="20"/>
      <c r="OO13" s="20"/>
      <c r="OP13" s="20"/>
      <c r="OQ13" s="20"/>
      <c r="OR13" s="20"/>
      <c r="OS13" s="20"/>
      <c r="OT13" s="20"/>
      <c r="OU13" s="20"/>
      <c r="OV13" s="20"/>
      <c r="OW13" s="20"/>
      <c r="OX13" s="20"/>
      <c r="OY13" s="20"/>
      <c r="OZ13" s="20"/>
      <c r="PA13" s="20"/>
      <c r="PB13" s="20"/>
      <c r="PC13" s="20"/>
      <c r="PD13" s="20"/>
      <c r="PE13" s="20"/>
      <c r="PF13" s="20"/>
      <c r="PG13" s="20"/>
      <c r="PH13" s="20"/>
      <c r="PI13" s="20"/>
      <c r="PJ13" s="20"/>
      <c r="PK13" s="20"/>
      <c r="PL13" s="20"/>
      <c r="PM13" s="20"/>
      <c r="PN13" s="20"/>
      <c r="PO13" s="20"/>
      <c r="PP13" s="20"/>
      <c r="PQ13" s="20"/>
      <c r="PR13" s="20"/>
      <c r="PS13" s="20"/>
      <c r="PT13" s="20"/>
      <c r="PU13" s="20"/>
      <c r="PV13" s="20"/>
      <c r="PW13" s="20"/>
      <c r="PX13" s="20"/>
      <c r="PY13" s="20"/>
      <c r="PZ13" s="20"/>
      <c r="QA13" s="20"/>
      <c r="QB13" s="20"/>
      <c r="QC13" s="20"/>
      <c r="QD13" s="20"/>
      <c r="QE13" s="20"/>
      <c r="QF13" s="20"/>
      <c r="QG13" s="20"/>
      <c r="QH13" s="20"/>
      <c r="QI13" s="20"/>
      <c r="QJ13" s="20"/>
      <c r="QK13" s="20"/>
      <c r="QL13" s="20"/>
      <c r="QM13" s="20"/>
      <c r="QN13" s="20"/>
      <c r="QO13" s="20"/>
      <c r="QP13" s="20"/>
      <c r="QQ13" s="20"/>
      <c r="QR13" s="20"/>
      <c r="QS13" s="20"/>
      <c r="QT13" s="20"/>
      <c r="QU13" s="20"/>
      <c r="QV13" s="20"/>
      <c r="QW13" s="20"/>
      <c r="QX13" s="20"/>
      <c r="QY13" s="20"/>
      <c r="QZ13" s="20"/>
      <c r="RA13" s="20"/>
      <c r="RB13" s="20"/>
      <c r="RC13" s="20"/>
      <c r="RD13" s="20"/>
      <c r="RE13" s="20"/>
      <c r="RF13" s="20"/>
      <c r="RG13" s="20"/>
      <c r="RH13" s="20"/>
      <c r="RI13" s="20"/>
      <c r="RJ13" s="20"/>
      <c r="RK13" s="20"/>
      <c r="RL13" s="20"/>
      <c r="RM13" s="20"/>
      <c r="RN13" s="20"/>
      <c r="RO13" s="20"/>
      <c r="RP13" s="20"/>
      <c r="RQ13" s="20"/>
      <c r="RR13" s="20"/>
      <c r="RS13" s="20"/>
      <c r="RT13" s="20"/>
      <c r="RU13" s="20"/>
      <c r="RV13" s="20"/>
      <c r="RW13" s="20"/>
      <c r="RX13" s="20"/>
      <c r="RY13" s="20"/>
      <c r="RZ13" s="20"/>
      <c r="SA13" s="20"/>
      <c r="SB13" s="20"/>
      <c r="SC13" s="20"/>
      <c r="SD13" s="20"/>
      <c r="SE13" s="20"/>
      <c r="SF13" s="20"/>
      <c r="SG13" s="20"/>
      <c r="SH13" s="20"/>
      <c r="SI13" s="20"/>
      <c r="SJ13" s="20"/>
      <c r="SK13" s="20"/>
      <c r="SL13" s="20"/>
      <c r="SM13" s="20"/>
      <c r="SN13" s="20"/>
      <c r="SO13" s="20"/>
      <c r="SP13" s="20"/>
      <c r="SQ13" s="20"/>
      <c r="SR13" s="20"/>
      <c r="SS13" s="20"/>
      <c r="ST13" s="20"/>
      <c r="SU13" s="20"/>
      <c r="SV13" s="20"/>
      <c r="SW13" s="20"/>
      <c r="SX13" s="20"/>
      <c r="SY13" s="20"/>
      <c r="SZ13" s="20"/>
      <c r="TA13" s="20"/>
      <c r="TB13" s="20"/>
      <c r="TC13" s="20"/>
      <c r="TD13" s="20"/>
      <c r="TE13" s="20"/>
      <c r="TF13" s="20"/>
      <c r="TG13" s="20"/>
      <c r="TH13" s="20"/>
      <c r="TI13" s="20"/>
      <c r="TJ13" s="20"/>
      <c r="TK13" s="20"/>
      <c r="TL13" s="20"/>
      <c r="TM13" s="20"/>
      <c r="TN13" s="20"/>
      <c r="TO13" s="20"/>
      <c r="TP13" s="20"/>
      <c r="TQ13" s="20"/>
      <c r="TR13" s="20"/>
      <c r="TS13" s="20"/>
      <c r="TT13" s="20"/>
      <c r="TU13" s="20"/>
      <c r="TV13" s="20"/>
      <c r="TW13" s="20"/>
      <c r="TX13" s="20"/>
      <c r="TY13" s="20"/>
      <c r="TZ13" s="20"/>
      <c r="UA13" s="20"/>
      <c r="UB13" s="20"/>
      <c r="UC13" s="20"/>
      <c r="UD13" s="20"/>
      <c r="UE13" s="20"/>
      <c r="UF13" s="20"/>
      <c r="UG13" s="20"/>
      <c r="UH13" s="20"/>
      <c r="UI13" s="20"/>
      <c r="UJ13" s="20"/>
      <c r="UK13" s="20"/>
      <c r="UL13" s="20"/>
      <c r="UM13" s="20"/>
      <c r="UN13" s="20"/>
      <c r="UO13" s="20"/>
      <c r="UP13" s="20"/>
      <c r="UQ13" s="20"/>
      <c r="UR13" s="20"/>
      <c r="US13" s="20"/>
      <c r="UT13" s="20"/>
      <c r="UU13" s="20"/>
      <c r="UV13" s="20"/>
      <c r="UW13" s="20"/>
      <c r="UX13" s="20"/>
      <c r="UY13" s="20"/>
      <c r="UZ13" s="20"/>
      <c r="VA13" s="20"/>
      <c r="VB13" s="20"/>
      <c r="VC13" s="20"/>
      <c r="VD13" s="20"/>
      <c r="VE13" s="20"/>
      <c r="VF13" s="20"/>
      <c r="VG13" s="20"/>
      <c r="VH13" s="20"/>
      <c r="VI13" s="20"/>
      <c r="VJ13" s="20"/>
      <c r="VK13" s="20"/>
      <c r="VL13" s="20"/>
      <c r="VM13" s="20"/>
      <c r="VN13" s="20"/>
      <c r="VO13" s="20"/>
      <c r="VP13" s="20"/>
      <c r="VQ13" s="20"/>
      <c r="VR13" s="20"/>
      <c r="VS13" s="20"/>
      <c r="VT13" s="20"/>
      <c r="VU13" s="20"/>
      <c r="VV13" s="20"/>
      <c r="VW13" s="20"/>
      <c r="VX13" s="20"/>
      <c r="VY13" s="20"/>
      <c r="VZ13" s="20"/>
      <c r="WA13" s="20"/>
      <c r="WB13" s="20"/>
      <c r="WC13" s="20"/>
      <c r="WD13" s="20"/>
      <c r="WE13" s="20"/>
      <c r="WF13" s="20"/>
      <c r="WG13" s="20"/>
      <c r="WH13" s="20"/>
      <c r="WI13" s="20"/>
      <c r="WJ13" s="20"/>
      <c r="WK13" s="20"/>
      <c r="WL13" s="20"/>
      <c r="WM13" s="20"/>
      <c r="WN13" s="20"/>
      <c r="WO13" s="20"/>
      <c r="WP13" s="20"/>
      <c r="WQ13" s="20"/>
      <c r="WR13" s="20"/>
      <c r="WS13" s="20"/>
      <c r="WT13" s="20"/>
      <c r="WU13" s="20"/>
      <c r="WV13" s="20"/>
      <c r="WW13" s="20"/>
      <c r="WX13" s="20"/>
      <c r="WY13" s="20"/>
      <c r="WZ13" s="20"/>
      <c r="XA13" s="20"/>
      <c r="XB13" s="20"/>
      <c r="XC13" s="20"/>
      <c r="XD13" s="20"/>
      <c r="XE13" s="20"/>
      <c r="XF13" s="20"/>
      <c r="XG13" s="20"/>
      <c r="XH13" s="20"/>
      <c r="XI13" s="20"/>
      <c r="XJ13" s="20"/>
      <c r="XK13" s="20"/>
      <c r="XL13" s="20"/>
      <c r="XM13" s="20"/>
      <c r="XN13" s="20"/>
      <c r="XO13" s="20"/>
      <c r="XP13" s="20"/>
      <c r="XQ13" s="20"/>
      <c r="XR13" s="20"/>
      <c r="XS13" s="20"/>
      <c r="XT13" s="20"/>
      <c r="XU13" s="20"/>
      <c r="XV13" s="20"/>
      <c r="XW13" s="20"/>
      <c r="XX13" s="20"/>
      <c r="XY13" s="20"/>
      <c r="XZ13" s="20"/>
      <c r="YA13" s="20"/>
      <c r="YB13" s="20"/>
      <c r="YC13" s="20"/>
      <c r="YD13" s="20"/>
      <c r="YE13" s="20"/>
      <c r="YF13" s="20"/>
      <c r="YG13" s="20"/>
      <c r="YH13" s="20"/>
      <c r="YI13" s="20"/>
      <c r="YJ13" s="20"/>
      <c r="YK13" s="20"/>
      <c r="YL13" s="20"/>
      <c r="YM13" s="20"/>
      <c r="YN13" s="20"/>
      <c r="YO13" s="20"/>
      <c r="YP13" s="20"/>
      <c r="YQ13" s="20"/>
      <c r="YR13" s="20"/>
      <c r="YS13" s="20"/>
      <c r="YT13" s="20"/>
      <c r="YU13" s="20"/>
      <c r="YV13" s="20"/>
      <c r="YW13" s="20"/>
      <c r="YX13" s="20"/>
      <c r="YY13" s="20"/>
      <c r="YZ13" s="20"/>
      <c r="ZA13" s="20"/>
      <c r="ZB13" s="20"/>
      <c r="ZC13" s="20"/>
      <c r="ZD13" s="20"/>
      <c r="ZE13" s="20"/>
      <c r="ZF13" s="20"/>
      <c r="ZG13" s="20"/>
      <c r="ZH13" s="20"/>
      <c r="ZI13" s="20"/>
      <c r="ZJ13" s="20"/>
      <c r="ZK13" s="20"/>
      <c r="ZL13" s="20"/>
      <c r="ZM13" s="20"/>
      <c r="ZN13" s="20"/>
      <c r="ZO13" s="20"/>
      <c r="ZP13" s="20"/>
    </row>
    <row r="14" spans="1:692" s="21" customFormat="1" ht="70.5" customHeight="1" x14ac:dyDescent="0.25">
      <c r="A14" s="52"/>
      <c r="B14" s="52"/>
      <c r="C14" s="52"/>
      <c r="D14" s="52"/>
      <c r="E14" s="52"/>
      <c r="F14" s="52"/>
      <c r="G14" s="52"/>
      <c r="H14" s="52"/>
      <c r="I14" s="52"/>
      <c r="J14" s="52"/>
      <c r="K14" s="52"/>
      <c r="L14" s="52"/>
      <c r="M14" s="52"/>
      <c r="N14" s="52"/>
      <c r="O14" s="52"/>
      <c r="P14" s="53"/>
      <c r="Q14" s="52"/>
      <c r="R14" s="52"/>
      <c r="S14" s="53"/>
      <c r="T14" s="52"/>
      <c r="U14" s="52"/>
      <c r="V14" s="54"/>
      <c r="W14" s="1009"/>
      <c r="X14" s="52"/>
      <c r="Y14" s="657" t="s">
        <v>99</v>
      </c>
      <c r="Z14" s="657"/>
      <c r="AA14" s="55">
        <f>AVERAGE(AA11:AA13)</f>
        <v>0.20930232558139536</v>
      </c>
      <c r="AB14" s="56"/>
      <c r="AC14" s="657" t="s">
        <v>100</v>
      </c>
      <c r="AD14" s="657"/>
      <c r="AE14" s="55">
        <f>AVERAGE(AE11:AE13)</f>
        <v>0.35897435897435898</v>
      </c>
      <c r="AF14" s="58"/>
      <c r="AG14" s="657" t="s">
        <v>99</v>
      </c>
      <c r="AH14" s="657"/>
      <c r="AI14" s="55">
        <f>AVERAGE(AI11:AI13)</f>
        <v>0.33023255813953489</v>
      </c>
      <c r="AJ14" s="56"/>
      <c r="AK14" s="657" t="s">
        <v>100</v>
      </c>
      <c r="AL14" s="657"/>
      <c r="AM14" s="55">
        <f>AVERAGE(AM11:AM13)</f>
        <v>0.65807109557109555</v>
      </c>
      <c r="AN14" s="58"/>
      <c r="AO14" s="657" t="s">
        <v>99</v>
      </c>
      <c r="AP14" s="657"/>
      <c r="AQ14" s="55">
        <f>AVERAGE(AQ11:AQ13)</f>
        <v>0.51162790697674421</v>
      </c>
      <c r="AR14" s="56"/>
      <c r="AS14" s="657" t="s">
        <v>100</v>
      </c>
      <c r="AT14" s="657"/>
      <c r="AU14" s="55">
        <f>AVERAGE(AU11:AU13)</f>
        <v>1.0483682983682985</v>
      </c>
      <c r="AV14" s="58"/>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row>
    <row r="15" spans="1:692" ht="70.5" customHeight="1" x14ac:dyDescent="0.25">
      <c r="A15" s="693" t="s">
        <v>43</v>
      </c>
      <c r="B15" s="694" t="s">
        <v>44</v>
      </c>
      <c r="C15" s="696" t="s">
        <v>45</v>
      </c>
      <c r="D15" s="696" t="s">
        <v>46</v>
      </c>
      <c r="E15" s="696" t="s">
        <v>47</v>
      </c>
      <c r="F15" s="696" t="s">
        <v>48</v>
      </c>
      <c r="G15" s="696" t="s">
        <v>49</v>
      </c>
      <c r="H15" s="696" t="s">
        <v>50</v>
      </c>
      <c r="I15" s="711" t="s">
        <v>78</v>
      </c>
      <c r="J15" s="742" t="s">
        <v>1190</v>
      </c>
      <c r="K15" s="690" t="s">
        <v>981</v>
      </c>
      <c r="L15" s="690" t="s">
        <v>79</v>
      </c>
      <c r="M15" s="690" t="s">
        <v>80</v>
      </c>
      <c r="N15" s="690" t="s">
        <v>56</v>
      </c>
      <c r="O15" s="690"/>
      <c r="P15" s="690">
        <v>434</v>
      </c>
      <c r="Q15" s="84" t="s">
        <v>81</v>
      </c>
      <c r="R15" s="63" t="s">
        <v>82</v>
      </c>
      <c r="S15" s="548" t="s">
        <v>56</v>
      </c>
      <c r="T15" s="84"/>
      <c r="U15" s="548">
        <v>324</v>
      </c>
      <c r="V15" s="709">
        <v>1572892789</v>
      </c>
      <c r="W15" s="1009"/>
      <c r="X15" s="524" t="s">
        <v>1217</v>
      </c>
      <c r="Y15" s="687">
        <v>39</v>
      </c>
      <c r="Z15" s="687">
        <f>+P15</f>
        <v>434</v>
      </c>
      <c r="AA15" s="688">
        <f>Y15/Z15</f>
        <v>8.9861751152073732E-2</v>
      </c>
      <c r="AB15" s="689" t="s">
        <v>1218</v>
      </c>
      <c r="AC15" s="537">
        <v>77</v>
      </c>
      <c r="AD15" s="537">
        <f>+U15</f>
        <v>324</v>
      </c>
      <c r="AE15" s="538">
        <f>AC15/AD15</f>
        <v>0.23765432098765432</v>
      </c>
      <c r="AF15" s="539" t="s">
        <v>1219</v>
      </c>
      <c r="AG15" s="687">
        <v>68</v>
      </c>
      <c r="AH15" s="687">
        <f>+'[13]PAI SSLA'!P15</f>
        <v>434</v>
      </c>
      <c r="AI15" s="688">
        <f>AG15/AH15</f>
        <v>0.15668202764976957</v>
      </c>
      <c r="AJ15" s="689" t="s">
        <v>1220</v>
      </c>
      <c r="AK15" s="537">
        <v>77</v>
      </c>
      <c r="AL15" s="537">
        <f>+'[13]PAI SSLA'!U15</f>
        <v>324</v>
      </c>
      <c r="AM15" s="538">
        <f>AK15/AL15</f>
        <v>0.23765432098765432</v>
      </c>
      <c r="AN15" s="539" t="s">
        <v>1221</v>
      </c>
      <c r="AO15" s="687">
        <v>157</v>
      </c>
      <c r="AP15" s="687">
        <f>+'[14]PAI SSLA'!P15</f>
        <v>434</v>
      </c>
      <c r="AQ15" s="688">
        <f>AO15/AP15</f>
        <v>0.36175115207373271</v>
      </c>
      <c r="AR15" s="689" t="s">
        <v>1222</v>
      </c>
      <c r="AS15" s="537">
        <v>78</v>
      </c>
      <c r="AT15" s="537">
        <f>+'[14]PAI SSLA'!U15</f>
        <v>324</v>
      </c>
      <c r="AU15" s="538">
        <f>AS15/AT15</f>
        <v>0.24074074074074073</v>
      </c>
      <c r="AV15" s="539" t="s">
        <v>1223</v>
      </c>
    </row>
    <row r="16" spans="1:692" ht="70.5" customHeight="1" x14ac:dyDescent="0.25">
      <c r="A16" s="693"/>
      <c r="B16" s="695"/>
      <c r="C16" s="697"/>
      <c r="D16" s="697"/>
      <c r="E16" s="697"/>
      <c r="F16" s="697"/>
      <c r="G16" s="697"/>
      <c r="H16" s="697"/>
      <c r="I16" s="712"/>
      <c r="J16" s="743"/>
      <c r="K16" s="690"/>
      <c r="L16" s="690"/>
      <c r="M16" s="690"/>
      <c r="N16" s="690"/>
      <c r="O16" s="690"/>
      <c r="P16" s="690"/>
      <c r="Q16" s="70" t="s">
        <v>133</v>
      </c>
      <c r="R16" s="70" t="s">
        <v>134</v>
      </c>
      <c r="S16" s="527" t="s">
        <v>56</v>
      </c>
      <c r="T16" s="70"/>
      <c r="U16" s="527">
        <v>324</v>
      </c>
      <c r="V16" s="709"/>
      <c r="W16" s="1009"/>
      <c r="X16" s="527" t="s">
        <v>1217</v>
      </c>
      <c r="Y16" s="687"/>
      <c r="Z16" s="687"/>
      <c r="AA16" s="688"/>
      <c r="AB16" s="689"/>
      <c r="AC16" s="551">
        <v>62</v>
      </c>
      <c r="AD16" s="551">
        <f>+U16</f>
        <v>324</v>
      </c>
      <c r="AE16" s="552">
        <f>AC16/AD16</f>
        <v>0.19135802469135801</v>
      </c>
      <c r="AF16" s="551" t="s">
        <v>1224</v>
      </c>
      <c r="AG16" s="687"/>
      <c r="AH16" s="687"/>
      <c r="AI16" s="688"/>
      <c r="AJ16" s="689"/>
      <c r="AK16" s="551">
        <v>70</v>
      </c>
      <c r="AL16" s="551">
        <f>+'[13]PAI SSLA'!U16</f>
        <v>324</v>
      </c>
      <c r="AM16" s="552">
        <f>AK16/AL16</f>
        <v>0.21604938271604937</v>
      </c>
      <c r="AN16" s="551" t="s">
        <v>1225</v>
      </c>
      <c r="AO16" s="687"/>
      <c r="AP16" s="687"/>
      <c r="AQ16" s="688"/>
      <c r="AR16" s="689"/>
      <c r="AS16" s="551">
        <v>77</v>
      </c>
      <c r="AT16" s="551">
        <f>+'[14]PAI SSLA'!U16</f>
        <v>324</v>
      </c>
      <c r="AU16" s="552">
        <f>AS16/AT16</f>
        <v>0.23765432098765432</v>
      </c>
      <c r="AV16" s="551" t="s">
        <v>1226</v>
      </c>
    </row>
    <row r="17" spans="1:692" ht="70.5" customHeight="1" x14ac:dyDescent="0.25">
      <c r="A17" s="693"/>
      <c r="B17" s="695"/>
      <c r="C17" s="697"/>
      <c r="D17" s="697"/>
      <c r="E17" s="697"/>
      <c r="F17" s="697"/>
      <c r="G17" s="697"/>
      <c r="H17" s="697"/>
      <c r="I17" s="712"/>
      <c r="J17" s="743"/>
      <c r="K17" s="690"/>
      <c r="L17" s="690"/>
      <c r="M17" s="690"/>
      <c r="N17" s="690"/>
      <c r="O17" s="690"/>
      <c r="P17" s="690"/>
      <c r="Q17" s="84" t="s">
        <v>138</v>
      </c>
      <c r="R17" s="63" t="s">
        <v>139</v>
      </c>
      <c r="S17" s="548" t="s">
        <v>56</v>
      </c>
      <c r="T17" s="84"/>
      <c r="U17" s="548">
        <v>74</v>
      </c>
      <c r="V17" s="709"/>
      <c r="W17" s="1009"/>
      <c r="X17" s="524" t="s">
        <v>1227</v>
      </c>
      <c r="Y17" s="687"/>
      <c r="Z17" s="687"/>
      <c r="AA17" s="688"/>
      <c r="AB17" s="689"/>
      <c r="AC17" s="537">
        <v>36</v>
      </c>
      <c r="AD17" s="537">
        <f>+U17</f>
        <v>74</v>
      </c>
      <c r="AE17" s="538">
        <f>AC17/AD17</f>
        <v>0.48648648648648651</v>
      </c>
      <c r="AF17" s="539" t="s">
        <v>1228</v>
      </c>
      <c r="AG17" s="687"/>
      <c r="AH17" s="687"/>
      <c r="AI17" s="688"/>
      <c r="AJ17" s="689"/>
      <c r="AK17" s="537">
        <v>72</v>
      </c>
      <c r="AL17" s="537">
        <f>+'[13]PAI SSLA'!U17</f>
        <v>74</v>
      </c>
      <c r="AM17" s="538">
        <f>AK17/AL17</f>
        <v>0.97297297297297303</v>
      </c>
      <c r="AN17" s="539" t="s">
        <v>1229</v>
      </c>
      <c r="AO17" s="687"/>
      <c r="AP17" s="687"/>
      <c r="AQ17" s="688"/>
      <c r="AR17" s="689"/>
      <c r="AS17" s="537">
        <v>113</v>
      </c>
      <c r="AT17" s="537">
        <f>+'[14]PAI SSLA'!U17</f>
        <v>74</v>
      </c>
      <c r="AU17" s="587">
        <f>AS17/AT17</f>
        <v>1.527027027027027</v>
      </c>
      <c r="AV17" s="539" t="s">
        <v>1230</v>
      </c>
    </row>
    <row r="18" spans="1:692" s="21" customFormat="1" ht="70.5" customHeight="1" x14ac:dyDescent="0.25">
      <c r="A18" s="52"/>
      <c r="B18" s="52"/>
      <c r="C18" s="52"/>
      <c r="D18" s="52"/>
      <c r="E18" s="52"/>
      <c r="F18" s="52"/>
      <c r="G18" s="52"/>
      <c r="H18" s="52"/>
      <c r="I18" s="52"/>
      <c r="J18" s="52"/>
      <c r="K18" s="52"/>
      <c r="L18" s="52"/>
      <c r="M18" s="52"/>
      <c r="N18" s="52"/>
      <c r="O18" s="52"/>
      <c r="P18" s="53"/>
      <c r="Q18" s="52"/>
      <c r="R18" s="52"/>
      <c r="S18" s="53"/>
      <c r="T18" s="52"/>
      <c r="U18" s="52"/>
      <c r="V18" s="54"/>
      <c r="W18" s="1009"/>
      <c r="X18" s="52"/>
      <c r="Y18" s="657" t="s">
        <v>99</v>
      </c>
      <c r="Z18" s="657"/>
      <c r="AA18" s="55">
        <f>AVERAGE(AA15:AA17)</f>
        <v>8.9861751152073732E-2</v>
      </c>
      <c r="AB18" s="56"/>
      <c r="AC18" s="657" t="s">
        <v>100</v>
      </c>
      <c r="AD18" s="657"/>
      <c r="AE18" s="55">
        <f>AVERAGE(AE15:AE17)</f>
        <v>0.30516627738849961</v>
      </c>
      <c r="AF18" s="58"/>
      <c r="AG18" s="657" t="s">
        <v>99</v>
      </c>
      <c r="AH18" s="657"/>
      <c r="AI18" s="55">
        <f>AVERAGE(AI15:AI17)</f>
        <v>0.15668202764976957</v>
      </c>
      <c r="AJ18" s="56"/>
      <c r="AK18" s="657" t="s">
        <v>100</v>
      </c>
      <c r="AL18" s="657"/>
      <c r="AM18" s="55">
        <f>AVERAGE(AM15:AM17)</f>
        <v>0.47555889222555892</v>
      </c>
      <c r="AN18" s="58"/>
      <c r="AO18" s="657" t="s">
        <v>99</v>
      </c>
      <c r="AP18" s="657"/>
      <c r="AQ18" s="55">
        <f>AVERAGE(AQ15:AQ17)</f>
        <v>0.36175115207373271</v>
      </c>
      <c r="AR18" s="56"/>
      <c r="AS18" s="657" t="s">
        <v>100</v>
      </c>
      <c r="AT18" s="657"/>
      <c r="AU18" s="55">
        <f>AVERAGE(AU15:AU17)</f>
        <v>0.66847402958514068</v>
      </c>
      <c r="AV18" s="58"/>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20"/>
      <c r="ST18" s="20"/>
      <c r="SU18" s="20"/>
      <c r="SV18" s="20"/>
      <c r="SW18" s="20"/>
      <c r="SX18" s="20"/>
      <c r="SY18" s="20"/>
      <c r="SZ18" s="20"/>
      <c r="TA18" s="20"/>
      <c r="TB18" s="20"/>
      <c r="TC18" s="20"/>
      <c r="TD18" s="20"/>
      <c r="TE18" s="20"/>
      <c r="TF18" s="20"/>
      <c r="TG18" s="20"/>
      <c r="TH18" s="20"/>
      <c r="TI18" s="20"/>
      <c r="TJ18" s="20"/>
      <c r="TK18" s="20"/>
      <c r="TL18" s="20"/>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row>
    <row r="19" spans="1:692" ht="57" customHeight="1" x14ac:dyDescent="0.25">
      <c r="A19" s="693" t="s">
        <v>43</v>
      </c>
      <c r="B19" s="694" t="s">
        <v>44</v>
      </c>
      <c r="C19" s="696" t="s">
        <v>45</v>
      </c>
      <c r="D19" s="696" t="s">
        <v>46</v>
      </c>
      <c r="E19" s="696" t="s">
        <v>47</v>
      </c>
      <c r="F19" s="696" t="s">
        <v>48</v>
      </c>
      <c r="G19" s="696" t="s">
        <v>49</v>
      </c>
      <c r="H19" s="696" t="s">
        <v>50</v>
      </c>
      <c r="I19" s="711" t="s">
        <v>78</v>
      </c>
      <c r="J19" s="742" t="s">
        <v>1190</v>
      </c>
      <c r="K19" s="690" t="s">
        <v>982</v>
      </c>
      <c r="L19" s="690" t="s">
        <v>79</v>
      </c>
      <c r="M19" s="690" t="s">
        <v>80</v>
      </c>
      <c r="N19" s="690" t="s">
        <v>56</v>
      </c>
      <c r="O19" s="690"/>
      <c r="P19" s="690">
        <v>268</v>
      </c>
      <c r="Q19" s="84" t="s">
        <v>81</v>
      </c>
      <c r="R19" s="63" t="s">
        <v>82</v>
      </c>
      <c r="S19" s="548" t="s">
        <v>56</v>
      </c>
      <c r="T19" s="84"/>
      <c r="U19" s="548">
        <v>219</v>
      </c>
      <c r="V19" s="709">
        <v>1086262897</v>
      </c>
      <c r="W19" s="1009"/>
      <c r="X19" s="524" t="s">
        <v>126</v>
      </c>
      <c r="Y19" s="923">
        <v>62</v>
      </c>
      <c r="Z19" s="687">
        <f>+P19</f>
        <v>268</v>
      </c>
      <c r="AA19" s="688">
        <f>+Y19/Z19</f>
        <v>0.23134328358208955</v>
      </c>
      <c r="AB19" s="689" t="s">
        <v>1231</v>
      </c>
      <c r="AC19" s="588">
        <v>70</v>
      </c>
      <c r="AD19" s="537">
        <f>+U19</f>
        <v>219</v>
      </c>
      <c r="AE19" s="538">
        <f t="shared" ref="AE19:AE21" si="0">+AC19/AD19</f>
        <v>0.31963470319634701</v>
      </c>
      <c r="AF19" s="539" t="s">
        <v>1232</v>
      </c>
      <c r="AG19" s="923">
        <v>83</v>
      </c>
      <c r="AH19" s="687">
        <f>+'[13]PAI SSLA'!P19</f>
        <v>268</v>
      </c>
      <c r="AI19" s="688">
        <f>+AG19/AH19</f>
        <v>0.30970149253731344</v>
      </c>
      <c r="AJ19" s="689" t="s">
        <v>1233</v>
      </c>
      <c r="AK19" s="588">
        <v>71</v>
      </c>
      <c r="AL19" s="537">
        <f>+'[13]PAI SSLA'!U19</f>
        <v>219</v>
      </c>
      <c r="AM19" s="538">
        <f>+AK19/AL19</f>
        <v>0.32420091324200911</v>
      </c>
      <c r="AN19" s="539" t="s">
        <v>1234</v>
      </c>
      <c r="AO19" s="924">
        <v>126</v>
      </c>
      <c r="AP19" s="687">
        <f>+'[14]PAI SSLA'!P19</f>
        <v>268</v>
      </c>
      <c r="AQ19" s="688">
        <f>+AO19/AP19</f>
        <v>0.47014925373134331</v>
      </c>
      <c r="AR19" s="922" t="s">
        <v>1235</v>
      </c>
      <c r="AS19" s="589">
        <v>72</v>
      </c>
      <c r="AT19" s="537">
        <f>+'[14]PAI SSLA'!U19</f>
        <v>219</v>
      </c>
      <c r="AU19" s="538">
        <f>+AS19/AT19</f>
        <v>0.32876712328767121</v>
      </c>
      <c r="AV19" s="590" t="s">
        <v>1236</v>
      </c>
    </row>
    <row r="20" spans="1:692" ht="57" customHeight="1" x14ac:dyDescent="0.25">
      <c r="A20" s="693"/>
      <c r="B20" s="695"/>
      <c r="C20" s="697"/>
      <c r="D20" s="697"/>
      <c r="E20" s="697"/>
      <c r="F20" s="697"/>
      <c r="G20" s="697"/>
      <c r="H20" s="697"/>
      <c r="I20" s="712"/>
      <c r="J20" s="743"/>
      <c r="K20" s="690"/>
      <c r="L20" s="690"/>
      <c r="M20" s="690"/>
      <c r="N20" s="690"/>
      <c r="O20" s="690"/>
      <c r="P20" s="690"/>
      <c r="Q20" s="70" t="s">
        <v>133</v>
      </c>
      <c r="R20" s="70" t="s">
        <v>134</v>
      </c>
      <c r="S20" s="527" t="s">
        <v>56</v>
      </c>
      <c r="T20" s="70"/>
      <c r="U20" s="527">
        <v>219</v>
      </c>
      <c r="V20" s="709"/>
      <c r="W20" s="1009"/>
      <c r="X20" s="527" t="s">
        <v>126</v>
      </c>
      <c r="Y20" s="923"/>
      <c r="Z20" s="687"/>
      <c r="AA20" s="688"/>
      <c r="AB20" s="689"/>
      <c r="AC20" s="591">
        <v>62</v>
      </c>
      <c r="AD20" s="551">
        <f>+U20</f>
        <v>219</v>
      </c>
      <c r="AE20" s="552">
        <f t="shared" si="0"/>
        <v>0.28310502283105021</v>
      </c>
      <c r="AF20" s="551" t="s">
        <v>1237</v>
      </c>
      <c r="AG20" s="923"/>
      <c r="AH20" s="687"/>
      <c r="AI20" s="688"/>
      <c r="AJ20" s="689"/>
      <c r="AK20" s="591">
        <v>66</v>
      </c>
      <c r="AL20" s="551">
        <f>+'[13]PAI SSLA'!U20</f>
        <v>219</v>
      </c>
      <c r="AM20" s="552">
        <f>+AK20/AL20</f>
        <v>0.30136986301369861</v>
      </c>
      <c r="AN20" s="551" t="s">
        <v>1238</v>
      </c>
      <c r="AO20" s="924"/>
      <c r="AP20" s="687"/>
      <c r="AQ20" s="688"/>
      <c r="AR20" s="922"/>
      <c r="AS20" s="592">
        <v>69</v>
      </c>
      <c r="AT20" s="551">
        <f>+'[14]PAI SSLA'!U20</f>
        <v>219</v>
      </c>
      <c r="AU20" s="552">
        <f>+AS20/AT20</f>
        <v>0.31506849315068491</v>
      </c>
      <c r="AV20" s="593" t="s">
        <v>1239</v>
      </c>
    </row>
    <row r="21" spans="1:692" ht="57" customHeight="1" x14ac:dyDescent="0.25">
      <c r="A21" s="693"/>
      <c r="B21" s="695"/>
      <c r="C21" s="697"/>
      <c r="D21" s="697"/>
      <c r="E21" s="697"/>
      <c r="F21" s="697"/>
      <c r="G21" s="697"/>
      <c r="H21" s="697"/>
      <c r="I21" s="712"/>
      <c r="J21" s="743"/>
      <c r="K21" s="690"/>
      <c r="L21" s="690"/>
      <c r="M21" s="690"/>
      <c r="N21" s="690"/>
      <c r="O21" s="690"/>
      <c r="P21" s="690"/>
      <c r="Q21" s="84" t="s">
        <v>138</v>
      </c>
      <c r="R21" s="63" t="s">
        <v>139</v>
      </c>
      <c r="S21" s="548" t="s">
        <v>56</v>
      </c>
      <c r="T21" s="84"/>
      <c r="U21" s="548">
        <f>33-6</f>
        <v>27</v>
      </c>
      <c r="V21" s="709"/>
      <c r="W21" s="1009"/>
      <c r="X21" s="524" t="s">
        <v>126</v>
      </c>
      <c r="Y21" s="923"/>
      <c r="Z21" s="687"/>
      <c r="AA21" s="688"/>
      <c r="AB21" s="689"/>
      <c r="AC21" s="588">
        <v>15</v>
      </c>
      <c r="AD21" s="537">
        <f>+U21</f>
        <v>27</v>
      </c>
      <c r="AE21" s="538">
        <f t="shared" si="0"/>
        <v>0.55555555555555558</v>
      </c>
      <c r="AF21" s="539" t="s">
        <v>1240</v>
      </c>
      <c r="AG21" s="923"/>
      <c r="AH21" s="687"/>
      <c r="AI21" s="688"/>
      <c r="AJ21" s="689"/>
      <c r="AK21" s="588">
        <v>34</v>
      </c>
      <c r="AL21" s="537">
        <f>+'[13]PAI SSLA'!U21</f>
        <v>27</v>
      </c>
      <c r="AM21" s="586">
        <f>+AK21/AL21</f>
        <v>1.2592592592592593</v>
      </c>
      <c r="AN21" s="539" t="s">
        <v>1241</v>
      </c>
      <c r="AO21" s="924"/>
      <c r="AP21" s="687"/>
      <c r="AQ21" s="688"/>
      <c r="AR21" s="922"/>
      <c r="AS21" s="589">
        <v>61</v>
      </c>
      <c r="AT21" s="537">
        <f>+'[14]PAI SSLA'!U21</f>
        <v>27</v>
      </c>
      <c r="AU21" s="587">
        <f>+AS21/AT21</f>
        <v>2.2592592592592591</v>
      </c>
      <c r="AV21" s="590" t="s">
        <v>1242</v>
      </c>
    </row>
    <row r="22" spans="1:692" s="21" customFormat="1" ht="79.5" customHeight="1" x14ac:dyDescent="0.25">
      <c r="A22" s="52"/>
      <c r="B22" s="52"/>
      <c r="C22" s="52"/>
      <c r="D22" s="52"/>
      <c r="E22" s="52"/>
      <c r="F22" s="52"/>
      <c r="G22" s="52"/>
      <c r="H22" s="52"/>
      <c r="I22" s="52"/>
      <c r="J22" s="52"/>
      <c r="K22" s="52"/>
      <c r="L22" s="52"/>
      <c r="M22" s="52"/>
      <c r="N22" s="52"/>
      <c r="O22" s="52"/>
      <c r="P22" s="53"/>
      <c r="Q22" s="52"/>
      <c r="R22" s="52"/>
      <c r="S22" s="53"/>
      <c r="T22" s="52"/>
      <c r="U22" s="52"/>
      <c r="V22" s="54"/>
      <c r="W22" s="1009"/>
      <c r="X22" s="52"/>
      <c r="Y22" s="657" t="s">
        <v>99</v>
      </c>
      <c r="Z22" s="657"/>
      <c r="AA22" s="55">
        <f>AVERAGE(AA19:AA21)</f>
        <v>0.23134328358208955</v>
      </c>
      <c r="AB22" s="56"/>
      <c r="AC22" s="657" t="s">
        <v>100</v>
      </c>
      <c r="AD22" s="657"/>
      <c r="AE22" s="55">
        <f>AVERAGE(AE19:AE21)</f>
        <v>0.38609842719431758</v>
      </c>
      <c r="AF22" s="58"/>
      <c r="AG22" s="657" t="s">
        <v>99</v>
      </c>
      <c r="AH22" s="657"/>
      <c r="AI22" s="55">
        <f>AVERAGE(AI19:AI21)</f>
        <v>0.30970149253731344</v>
      </c>
      <c r="AJ22" s="56"/>
      <c r="AK22" s="657" t="s">
        <v>100</v>
      </c>
      <c r="AL22" s="657"/>
      <c r="AM22" s="55">
        <f>AVERAGE(AM19:AM21)</f>
        <v>0.62827667850498903</v>
      </c>
      <c r="AN22" s="58"/>
      <c r="AO22" s="657" t="s">
        <v>99</v>
      </c>
      <c r="AP22" s="657"/>
      <c r="AQ22" s="55">
        <f>AVERAGE(AQ19:AQ21)</f>
        <v>0.47014925373134331</v>
      </c>
      <c r="AR22" s="56"/>
      <c r="AS22" s="657" t="s">
        <v>100</v>
      </c>
      <c r="AT22" s="657"/>
      <c r="AU22" s="55">
        <f>AVERAGE(AU19:AU21)</f>
        <v>0.96769829189920509</v>
      </c>
      <c r="AV22" s="58"/>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c r="IH22" s="20"/>
      <c r="II22" s="20"/>
      <c r="IJ22" s="20"/>
      <c r="IK22" s="20"/>
      <c r="IL22" s="20"/>
      <c r="IM22" s="20"/>
      <c r="IN22" s="20"/>
      <c r="IO22" s="20"/>
      <c r="IP22" s="20"/>
      <c r="IQ22" s="20"/>
      <c r="IR22" s="20"/>
      <c r="IS22" s="20"/>
      <c r="IT22" s="20"/>
      <c r="IU22" s="20"/>
      <c r="IV22" s="20"/>
      <c r="IW22" s="20"/>
      <c r="IX22" s="20"/>
      <c r="IY22" s="20"/>
      <c r="IZ22" s="20"/>
      <c r="JA22" s="20"/>
      <c r="JB22" s="20"/>
      <c r="JC22" s="20"/>
      <c r="JD22" s="20"/>
      <c r="JE22" s="20"/>
      <c r="JF22" s="20"/>
      <c r="JG22" s="20"/>
      <c r="JH22" s="20"/>
      <c r="JI22" s="20"/>
      <c r="JJ22" s="20"/>
      <c r="JK22" s="20"/>
      <c r="JL22" s="20"/>
      <c r="JM22" s="20"/>
      <c r="JN22" s="20"/>
      <c r="JO22" s="20"/>
      <c r="JP22" s="20"/>
      <c r="JQ22" s="20"/>
      <c r="JR22" s="20"/>
      <c r="JS22" s="20"/>
      <c r="JT22" s="20"/>
      <c r="JU22" s="20"/>
      <c r="JV22" s="20"/>
      <c r="JW22" s="20"/>
      <c r="JX22" s="20"/>
      <c r="JY22" s="20"/>
      <c r="JZ22" s="20"/>
      <c r="KA22" s="20"/>
      <c r="KB22" s="20"/>
      <c r="KC22" s="20"/>
      <c r="KD22" s="20"/>
      <c r="KE22" s="20"/>
      <c r="KF22" s="20"/>
      <c r="KG22" s="20"/>
      <c r="KH22" s="20"/>
      <c r="KI22" s="20"/>
      <c r="KJ22" s="20"/>
      <c r="KK22" s="20"/>
      <c r="KL22" s="20"/>
      <c r="KM22" s="20"/>
      <c r="KN22" s="20"/>
      <c r="KO22" s="20"/>
      <c r="KP22" s="20"/>
      <c r="KQ22" s="20"/>
      <c r="KR22" s="20"/>
      <c r="KS22" s="20"/>
      <c r="KT22" s="20"/>
      <c r="KU22" s="20"/>
      <c r="KV22" s="20"/>
      <c r="KW22" s="20"/>
      <c r="KX22" s="20"/>
      <c r="KY22" s="20"/>
      <c r="KZ22" s="20"/>
      <c r="LA22" s="20"/>
      <c r="LB22" s="20"/>
      <c r="LC22" s="20"/>
      <c r="LD22" s="20"/>
      <c r="LE22" s="20"/>
      <c r="LF22" s="20"/>
      <c r="LG22" s="20"/>
      <c r="LH22" s="20"/>
      <c r="LI22" s="20"/>
      <c r="LJ22" s="20"/>
      <c r="LK22" s="20"/>
      <c r="LL22" s="20"/>
      <c r="LM22" s="20"/>
      <c r="LN22" s="20"/>
      <c r="LO22" s="20"/>
      <c r="LP22" s="20"/>
      <c r="LQ22" s="20"/>
      <c r="LR22" s="20"/>
      <c r="LS22" s="20"/>
      <c r="LT22" s="20"/>
      <c r="LU22" s="20"/>
      <c r="LV22" s="20"/>
      <c r="LW22" s="20"/>
      <c r="LX22" s="20"/>
      <c r="LY22" s="20"/>
      <c r="LZ22" s="20"/>
      <c r="MA22" s="20"/>
      <c r="MB22" s="20"/>
      <c r="MC22" s="20"/>
      <c r="MD22" s="20"/>
      <c r="ME22" s="20"/>
      <c r="MF22" s="20"/>
      <c r="MG22" s="20"/>
      <c r="MH22" s="20"/>
      <c r="MI22" s="20"/>
      <c r="MJ22" s="20"/>
      <c r="MK22" s="20"/>
      <c r="ML22" s="20"/>
      <c r="MM22" s="20"/>
      <c r="MN22" s="20"/>
      <c r="MO22" s="20"/>
      <c r="MP22" s="20"/>
      <c r="MQ22" s="20"/>
      <c r="MR22" s="20"/>
      <c r="MS22" s="20"/>
      <c r="MT22" s="20"/>
      <c r="MU22" s="20"/>
      <c r="MV22" s="20"/>
      <c r="MW22" s="20"/>
      <c r="MX22" s="20"/>
      <c r="MY22" s="20"/>
      <c r="MZ22" s="20"/>
      <c r="NA22" s="20"/>
      <c r="NB22" s="20"/>
      <c r="NC22" s="20"/>
      <c r="ND22" s="20"/>
      <c r="NE22" s="20"/>
      <c r="NF22" s="20"/>
      <c r="NG22" s="20"/>
      <c r="NH22" s="20"/>
      <c r="NI22" s="20"/>
      <c r="NJ22" s="20"/>
      <c r="NK22" s="20"/>
      <c r="NL22" s="20"/>
      <c r="NM22" s="20"/>
      <c r="NN22" s="20"/>
      <c r="NO22" s="20"/>
      <c r="NP22" s="20"/>
      <c r="NQ22" s="20"/>
      <c r="NR22" s="20"/>
      <c r="NS22" s="20"/>
      <c r="NT22" s="20"/>
      <c r="NU22" s="20"/>
      <c r="NV22" s="20"/>
      <c r="NW22" s="20"/>
      <c r="NX22" s="20"/>
      <c r="NY22" s="20"/>
      <c r="NZ22" s="20"/>
      <c r="OA22" s="20"/>
      <c r="OB22" s="20"/>
      <c r="OC22" s="20"/>
      <c r="OD22" s="20"/>
      <c r="OE22" s="20"/>
      <c r="OF22" s="20"/>
      <c r="OG22" s="20"/>
      <c r="OH22" s="20"/>
      <c r="OI22" s="20"/>
      <c r="OJ22" s="20"/>
      <c r="OK22" s="20"/>
      <c r="OL22" s="20"/>
      <c r="OM22" s="20"/>
      <c r="ON22" s="20"/>
      <c r="OO22" s="20"/>
      <c r="OP22" s="20"/>
      <c r="OQ22" s="20"/>
      <c r="OR22" s="20"/>
      <c r="OS22" s="20"/>
      <c r="OT22" s="20"/>
      <c r="OU22" s="20"/>
      <c r="OV22" s="20"/>
      <c r="OW22" s="20"/>
      <c r="OX22" s="20"/>
      <c r="OY22" s="20"/>
      <c r="OZ22" s="20"/>
      <c r="PA22" s="20"/>
      <c r="PB22" s="20"/>
      <c r="PC22" s="20"/>
      <c r="PD22" s="20"/>
      <c r="PE22" s="20"/>
      <c r="PF22" s="20"/>
      <c r="PG22" s="20"/>
      <c r="PH22" s="20"/>
      <c r="PI22" s="20"/>
      <c r="PJ22" s="20"/>
      <c r="PK22" s="20"/>
      <c r="PL22" s="20"/>
      <c r="PM22" s="20"/>
      <c r="PN22" s="20"/>
      <c r="PO22" s="20"/>
      <c r="PP22" s="20"/>
      <c r="PQ22" s="20"/>
      <c r="PR22" s="20"/>
      <c r="PS22" s="20"/>
      <c r="PT22" s="20"/>
      <c r="PU22" s="20"/>
      <c r="PV22" s="20"/>
      <c r="PW22" s="20"/>
      <c r="PX22" s="20"/>
      <c r="PY22" s="20"/>
      <c r="PZ22" s="20"/>
      <c r="QA22" s="20"/>
      <c r="QB22" s="20"/>
      <c r="QC22" s="20"/>
      <c r="QD22" s="20"/>
      <c r="QE22" s="20"/>
      <c r="QF22" s="20"/>
      <c r="QG22" s="20"/>
      <c r="QH22" s="20"/>
      <c r="QI22" s="20"/>
      <c r="QJ22" s="20"/>
      <c r="QK22" s="20"/>
      <c r="QL22" s="20"/>
      <c r="QM22" s="20"/>
      <c r="QN22" s="20"/>
      <c r="QO22" s="20"/>
      <c r="QP22" s="20"/>
      <c r="QQ22" s="20"/>
      <c r="QR22" s="20"/>
      <c r="QS22" s="20"/>
      <c r="QT22" s="20"/>
      <c r="QU22" s="20"/>
      <c r="QV22" s="20"/>
      <c r="QW22" s="20"/>
      <c r="QX22" s="20"/>
      <c r="QY22" s="20"/>
      <c r="QZ22" s="20"/>
      <c r="RA22" s="20"/>
      <c r="RB22" s="20"/>
      <c r="RC22" s="20"/>
      <c r="RD22" s="20"/>
      <c r="RE22" s="20"/>
      <c r="RF22" s="20"/>
      <c r="RG22" s="20"/>
      <c r="RH22" s="20"/>
      <c r="RI22" s="20"/>
      <c r="RJ22" s="20"/>
      <c r="RK22" s="20"/>
      <c r="RL22" s="20"/>
      <c r="RM22" s="20"/>
      <c r="RN22" s="20"/>
      <c r="RO22" s="20"/>
      <c r="RP22" s="20"/>
      <c r="RQ22" s="20"/>
      <c r="RR22" s="20"/>
      <c r="RS22" s="20"/>
      <c r="RT22" s="20"/>
      <c r="RU22" s="20"/>
      <c r="RV22" s="20"/>
      <c r="RW22" s="20"/>
      <c r="RX22" s="20"/>
      <c r="RY22" s="20"/>
      <c r="RZ22" s="20"/>
      <c r="SA22" s="20"/>
      <c r="SB22" s="20"/>
      <c r="SC22" s="20"/>
      <c r="SD22" s="20"/>
      <c r="SE22" s="20"/>
      <c r="SF22" s="20"/>
      <c r="SG22" s="20"/>
      <c r="SH22" s="20"/>
      <c r="SI22" s="20"/>
      <c r="SJ22" s="20"/>
      <c r="SK22" s="20"/>
      <c r="SL22" s="20"/>
      <c r="SM22" s="20"/>
      <c r="SN22" s="20"/>
      <c r="SO22" s="20"/>
      <c r="SP22" s="20"/>
      <c r="SQ22" s="20"/>
      <c r="SR22" s="20"/>
      <c r="SS22" s="20"/>
      <c r="ST22" s="20"/>
      <c r="SU22" s="20"/>
      <c r="SV22" s="20"/>
      <c r="SW22" s="20"/>
      <c r="SX22" s="20"/>
      <c r="SY22" s="20"/>
      <c r="SZ22" s="20"/>
      <c r="TA22" s="20"/>
      <c r="TB22" s="20"/>
      <c r="TC22" s="20"/>
      <c r="TD22" s="20"/>
      <c r="TE22" s="20"/>
      <c r="TF22" s="20"/>
      <c r="TG22" s="20"/>
      <c r="TH22" s="20"/>
      <c r="TI22" s="20"/>
      <c r="TJ22" s="20"/>
      <c r="TK22" s="20"/>
      <c r="TL22" s="20"/>
      <c r="TM22" s="20"/>
      <c r="TN22" s="20"/>
      <c r="TO22" s="20"/>
      <c r="TP22" s="20"/>
      <c r="TQ22" s="20"/>
      <c r="TR22" s="20"/>
      <c r="TS22" s="20"/>
      <c r="TT22" s="20"/>
      <c r="TU22" s="20"/>
      <c r="TV22" s="20"/>
      <c r="TW22" s="20"/>
      <c r="TX22" s="20"/>
      <c r="TY22" s="20"/>
      <c r="TZ22" s="20"/>
      <c r="UA22" s="20"/>
      <c r="UB22" s="20"/>
      <c r="UC22" s="20"/>
      <c r="UD22" s="20"/>
      <c r="UE22" s="20"/>
      <c r="UF22" s="20"/>
      <c r="UG22" s="20"/>
      <c r="UH22" s="20"/>
      <c r="UI22" s="20"/>
      <c r="UJ22" s="20"/>
      <c r="UK22" s="20"/>
      <c r="UL22" s="20"/>
      <c r="UM22" s="20"/>
      <c r="UN22" s="20"/>
      <c r="UO22" s="20"/>
      <c r="UP22" s="20"/>
      <c r="UQ22" s="20"/>
      <c r="UR22" s="20"/>
      <c r="US22" s="20"/>
      <c r="UT22" s="20"/>
      <c r="UU22" s="20"/>
      <c r="UV22" s="20"/>
      <c r="UW22" s="20"/>
      <c r="UX22" s="20"/>
      <c r="UY22" s="20"/>
      <c r="UZ22" s="20"/>
      <c r="VA22" s="20"/>
      <c r="VB22" s="20"/>
      <c r="VC22" s="20"/>
      <c r="VD22" s="20"/>
      <c r="VE22" s="20"/>
      <c r="VF22" s="20"/>
      <c r="VG22" s="20"/>
      <c r="VH22" s="20"/>
      <c r="VI22" s="20"/>
      <c r="VJ22" s="20"/>
      <c r="VK22" s="20"/>
      <c r="VL22" s="20"/>
      <c r="VM22" s="20"/>
      <c r="VN22" s="20"/>
      <c r="VO22" s="20"/>
      <c r="VP22" s="20"/>
      <c r="VQ22" s="20"/>
      <c r="VR22" s="20"/>
      <c r="VS22" s="20"/>
      <c r="VT22" s="20"/>
      <c r="VU22" s="20"/>
      <c r="VV22" s="20"/>
      <c r="VW22" s="20"/>
      <c r="VX22" s="20"/>
      <c r="VY22" s="20"/>
      <c r="VZ22" s="20"/>
      <c r="WA22" s="20"/>
      <c r="WB22" s="20"/>
      <c r="WC22" s="20"/>
      <c r="WD22" s="20"/>
      <c r="WE22" s="20"/>
      <c r="WF22" s="20"/>
      <c r="WG22" s="20"/>
      <c r="WH22" s="20"/>
      <c r="WI22" s="20"/>
      <c r="WJ22" s="20"/>
      <c r="WK22" s="20"/>
      <c r="WL22" s="20"/>
      <c r="WM22" s="20"/>
      <c r="WN22" s="20"/>
      <c r="WO22" s="20"/>
      <c r="WP22" s="20"/>
      <c r="WQ22" s="20"/>
      <c r="WR22" s="20"/>
      <c r="WS22" s="20"/>
      <c r="WT22" s="20"/>
      <c r="WU22" s="20"/>
      <c r="WV22" s="20"/>
      <c r="WW22" s="20"/>
      <c r="WX22" s="20"/>
      <c r="WY22" s="20"/>
      <c r="WZ22" s="20"/>
      <c r="XA22" s="20"/>
      <c r="XB22" s="20"/>
      <c r="XC22" s="20"/>
      <c r="XD22" s="20"/>
      <c r="XE22" s="20"/>
      <c r="XF22" s="20"/>
      <c r="XG22" s="20"/>
      <c r="XH22" s="20"/>
      <c r="XI22" s="20"/>
      <c r="XJ22" s="20"/>
      <c r="XK22" s="20"/>
      <c r="XL22" s="20"/>
      <c r="XM22" s="20"/>
      <c r="XN22" s="20"/>
      <c r="XO22" s="20"/>
      <c r="XP22" s="20"/>
      <c r="XQ22" s="20"/>
      <c r="XR22" s="20"/>
      <c r="XS22" s="20"/>
      <c r="XT22" s="20"/>
      <c r="XU22" s="20"/>
      <c r="XV22" s="20"/>
      <c r="XW22" s="20"/>
      <c r="XX22" s="20"/>
      <c r="XY22" s="20"/>
      <c r="XZ22" s="20"/>
      <c r="YA22" s="20"/>
      <c r="YB22" s="20"/>
      <c r="YC22" s="20"/>
      <c r="YD22" s="20"/>
      <c r="YE22" s="20"/>
      <c r="YF22" s="20"/>
      <c r="YG22" s="20"/>
      <c r="YH22" s="20"/>
      <c r="YI22" s="20"/>
      <c r="YJ22" s="20"/>
      <c r="YK22" s="20"/>
      <c r="YL22" s="20"/>
      <c r="YM22" s="20"/>
      <c r="YN22" s="20"/>
      <c r="YO22" s="20"/>
      <c r="YP22" s="20"/>
      <c r="YQ22" s="20"/>
      <c r="YR22" s="20"/>
      <c r="YS22" s="20"/>
      <c r="YT22" s="20"/>
      <c r="YU22" s="20"/>
      <c r="YV22" s="20"/>
      <c r="YW22" s="20"/>
      <c r="YX22" s="20"/>
      <c r="YY22" s="20"/>
      <c r="YZ22" s="20"/>
      <c r="ZA22" s="20"/>
      <c r="ZB22" s="20"/>
      <c r="ZC22" s="20"/>
      <c r="ZD22" s="20"/>
      <c r="ZE22" s="20"/>
      <c r="ZF22" s="20"/>
      <c r="ZG22" s="20"/>
      <c r="ZH22" s="20"/>
      <c r="ZI22" s="20"/>
      <c r="ZJ22" s="20"/>
      <c r="ZK22" s="20"/>
      <c r="ZL22" s="20"/>
      <c r="ZM22" s="20"/>
      <c r="ZN22" s="20"/>
      <c r="ZO22" s="20"/>
      <c r="ZP22" s="20"/>
    </row>
    <row r="23" spans="1:692" ht="47.25" customHeight="1" x14ac:dyDescent="0.25">
      <c r="A23" s="693" t="s">
        <v>43</v>
      </c>
      <c r="B23" s="694" t="s">
        <v>44</v>
      </c>
      <c r="C23" s="696" t="s">
        <v>45</v>
      </c>
      <c r="D23" s="696" t="s">
        <v>46</v>
      </c>
      <c r="E23" s="696" t="s">
        <v>47</v>
      </c>
      <c r="F23" s="696" t="s">
        <v>48</v>
      </c>
      <c r="G23" s="696" t="s">
        <v>49</v>
      </c>
      <c r="H23" s="696" t="s">
        <v>50</v>
      </c>
      <c r="I23" s="711" t="s">
        <v>78</v>
      </c>
      <c r="J23" s="742" t="s">
        <v>1190</v>
      </c>
      <c r="K23" s="690" t="s">
        <v>983</v>
      </c>
      <c r="L23" s="690" t="s">
        <v>79</v>
      </c>
      <c r="M23" s="690" t="s">
        <v>80</v>
      </c>
      <c r="N23" s="690" t="s">
        <v>56</v>
      </c>
      <c r="O23" s="690"/>
      <c r="P23" s="690">
        <v>370</v>
      </c>
      <c r="Q23" s="63" t="s">
        <v>81</v>
      </c>
      <c r="R23" s="63" t="s">
        <v>82</v>
      </c>
      <c r="S23" s="548" t="s">
        <v>56</v>
      </c>
      <c r="T23" s="84"/>
      <c r="U23" s="548">
        <v>270</v>
      </c>
      <c r="V23" s="709">
        <v>1006705842</v>
      </c>
      <c r="W23" s="1009"/>
      <c r="X23" s="524" t="s">
        <v>1243</v>
      </c>
      <c r="Y23" s="687">
        <v>70</v>
      </c>
      <c r="Z23" s="687">
        <f>+P23</f>
        <v>370</v>
      </c>
      <c r="AA23" s="688">
        <f>+Y23/Z23</f>
        <v>0.1891891891891892</v>
      </c>
      <c r="AB23" s="689" t="s">
        <v>1244</v>
      </c>
      <c r="AC23" s="537">
        <v>79</v>
      </c>
      <c r="AD23" s="537">
        <f>+U23</f>
        <v>270</v>
      </c>
      <c r="AE23" s="538">
        <f>+AC23/AD23</f>
        <v>0.29259259259259257</v>
      </c>
      <c r="AF23" s="539" t="s">
        <v>1245</v>
      </c>
      <c r="AG23" s="687">
        <v>93</v>
      </c>
      <c r="AH23" s="687">
        <f>+'[13]PAI SSLA'!P23</f>
        <v>370</v>
      </c>
      <c r="AI23" s="688">
        <f>+AG23/AH23</f>
        <v>0.25135135135135134</v>
      </c>
      <c r="AJ23" s="689" t="s">
        <v>1246</v>
      </c>
      <c r="AK23" s="537">
        <v>79</v>
      </c>
      <c r="AL23" s="537">
        <f>+'[13]PAI SSLA'!U23</f>
        <v>270</v>
      </c>
      <c r="AM23" s="538">
        <f>+AK23/AL23</f>
        <v>0.29259259259259257</v>
      </c>
      <c r="AN23" s="539" t="s">
        <v>1247</v>
      </c>
      <c r="AO23" s="687">
        <v>121</v>
      </c>
      <c r="AP23" s="687">
        <f>+'[14]PAI SSLA'!P23</f>
        <v>370</v>
      </c>
      <c r="AQ23" s="688">
        <f>+AO23/AP23</f>
        <v>0.32702702702702702</v>
      </c>
      <c r="AR23" s="689" t="s">
        <v>1248</v>
      </c>
      <c r="AS23" s="537">
        <v>78</v>
      </c>
      <c r="AT23" s="537">
        <f>+'[14]PAI SSLA'!U23</f>
        <v>270</v>
      </c>
      <c r="AU23" s="538">
        <f>+AS23/AT23</f>
        <v>0.28888888888888886</v>
      </c>
      <c r="AV23" s="539" t="s">
        <v>1249</v>
      </c>
    </row>
    <row r="24" spans="1:692" ht="47.25" customHeight="1" x14ac:dyDescent="0.25">
      <c r="A24" s="693"/>
      <c r="B24" s="695"/>
      <c r="C24" s="697"/>
      <c r="D24" s="697"/>
      <c r="E24" s="697"/>
      <c r="F24" s="697"/>
      <c r="G24" s="697"/>
      <c r="H24" s="697"/>
      <c r="I24" s="712"/>
      <c r="J24" s="743"/>
      <c r="K24" s="690"/>
      <c r="L24" s="690"/>
      <c r="M24" s="690"/>
      <c r="N24" s="690"/>
      <c r="O24" s="690"/>
      <c r="P24" s="690"/>
      <c r="Q24" s="70" t="s">
        <v>133</v>
      </c>
      <c r="R24" s="70" t="s">
        <v>134</v>
      </c>
      <c r="S24" s="527" t="s">
        <v>56</v>
      </c>
      <c r="T24" s="70"/>
      <c r="U24" s="527">
        <v>270</v>
      </c>
      <c r="V24" s="709"/>
      <c r="W24" s="1009"/>
      <c r="X24" s="527" t="s">
        <v>1243</v>
      </c>
      <c r="Y24" s="687"/>
      <c r="Z24" s="687"/>
      <c r="AA24" s="688"/>
      <c r="AB24" s="689"/>
      <c r="AC24" s="551">
        <v>66</v>
      </c>
      <c r="AD24" s="551">
        <f>+U24</f>
        <v>270</v>
      </c>
      <c r="AE24" s="552">
        <f>+AC24/AD24</f>
        <v>0.24444444444444444</v>
      </c>
      <c r="AF24" s="551" t="s">
        <v>1250</v>
      </c>
      <c r="AG24" s="687"/>
      <c r="AH24" s="687"/>
      <c r="AI24" s="688"/>
      <c r="AJ24" s="689"/>
      <c r="AK24" s="551">
        <v>76</v>
      </c>
      <c r="AL24" s="551">
        <f>+'[13]PAI SSLA'!U24</f>
        <v>270</v>
      </c>
      <c r="AM24" s="552">
        <f>+AK24/AL24</f>
        <v>0.2814814814814815</v>
      </c>
      <c r="AN24" s="551" t="s">
        <v>1251</v>
      </c>
      <c r="AO24" s="687"/>
      <c r="AP24" s="687"/>
      <c r="AQ24" s="688"/>
      <c r="AR24" s="689"/>
      <c r="AS24" s="551">
        <v>78</v>
      </c>
      <c r="AT24" s="551">
        <f>+'[14]PAI SSLA'!U24</f>
        <v>270</v>
      </c>
      <c r="AU24" s="552">
        <f>+AS24/AT24</f>
        <v>0.28888888888888886</v>
      </c>
      <c r="AV24" s="551" t="s">
        <v>1252</v>
      </c>
    </row>
    <row r="25" spans="1:692" ht="47.25" customHeight="1" x14ac:dyDescent="0.25">
      <c r="A25" s="693"/>
      <c r="B25" s="695"/>
      <c r="C25" s="697"/>
      <c r="D25" s="697"/>
      <c r="E25" s="697"/>
      <c r="F25" s="697"/>
      <c r="G25" s="697"/>
      <c r="H25" s="697"/>
      <c r="I25" s="712"/>
      <c r="J25" s="743"/>
      <c r="K25" s="690"/>
      <c r="L25" s="690"/>
      <c r="M25" s="690"/>
      <c r="N25" s="690"/>
      <c r="O25" s="690"/>
      <c r="P25" s="690"/>
      <c r="Q25" s="63" t="s">
        <v>138</v>
      </c>
      <c r="R25" s="63" t="s">
        <v>139</v>
      </c>
      <c r="S25" s="548" t="s">
        <v>56</v>
      </c>
      <c r="T25" s="84"/>
      <c r="U25" s="548">
        <v>23</v>
      </c>
      <c r="V25" s="709"/>
      <c r="W25" s="1009"/>
      <c r="X25" s="524" t="s">
        <v>1243</v>
      </c>
      <c r="Y25" s="687"/>
      <c r="Z25" s="687"/>
      <c r="AA25" s="688"/>
      <c r="AB25" s="689"/>
      <c r="AC25" s="537">
        <v>22</v>
      </c>
      <c r="AD25" s="537">
        <f>+U25</f>
        <v>23</v>
      </c>
      <c r="AE25" s="538">
        <f>+AC25/AD25</f>
        <v>0.95652173913043481</v>
      </c>
      <c r="AF25" s="539" t="s">
        <v>1253</v>
      </c>
      <c r="AG25" s="687"/>
      <c r="AH25" s="687"/>
      <c r="AI25" s="688"/>
      <c r="AJ25" s="689"/>
      <c r="AK25" s="537">
        <v>52</v>
      </c>
      <c r="AL25" s="537">
        <f>+'[13]PAI SSLA'!U25</f>
        <v>23</v>
      </c>
      <c r="AM25" s="586">
        <f>+AK25/AL25</f>
        <v>2.2608695652173911</v>
      </c>
      <c r="AN25" s="539" t="s">
        <v>1254</v>
      </c>
      <c r="AO25" s="687"/>
      <c r="AP25" s="687"/>
      <c r="AQ25" s="688"/>
      <c r="AR25" s="689"/>
      <c r="AS25" s="537">
        <v>89</v>
      </c>
      <c r="AT25" s="537">
        <f>+'[14]PAI SSLA'!U25</f>
        <v>23</v>
      </c>
      <c r="AU25" s="587">
        <f>+AS25/AT25</f>
        <v>3.8695652173913042</v>
      </c>
      <c r="AV25" s="539" t="s">
        <v>1255</v>
      </c>
    </row>
    <row r="26" spans="1:692" s="21" customFormat="1" ht="70.5" customHeight="1" x14ac:dyDescent="0.25">
      <c r="A26" s="52"/>
      <c r="B26" s="52"/>
      <c r="C26" s="52"/>
      <c r="D26" s="52"/>
      <c r="E26" s="52"/>
      <c r="F26" s="52"/>
      <c r="G26" s="52"/>
      <c r="H26" s="52"/>
      <c r="I26" s="52"/>
      <c r="J26" s="52"/>
      <c r="K26" s="52"/>
      <c r="L26" s="52"/>
      <c r="M26" s="52"/>
      <c r="N26" s="52"/>
      <c r="O26" s="52"/>
      <c r="P26" s="53"/>
      <c r="Q26" s="52"/>
      <c r="R26" s="52"/>
      <c r="S26" s="53"/>
      <c r="T26" s="52"/>
      <c r="U26" s="52"/>
      <c r="V26" s="54"/>
      <c r="W26" s="1009"/>
      <c r="X26" s="52"/>
      <c r="Y26" s="657" t="s">
        <v>99</v>
      </c>
      <c r="Z26" s="657"/>
      <c r="AA26" s="55">
        <f>AVERAGE(AA23:AA25)</f>
        <v>0.1891891891891892</v>
      </c>
      <c r="AB26" s="56"/>
      <c r="AC26" s="657" t="s">
        <v>100</v>
      </c>
      <c r="AD26" s="657"/>
      <c r="AE26" s="55">
        <f>AVERAGE(AE23:AE25)</f>
        <v>0.49785292538915726</v>
      </c>
      <c r="AF26" s="58"/>
      <c r="AG26" s="657" t="s">
        <v>99</v>
      </c>
      <c r="AH26" s="657"/>
      <c r="AI26" s="55">
        <f>AVERAGE(AI23:AI25)</f>
        <v>0.25135135135135134</v>
      </c>
      <c r="AJ26" s="56"/>
      <c r="AK26" s="657" t="s">
        <v>100</v>
      </c>
      <c r="AL26" s="657"/>
      <c r="AM26" s="55">
        <f>AVERAGE(AM23:AM25)</f>
        <v>0.94498121309715499</v>
      </c>
      <c r="AN26" s="58"/>
      <c r="AO26" s="657" t="s">
        <v>99</v>
      </c>
      <c r="AP26" s="657"/>
      <c r="AQ26" s="55">
        <f>AVERAGE(AQ23:AQ25)</f>
        <v>0.32702702702702702</v>
      </c>
      <c r="AR26" s="56"/>
      <c r="AS26" s="657" t="s">
        <v>100</v>
      </c>
      <c r="AT26" s="657"/>
      <c r="AU26" s="55">
        <f>AVERAGE(AU23:AU25)</f>
        <v>1.4824476650563607</v>
      </c>
      <c r="AV26" s="58"/>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c r="IH26" s="20"/>
      <c r="II26" s="20"/>
      <c r="IJ26" s="20"/>
      <c r="IK26" s="20"/>
      <c r="IL26" s="20"/>
      <c r="IM26" s="20"/>
      <c r="IN26" s="20"/>
      <c r="IO26" s="20"/>
      <c r="IP26" s="20"/>
      <c r="IQ26" s="20"/>
      <c r="IR26" s="20"/>
      <c r="IS26" s="20"/>
      <c r="IT26" s="20"/>
      <c r="IU26" s="20"/>
      <c r="IV26" s="20"/>
      <c r="IW26" s="20"/>
      <c r="IX26" s="20"/>
      <c r="IY26" s="20"/>
      <c r="IZ26" s="20"/>
      <c r="JA26" s="20"/>
      <c r="JB26" s="20"/>
      <c r="JC26" s="20"/>
      <c r="JD26" s="20"/>
      <c r="JE26" s="20"/>
      <c r="JF26" s="20"/>
      <c r="JG26" s="20"/>
      <c r="JH26" s="20"/>
      <c r="JI26" s="20"/>
      <c r="JJ26" s="20"/>
      <c r="JK26" s="20"/>
      <c r="JL26" s="20"/>
      <c r="JM26" s="20"/>
      <c r="JN26" s="20"/>
      <c r="JO26" s="20"/>
      <c r="JP26" s="20"/>
      <c r="JQ26" s="20"/>
      <c r="JR26" s="20"/>
      <c r="JS26" s="20"/>
      <c r="JT26" s="20"/>
      <c r="JU26" s="20"/>
      <c r="JV26" s="20"/>
      <c r="JW26" s="20"/>
      <c r="JX26" s="20"/>
      <c r="JY26" s="20"/>
      <c r="JZ26" s="20"/>
      <c r="KA26" s="20"/>
      <c r="KB26" s="20"/>
      <c r="KC26" s="20"/>
      <c r="KD26" s="20"/>
      <c r="KE26" s="20"/>
      <c r="KF26" s="20"/>
      <c r="KG26" s="20"/>
      <c r="KH26" s="20"/>
      <c r="KI26" s="20"/>
      <c r="KJ26" s="20"/>
      <c r="KK26" s="20"/>
      <c r="KL26" s="20"/>
      <c r="KM26" s="20"/>
      <c r="KN26" s="20"/>
      <c r="KO26" s="20"/>
      <c r="KP26" s="20"/>
      <c r="KQ26" s="20"/>
      <c r="KR26" s="20"/>
      <c r="KS26" s="20"/>
      <c r="KT26" s="20"/>
      <c r="KU26" s="20"/>
      <c r="KV26" s="20"/>
      <c r="KW26" s="20"/>
      <c r="KX26" s="20"/>
      <c r="KY26" s="20"/>
      <c r="KZ26" s="20"/>
      <c r="LA26" s="20"/>
      <c r="LB26" s="20"/>
      <c r="LC26" s="20"/>
      <c r="LD26" s="20"/>
      <c r="LE26" s="20"/>
      <c r="LF26" s="20"/>
      <c r="LG26" s="20"/>
      <c r="LH26" s="20"/>
      <c r="LI26" s="20"/>
      <c r="LJ26" s="20"/>
      <c r="LK26" s="20"/>
      <c r="LL26" s="20"/>
      <c r="LM26" s="20"/>
      <c r="LN26" s="20"/>
      <c r="LO26" s="20"/>
      <c r="LP26" s="20"/>
      <c r="LQ26" s="20"/>
      <c r="LR26" s="20"/>
      <c r="LS26" s="20"/>
      <c r="LT26" s="20"/>
      <c r="LU26" s="20"/>
      <c r="LV26" s="20"/>
      <c r="LW26" s="20"/>
      <c r="LX26" s="20"/>
      <c r="LY26" s="20"/>
      <c r="LZ26" s="20"/>
      <c r="MA26" s="20"/>
      <c r="MB26" s="20"/>
      <c r="MC26" s="20"/>
      <c r="MD26" s="20"/>
      <c r="ME26" s="20"/>
      <c r="MF26" s="20"/>
      <c r="MG26" s="20"/>
      <c r="MH26" s="20"/>
      <c r="MI26" s="20"/>
      <c r="MJ26" s="20"/>
      <c r="MK26" s="20"/>
      <c r="ML26" s="20"/>
      <c r="MM26" s="20"/>
      <c r="MN26" s="20"/>
      <c r="MO26" s="20"/>
      <c r="MP26" s="20"/>
      <c r="MQ26" s="20"/>
      <c r="MR26" s="20"/>
      <c r="MS26" s="20"/>
      <c r="MT26" s="20"/>
      <c r="MU26" s="20"/>
      <c r="MV26" s="20"/>
      <c r="MW26" s="20"/>
      <c r="MX26" s="20"/>
      <c r="MY26" s="20"/>
      <c r="MZ26" s="20"/>
      <c r="NA26" s="20"/>
      <c r="NB26" s="20"/>
      <c r="NC26" s="20"/>
      <c r="ND26" s="20"/>
      <c r="NE26" s="20"/>
      <c r="NF26" s="20"/>
      <c r="NG26" s="20"/>
      <c r="NH26" s="20"/>
      <c r="NI26" s="20"/>
      <c r="NJ26" s="20"/>
      <c r="NK26" s="20"/>
      <c r="NL26" s="20"/>
      <c r="NM26" s="20"/>
      <c r="NN26" s="20"/>
      <c r="NO26" s="20"/>
      <c r="NP26" s="20"/>
      <c r="NQ26" s="20"/>
      <c r="NR26" s="20"/>
      <c r="NS26" s="20"/>
      <c r="NT26" s="20"/>
      <c r="NU26" s="20"/>
      <c r="NV26" s="20"/>
      <c r="NW26" s="20"/>
      <c r="NX26" s="20"/>
      <c r="NY26" s="20"/>
      <c r="NZ26" s="20"/>
      <c r="OA26" s="20"/>
      <c r="OB26" s="20"/>
      <c r="OC26" s="20"/>
      <c r="OD26" s="20"/>
      <c r="OE26" s="20"/>
      <c r="OF26" s="20"/>
      <c r="OG26" s="20"/>
      <c r="OH26" s="20"/>
      <c r="OI26" s="20"/>
      <c r="OJ26" s="20"/>
      <c r="OK26" s="20"/>
      <c r="OL26" s="20"/>
      <c r="OM26" s="20"/>
      <c r="ON26" s="20"/>
      <c r="OO26" s="20"/>
      <c r="OP26" s="20"/>
      <c r="OQ26" s="20"/>
      <c r="OR26" s="20"/>
      <c r="OS26" s="20"/>
      <c r="OT26" s="20"/>
      <c r="OU26" s="20"/>
      <c r="OV26" s="20"/>
      <c r="OW26" s="20"/>
      <c r="OX26" s="20"/>
      <c r="OY26" s="20"/>
      <c r="OZ26" s="20"/>
      <c r="PA26" s="20"/>
      <c r="PB26" s="20"/>
      <c r="PC26" s="20"/>
      <c r="PD26" s="20"/>
      <c r="PE26" s="20"/>
      <c r="PF26" s="20"/>
      <c r="PG26" s="20"/>
      <c r="PH26" s="20"/>
      <c r="PI26" s="20"/>
      <c r="PJ26" s="20"/>
      <c r="PK26" s="20"/>
      <c r="PL26" s="20"/>
      <c r="PM26" s="20"/>
      <c r="PN26" s="20"/>
      <c r="PO26" s="20"/>
      <c r="PP26" s="20"/>
      <c r="PQ26" s="20"/>
      <c r="PR26" s="20"/>
      <c r="PS26" s="20"/>
      <c r="PT26" s="20"/>
      <c r="PU26" s="20"/>
      <c r="PV26" s="20"/>
      <c r="PW26" s="20"/>
      <c r="PX26" s="20"/>
      <c r="PY26" s="20"/>
      <c r="PZ26" s="20"/>
      <c r="QA26" s="20"/>
      <c r="QB26" s="20"/>
      <c r="QC26" s="20"/>
      <c r="QD26" s="20"/>
      <c r="QE26" s="20"/>
      <c r="QF26" s="20"/>
      <c r="QG26" s="20"/>
      <c r="QH26" s="20"/>
      <c r="QI26" s="20"/>
      <c r="QJ26" s="20"/>
      <c r="QK26" s="20"/>
      <c r="QL26" s="20"/>
      <c r="QM26" s="20"/>
      <c r="QN26" s="20"/>
      <c r="QO26" s="20"/>
      <c r="QP26" s="20"/>
      <c r="QQ26" s="20"/>
      <c r="QR26" s="20"/>
      <c r="QS26" s="20"/>
      <c r="QT26" s="20"/>
      <c r="QU26" s="20"/>
      <c r="QV26" s="20"/>
      <c r="QW26" s="20"/>
      <c r="QX26" s="20"/>
      <c r="QY26" s="20"/>
      <c r="QZ26" s="20"/>
      <c r="RA26" s="20"/>
      <c r="RB26" s="20"/>
      <c r="RC26" s="20"/>
      <c r="RD26" s="20"/>
      <c r="RE26" s="20"/>
      <c r="RF26" s="20"/>
      <c r="RG26" s="20"/>
      <c r="RH26" s="20"/>
      <c r="RI26" s="20"/>
      <c r="RJ26" s="20"/>
      <c r="RK26" s="20"/>
      <c r="RL26" s="20"/>
      <c r="RM26" s="20"/>
      <c r="RN26" s="20"/>
      <c r="RO26" s="20"/>
      <c r="RP26" s="20"/>
      <c r="RQ26" s="20"/>
      <c r="RR26" s="20"/>
      <c r="RS26" s="20"/>
      <c r="RT26" s="20"/>
      <c r="RU26" s="20"/>
      <c r="RV26" s="20"/>
      <c r="RW26" s="20"/>
      <c r="RX26" s="20"/>
      <c r="RY26" s="20"/>
      <c r="RZ26" s="20"/>
      <c r="SA26" s="20"/>
      <c r="SB26" s="20"/>
      <c r="SC26" s="20"/>
      <c r="SD26" s="20"/>
      <c r="SE26" s="20"/>
      <c r="SF26" s="20"/>
      <c r="SG26" s="20"/>
      <c r="SH26" s="20"/>
      <c r="SI26" s="20"/>
      <c r="SJ26" s="20"/>
      <c r="SK26" s="20"/>
      <c r="SL26" s="20"/>
      <c r="SM26" s="20"/>
      <c r="SN26" s="20"/>
      <c r="SO26" s="20"/>
      <c r="SP26" s="20"/>
      <c r="SQ26" s="20"/>
      <c r="SR26" s="20"/>
      <c r="SS26" s="20"/>
      <c r="ST26" s="20"/>
      <c r="SU26" s="20"/>
      <c r="SV26" s="20"/>
      <c r="SW26" s="20"/>
      <c r="SX26" s="20"/>
      <c r="SY26" s="20"/>
      <c r="SZ26" s="20"/>
      <c r="TA26" s="20"/>
      <c r="TB26" s="20"/>
      <c r="TC26" s="20"/>
      <c r="TD26" s="20"/>
      <c r="TE26" s="20"/>
      <c r="TF26" s="20"/>
      <c r="TG26" s="20"/>
      <c r="TH26" s="20"/>
      <c r="TI26" s="20"/>
      <c r="TJ26" s="20"/>
      <c r="TK26" s="20"/>
      <c r="TL26" s="20"/>
      <c r="TM26" s="20"/>
      <c r="TN26" s="20"/>
      <c r="TO26" s="20"/>
      <c r="TP26" s="20"/>
      <c r="TQ26" s="20"/>
      <c r="TR26" s="20"/>
      <c r="TS26" s="20"/>
      <c r="TT26" s="20"/>
      <c r="TU26" s="20"/>
      <c r="TV26" s="20"/>
      <c r="TW26" s="20"/>
      <c r="TX26" s="20"/>
      <c r="TY26" s="20"/>
      <c r="TZ26" s="20"/>
      <c r="UA26" s="20"/>
      <c r="UB26" s="20"/>
      <c r="UC26" s="20"/>
      <c r="UD26" s="20"/>
      <c r="UE26" s="20"/>
      <c r="UF26" s="20"/>
      <c r="UG26" s="20"/>
      <c r="UH26" s="20"/>
      <c r="UI26" s="20"/>
      <c r="UJ26" s="20"/>
      <c r="UK26" s="20"/>
      <c r="UL26" s="20"/>
      <c r="UM26" s="20"/>
      <c r="UN26" s="20"/>
      <c r="UO26" s="20"/>
      <c r="UP26" s="20"/>
      <c r="UQ26" s="20"/>
      <c r="UR26" s="20"/>
      <c r="US26" s="20"/>
      <c r="UT26" s="20"/>
      <c r="UU26" s="20"/>
      <c r="UV26" s="20"/>
      <c r="UW26" s="20"/>
      <c r="UX26" s="20"/>
      <c r="UY26" s="20"/>
      <c r="UZ26" s="20"/>
      <c r="VA26" s="20"/>
      <c r="VB26" s="20"/>
      <c r="VC26" s="20"/>
      <c r="VD26" s="20"/>
      <c r="VE26" s="20"/>
      <c r="VF26" s="20"/>
      <c r="VG26" s="20"/>
      <c r="VH26" s="20"/>
      <c r="VI26" s="20"/>
      <c r="VJ26" s="20"/>
      <c r="VK26" s="20"/>
      <c r="VL26" s="20"/>
      <c r="VM26" s="20"/>
      <c r="VN26" s="20"/>
      <c r="VO26" s="20"/>
      <c r="VP26" s="20"/>
      <c r="VQ26" s="20"/>
      <c r="VR26" s="20"/>
      <c r="VS26" s="20"/>
      <c r="VT26" s="20"/>
      <c r="VU26" s="20"/>
      <c r="VV26" s="20"/>
      <c r="VW26" s="20"/>
      <c r="VX26" s="20"/>
      <c r="VY26" s="20"/>
      <c r="VZ26" s="20"/>
      <c r="WA26" s="20"/>
      <c r="WB26" s="20"/>
      <c r="WC26" s="20"/>
      <c r="WD26" s="20"/>
      <c r="WE26" s="20"/>
      <c r="WF26" s="20"/>
      <c r="WG26" s="20"/>
      <c r="WH26" s="20"/>
      <c r="WI26" s="20"/>
      <c r="WJ26" s="20"/>
      <c r="WK26" s="20"/>
      <c r="WL26" s="20"/>
      <c r="WM26" s="20"/>
      <c r="WN26" s="20"/>
      <c r="WO26" s="20"/>
      <c r="WP26" s="20"/>
      <c r="WQ26" s="20"/>
      <c r="WR26" s="20"/>
      <c r="WS26" s="20"/>
      <c r="WT26" s="20"/>
      <c r="WU26" s="20"/>
      <c r="WV26" s="20"/>
      <c r="WW26" s="20"/>
      <c r="WX26" s="20"/>
      <c r="WY26" s="20"/>
      <c r="WZ26" s="20"/>
      <c r="XA26" s="20"/>
      <c r="XB26" s="20"/>
      <c r="XC26" s="20"/>
      <c r="XD26" s="20"/>
      <c r="XE26" s="20"/>
      <c r="XF26" s="20"/>
      <c r="XG26" s="20"/>
      <c r="XH26" s="20"/>
      <c r="XI26" s="20"/>
      <c r="XJ26" s="20"/>
      <c r="XK26" s="20"/>
      <c r="XL26" s="20"/>
      <c r="XM26" s="20"/>
      <c r="XN26" s="20"/>
      <c r="XO26" s="20"/>
      <c r="XP26" s="20"/>
      <c r="XQ26" s="20"/>
      <c r="XR26" s="20"/>
      <c r="XS26" s="20"/>
      <c r="XT26" s="20"/>
      <c r="XU26" s="20"/>
      <c r="XV26" s="20"/>
      <c r="XW26" s="20"/>
      <c r="XX26" s="20"/>
      <c r="XY26" s="20"/>
      <c r="XZ26" s="20"/>
      <c r="YA26" s="20"/>
      <c r="YB26" s="20"/>
      <c r="YC26" s="20"/>
      <c r="YD26" s="20"/>
      <c r="YE26" s="20"/>
      <c r="YF26" s="20"/>
      <c r="YG26" s="20"/>
      <c r="YH26" s="20"/>
      <c r="YI26" s="20"/>
      <c r="YJ26" s="20"/>
      <c r="YK26" s="20"/>
      <c r="YL26" s="20"/>
      <c r="YM26" s="20"/>
      <c r="YN26" s="20"/>
      <c r="YO26" s="20"/>
      <c r="YP26" s="20"/>
      <c r="YQ26" s="20"/>
      <c r="YR26" s="20"/>
      <c r="YS26" s="20"/>
      <c r="YT26" s="20"/>
      <c r="YU26" s="20"/>
      <c r="YV26" s="20"/>
      <c r="YW26" s="20"/>
      <c r="YX26" s="20"/>
      <c r="YY26" s="20"/>
      <c r="YZ26" s="20"/>
      <c r="ZA26" s="20"/>
      <c r="ZB26" s="20"/>
      <c r="ZC26" s="20"/>
      <c r="ZD26" s="20"/>
      <c r="ZE26" s="20"/>
      <c r="ZF26" s="20"/>
      <c r="ZG26" s="20"/>
      <c r="ZH26" s="20"/>
      <c r="ZI26" s="20"/>
      <c r="ZJ26" s="20"/>
      <c r="ZK26" s="20"/>
      <c r="ZL26" s="20"/>
      <c r="ZM26" s="20"/>
      <c r="ZN26" s="20"/>
      <c r="ZO26" s="20"/>
      <c r="ZP26" s="20"/>
    </row>
    <row r="27" spans="1:692" ht="57" customHeight="1" x14ac:dyDescent="0.25">
      <c r="A27" s="594" t="s">
        <v>43</v>
      </c>
      <c r="B27" s="595" t="s">
        <v>44</v>
      </c>
      <c r="C27" s="596" t="s">
        <v>45</v>
      </c>
      <c r="D27" s="596" t="s">
        <v>46</v>
      </c>
      <c r="E27" s="596" t="s">
        <v>47</v>
      </c>
      <c r="F27" s="596" t="s">
        <v>48</v>
      </c>
      <c r="G27" s="596" t="s">
        <v>49</v>
      </c>
      <c r="H27" s="596" t="s">
        <v>50</v>
      </c>
      <c r="I27" s="597" t="s">
        <v>78</v>
      </c>
      <c r="J27" s="22" t="s">
        <v>1190</v>
      </c>
      <c r="K27" s="63" t="s">
        <v>1256</v>
      </c>
      <c r="L27" s="63" t="s">
        <v>79</v>
      </c>
      <c r="M27" s="63" t="s">
        <v>80</v>
      </c>
      <c r="N27" s="63" t="s">
        <v>56</v>
      </c>
      <c r="O27" s="524"/>
      <c r="P27" s="524">
        <v>1205</v>
      </c>
      <c r="Q27" s="84" t="s">
        <v>138</v>
      </c>
      <c r="R27" s="63" t="s">
        <v>139</v>
      </c>
      <c r="S27" s="548" t="s">
        <v>56</v>
      </c>
      <c r="T27" s="84"/>
      <c r="U27" s="548">
        <v>1205</v>
      </c>
      <c r="V27" s="547">
        <v>287078532</v>
      </c>
      <c r="W27" s="1009"/>
      <c r="X27" s="524" t="s">
        <v>1257</v>
      </c>
      <c r="Y27" s="537">
        <v>340</v>
      </c>
      <c r="Z27" s="537">
        <f>+P27</f>
        <v>1205</v>
      </c>
      <c r="AA27" s="538">
        <f>+Y27/Z27</f>
        <v>0.28215767634854771</v>
      </c>
      <c r="AB27" s="539" t="s">
        <v>1258</v>
      </c>
      <c r="AC27" s="537">
        <v>404</v>
      </c>
      <c r="AD27" s="537">
        <f>+U27</f>
        <v>1205</v>
      </c>
      <c r="AE27" s="538">
        <f t="shared" ref="AE27" si="1">+AC27/AD27</f>
        <v>0.33526970954356844</v>
      </c>
      <c r="AF27" s="539" t="s">
        <v>1259</v>
      </c>
      <c r="AG27" s="537">
        <v>475</v>
      </c>
      <c r="AH27" s="537">
        <f>+'[13]PAI SSLA'!P27</f>
        <v>1205</v>
      </c>
      <c r="AI27" s="538">
        <f>+AG27/AH27</f>
        <v>0.39419087136929459</v>
      </c>
      <c r="AJ27" s="539" t="s">
        <v>1260</v>
      </c>
      <c r="AK27" s="537">
        <v>538</v>
      </c>
      <c r="AL27" s="537">
        <f>+'[13]PAI SSLA'!U27</f>
        <v>1205</v>
      </c>
      <c r="AM27" s="538">
        <f>+AK27/AL27</f>
        <v>0.44647302904564318</v>
      </c>
      <c r="AN27" s="539" t="s">
        <v>1261</v>
      </c>
      <c r="AO27" s="537">
        <v>616</v>
      </c>
      <c r="AP27" s="537">
        <f>+'[14]PAI SSLA'!P27</f>
        <v>1205</v>
      </c>
      <c r="AQ27" s="538">
        <f>+AO27/AP27</f>
        <v>0.51120331950207465</v>
      </c>
      <c r="AR27" s="539" t="s">
        <v>1262</v>
      </c>
      <c r="AS27" s="537">
        <v>675</v>
      </c>
      <c r="AT27" s="537">
        <f>+'[14]PAI SSLA'!U27</f>
        <v>1205</v>
      </c>
      <c r="AU27" s="538">
        <f>+AS27/AT27</f>
        <v>0.56016597510373445</v>
      </c>
      <c r="AV27" s="539" t="s">
        <v>1263</v>
      </c>
    </row>
    <row r="28" spans="1:692" s="21" customFormat="1" ht="68.25" customHeight="1" x14ac:dyDescent="0.25">
      <c r="A28" s="52"/>
      <c r="B28" s="52"/>
      <c r="C28" s="52"/>
      <c r="D28" s="52"/>
      <c r="E28" s="52"/>
      <c r="F28" s="52"/>
      <c r="G28" s="52"/>
      <c r="H28" s="52"/>
      <c r="I28" s="52"/>
      <c r="J28" s="52"/>
      <c r="K28" s="52"/>
      <c r="L28" s="52"/>
      <c r="M28" s="52"/>
      <c r="N28" s="52"/>
      <c r="O28" s="52"/>
      <c r="P28" s="53"/>
      <c r="Q28" s="52"/>
      <c r="R28" s="52"/>
      <c r="S28" s="53"/>
      <c r="T28" s="52"/>
      <c r="U28" s="52"/>
      <c r="V28" s="89"/>
      <c r="W28" s="1009"/>
      <c r="X28" s="52"/>
      <c r="Y28" s="657" t="s">
        <v>99</v>
      </c>
      <c r="Z28" s="657"/>
      <c r="AA28" s="55">
        <f>AVERAGE(AA27:AA27)</f>
        <v>0.28215767634854771</v>
      </c>
      <c r="AB28" s="56"/>
      <c r="AC28" s="657" t="s">
        <v>100</v>
      </c>
      <c r="AD28" s="657"/>
      <c r="AE28" s="55">
        <f>AVERAGE(AE27:AE27)</f>
        <v>0.33526970954356844</v>
      </c>
      <c r="AF28" s="58"/>
      <c r="AG28" s="657" t="s">
        <v>99</v>
      </c>
      <c r="AH28" s="657"/>
      <c r="AI28" s="55">
        <f>AVERAGE(AI27:AI27)</f>
        <v>0.39419087136929459</v>
      </c>
      <c r="AJ28" s="56"/>
      <c r="AK28" s="657" t="s">
        <v>100</v>
      </c>
      <c r="AL28" s="657"/>
      <c r="AM28" s="55">
        <f>AVERAGE(AM27:AM27)</f>
        <v>0.44647302904564318</v>
      </c>
      <c r="AN28" s="58"/>
      <c r="AO28" s="657" t="s">
        <v>99</v>
      </c>
      <c r="AP28" s="657"/>
      <c r="AQ28" s="55">
        <f>AVERAGE(AQ27:AQ27)</f>
        <v>0.51120331950207465</v>
      </c>
      <c r="AR28" s="56"/>
      <c r="AS28" s="657" t="s">
        <v>100</v>
      </c>
      <c r="AT28" s="657"/>
      <c r="AU28" s="55">
        <f>AVERAGE(AU27:AU27)</f>
        <v>0.56016597510373445</v>
      </c>
      <c r="AV28" s="58"/>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c r="IW28" s="20"/>
      <c r="IX28" s="20"/>
      <c r="IY28" s="20"/>
      <c r="IZ28" s="20"/>
      <c r="JA28" s="20"/>
      <c r="JB28" s="20"/>
      <c r="JC28" s="20"/>
      <c r="JD28" s="20"/>
      <c r="JE28" s="20"/>
      <c r="JF28" s="20"/>
      <c r="JG28" s="20"/>
      <c r="JH28" s="20"/>
      <c r="JI28" s="20"/>
      <c r="JJ28" s="20"/>
      <c r="JK28" s="20"/>
      <c r="JL28" s="20"/>
      <c r="JM28" s="20"/>
      <c r="JN28" s="20"/>
      <c r="JO28" s="20"/>
      <c r="JP28" s="20"/>
      <c r="JQ28" s="20"/>
      <c r="JR28" s="20"/>
      <c r="JS28" s="20"/>
      <c r="JT28" s="20"/>
      <c r="JU28" s="20"/>
      <c r="JV28" s="20"/>
      <c r="JW28" s="20"/>
      <c r="JX28" s="20"/>
      <c r="JY28" s="20"/>
      <c r="JZ28" s="20"/>
      <c r="KA28" s="20"/>
      <c r="KB28" s="20"/>
      <c r="KC28" s="20"/>
      <c r="KD28" s="20"/>
      <c r="KE28" s="20"/>
      <c r="KF28" s="20"/>
      <c r="KG28" s="20"/>
      <c r="KH28" s="20"/>
      <c r="KI28" s="20"/>
      <c r="KJ28" s="20"/>
      <c r="KK28" s="20"/>
      <c r="KL28" s="20"/>
      <c r="KM28" s="20"/>
      <c r="KN28" s="20"/>
      <c r="KO28" s="20"/>
      <c r="KP28" s="20"/>
      <c r="KQ28" s="20"/>
      <c r="KR28" s="20"/>
      <c r="KS28" s="20"/>
      <c r="KT28" s="20"/>
      <c r="KU28" s="20"/>
      <c r="KV28" s="20"/>
      <c r="KW28" s="20"/>
      <c r="KX28" s="20"/>
      <c r="KY28" s="20"/>
      <c r="KZ28" s="20"/>
      <c r="LA28" s="20"/>
      <c r="LB28" s="20"/>
      <c r="LC28" s="20"/>
      <c r="LD28" s="20"/>
      <c r="LE28" s="20"/>
      <c r="LF28" s="20"/>
      <c r="LG28" s="20"/>
      <c r="LH28" s="20"/>
      <c r="LI28" s="20"/>
      <c r="LJ28" s="20"/>
      <c r="LK28" s="20"/>
      <c r="LL28" s="20"/>
      <c r="LM28" s="20"/>
      <c r="LN28" s="20"/>
      <c r="LO28" s="20"/>
      <c r="LP28" s="20"/>
      <c r="LQ28" s="20"/>
      <c r="LR28" s="20"/>
      <c r="LS28" s="20"/>
      <c r="LT28" s="20"/>
      <c r="LU28" s="20"/>
      <c r="LV28" s="20"/>
      <c r="LW28" s="20"/>
      <c r="LX28" s="20"/>
      <c r="LY28" s="20"/>
      <c r="LZ28" s="20"/>
      <c r="MA28" s="20"/>
      <c r="MB28" s="20"/>
      <c r="MC28" s="20"/>
      <c r="MD28" s="20"/>
      <c r="ME28" s="20"/>
      <c r="MF28" s="20"/>
      <c r="MG28" s="20"/>
      <c r="MH28" s="20"/>
      <c r="MI28" s="20"/>
      <c r="MJ28" s="20"/>
      <c r="MK28" s="20"/>
      <c r="ML28" s="20"/>
      <c r="MM28" s="20"/>
      <c r="MN28" s="20"/>
      <c r="MO28" s="20"/>
      <c r="MP28" s="20"/>
      <c r="MQ28" s="20"/>
      <c r="MR28" s="20"/>
      <c r="MS28" s="20"/>
      <c r="MT28" s="20"/>
      <c r="MU28" s="20"/>
      <c r="MV28" s="20"/>
      <c r="MW28" s="20"/>
      <c r="MX28" s="20"/>
      <c r="MY28" s="20"/>
      <c r="MZ28" s="20"/>
      <c r="NA28" s="20"/>
      <c r="NB28" s="20"/>
      <c r="NC28" s="20"/>
      <c r="ND28" s="20"/>
      <c r="NE28" s="20"/>
      <c r="NF28" s="20"/>
      <c r="NG28" s="20"/>
      <c r="NH28" s="20"/>
      <c r="NI28" s="20"/>
      <c r="NJ28" s="20"/>
      <c r="NK28" s="20"/>
      <c r="NL28" s="20"/>
      <c r="NM28" s="20"/>
      <c r="NN28" s="20"/>
      <c r="NO28" s="20"/>
      <c r="NP28" s="20"/>
      <c r="NQ28" s="20"/>
      <c r="NR28" s="20"/>
      <c r="NS28" s="20"/>
      <c r="NT28" s="20"/>
      <c r="NU28" s="20"/>
      <c r="NV28" s="20"/>
      <c r="NW28" s="20"/>
      <c r="NX28" s="20"/>
      <c r="NY28" s="20"/>
      <c r="NZ28" s="20"/>
      <c r="OA28" s="20"/>
      <c r="OB28" s="20"/>
      <c r="OC28" s="20"/>
      <c r="OD28" s="20"/>
      <c r="OE28" s="20"/>
      <c r="OF28" s="20"/>
      <c r="OG28" s="20"/>
      <c r="OH28" s="20"/>
      <c r="OI28" s="20"/>
      <c r="OJ28" s="20"/>
      <c r="OK28" s="20"/>
      <c r="OL28" s="20"/>
      <c r="OM28" s="20"/>
      <c r="ON28" s="20"/>
      <c r="OO28" s="20"/>
      <c r="OP28" s="20"/>
      <c r="OQ28" s="20"/>
      <c r="OR28" s="20"/>
      <c r="OS28" s="20"/>
      <c r="OT28" s="20"/>
      <c r="OU28" s="20"/>
      <c r="OV28" s="20"/>
      <c r="OW28" s="20"/>
      <c r="OX28" s="20"/>
      <c r="OY28" s="20"/>
      <c r="OZ28" s="20"/>
      <c r="PA28" s="20"/>
      <c r="PB28" s="20"/>
      <c r="PC28" s="20"/>
      <c r="PD28" s="20"/>
      <c r="PE28" s="20"/>
      <c r="PF28" s="20"/>
      <c r="PG28" s="20"/>
      <c r="PH28" s="20"/>
      <c r="PI28" s="20"/>
      <c r="PJ28" s="20"/>
      <c r="PK28" s="20"/>
      <c r="PL28" s="20"/>
      <c r="PM28" s="20"/>
      <c r="PN28" s="20"/>
      <c r="PO28" s="20"/>
      <c r="PP28" s="20"/>
      <c r="PQ28" s="20"/>
      <c r="PR28" s="20"/>
      <c r="PS28" s="20"/>
      <c r="PT28" s="20"/>
      <c r="PU28" s="20"/>
      <c r="PV28" s="20"/>
      <c r="PW28" s="20"/>
      <c r="PX28" s="20"/>
      <c r="PY28" s="20"/>
      <c r="PZ28" s="20"/>
      <c r="QA28" s="20"/>
      <c r="QB28" s="20"/>
      <c r="QC28" s="20"/>
      <c r="QD28" s="20"/>
      <c r="QE28" s="20"/>
      <c r="QF28" s="20"/>
      <c r="QG28" s="20"/>
      <c r="QH28" s="20"/>
      <c r="QI28" s="20"/>
      <c r="QJ28" s="20"/>
      <c r="QK28" s="20"/>
      <c r="QL28" s="20"/>
      <c r="QM28" s="20"/>
      <c r="QN28" s="20"/>
      <c r="QO28" s="20"/>
      <c r="QP28" s="20"/>
      <c r="QQ28" s="20"/>
      <c r="QR28" s="20"/>
      <c r="QS28" s="20"/>
      <c r="QT28" s="20"/>
      <c r="QU28" s="20"/>
      <c r="QV28" s="20"/>
      <c r="QW28" s="20"/>
      <c r="QX28" s="20"/>
      <c r="QY28" s="20"/>
      <c r="QZ28" s="20"/>
      <c r="RA28" s="20"/>
      <c r="RB28" s="20"/>
      <c r="RC28" s="20"/>
      <c r="RD28" s="20"/>
      <c r="RE28" s="20"/>
      <c r="RF28" s="20"/>
      <c r="RG28" s="20"/>
      <c r="RH28" s="20"/>
      <c r="RI28" s="20"/>
      <c r="RJ28" s="20"/>
      <c r="RK28" s="20"/>
      <c r="RL28" s="20"/>
      <c r="RM28" s="20"/>
      <c r="RN28" s="20"/>
      <c r="RO28" s="20"/>
      <c r="RP28" s="20"/>
      <c r="RQ28" s="20"/>
      <c r="RR28" s="20"/>
      <c r="RS28" s="20"/>
      <c r="RT28" s="20"/>
      <c r="RU28" s="20"/>
      <c r="RV28" s="20"/>
      <c r="RW28" s="20"/>
      <c r="RX28" s="20"/>
      <c r="RY28" s="20"/>
      <c r="RZ28" s="20"/>
      <c r="SA28" s="20"/>
      <c r="SB28" s="20"/>
      <c r="SC28" s="20"/>
      <c r="SD28" s="20"/>
      <c r="SE28" s="20"/>
      <c r="SF28" s="20"/>
      <c r="SG28" s="20"/>
      <c r="SH28" s="20"/>
      <c r="SI28" s="20"/>
      <c r="SJ28" s="20"/>
      <c r="SK28" s="20"/>
      <c r="SL28" s="20"/>
      <c r="SM28" s="20"/>
      <c r="SN28" s="20"/>
      <c r="SO28" s="20"/>
      <c r="SP28" s="20"/>
      <c r="SQ28" s="20"/>
      <c r="SR28" s="20"/>
      <c r="SS28" s="20"/>
      <c r="ST28" s="20"/>
      <c r="SU28" s="20"/>
      <c r="SV28" s="20"/>
      <c r="SW28" s="20"/>
      <c r="SX28" s="20"/>
      <c r="SY28" s="20"/>
      <c r="SZ28" s="20"/>
      <c r="TA28" s="20"/>
      <c r="TB28" s="20"/>
      <c r="TC28" s="20"/>
      <c r="TD28" s="20"/>
      <c r="TE28" s="20"/>
      <c r="TF28" s="20"/>
      <c r="TG28" s="20"/>
      <c r="TH28" s="20"/>
      <c r="TI28" s="20"/>
      <c r="TJ28" s="20"/>
      <c r="TK28" s="20"/>
      <c r="TL28" s="20"/>
      <c r="TM28" s="20"/>
      <c r="TN28" s="20"/>
      <c r="TO28" s="20"/>
      <c r="TP28" s="20"/>
      <c r="TQ28" s="20"/>
      <c r="TR28" s="20"/>
      <c r="TS28" s="20"/>
      <c r="TT28" s="20"/>
      <c r="TU28" s="20"/>
      <c r="TV28" s="20"/>
      <c r="TW28" s="20"/>
      <c r="TX28" s="20"/>
      <c r="TY28" s="20"/>
      <c r="TZ28" s="20"/>
      <c r="UA28" s="20"/>
      <c r="UB28" s="20"/>
      <c r="UC28" s="20"/>
      <c r="UD28" s="20"/>
      <c r="UE28" s="20"/>
      <c r="UF28" s="20"/>
      <c r="UG28" s="20"/>
      <c r="UH28" s="20"/>
      <c r="UI28" s="20"/>
      <c r="UJ28" s="20"/>
      <c r="UK28" s="20"/>
      <c r="UL28" s="20"/>
      <c r="UM28" s="20"/>
      <c r="UN28" s="20"/>
      <c r="UO28" s="20"/>
      <c r="UP28" s="20"/>
      <c r="UQ28" s="20"/>
      <c r="UR28" s="20"/>
      <c r="US28" s="20"/>
      <c r="UT28" s="20"/>
      <c r="UU28" s="20"/>
      <c r="UV28" s="20"/>
      <c r="UW28" s="20"/>
      <c r="UX28" s="20"/>
      <c r="UY28" s="20"/>
      <c r="UZ28" s="20"/>
      <c r="VA28" s="20"/>
      <c r="VB28" s="20"/>
      <c r="VC28" s="20"/>
      <c r="VD28" s="20"/>
      <c r="VE28" s="20"/>
      <c r="VF28" s="20"/>
      <c r="VG28" s="20"/>
      <c r="VH28" s="20"/>
      <c r="VI28" s="20"/>
      <c r="VJ28" s="20"/>
      <c r="VK28" s="20"/>
      <c r="VL28" s="20"/>
      <c r="VM28" s="20"/>
      <c r="VN28" s="20"/>
      <c r="VO28" s="20"/>
      <c r="VP28" s="20"/>
      <c r="VQ28" s="20"/>
      <c r="VR28" s="20"/>
      <c r="VS28" s="20"/>
      <c r="VT28" s="20"/>
      <c r="VU28" s="20"/>
      <c r="VV28" s="20"/>
      <c r="VW28" s="20"/>
      <c r="VX28" s="20"/>
      <c r="VY28" s="20"/>
      <c r="VZ28" s="20"/>
      <c r="WA28" s="20"/>
      <c r="WB28" s="20"/>
      <c r="WC28" s="20"/>
      <c r="WD28" s="20"/>
      <c r="WE28" s="20"/>
      <c r="WF28" s="20"/>
      <c r="WG28" s="20"/>
      <c r="WH28" s="20"/>
      <c r="WI28" s="20"/>
      <c r="WJ28" s="20"/>
      <c r="WK28" s="20"/>
      <c r="WL28" s="20"/>
      <c r="WM28" s="20"/>
      <c r="WN28" s="20"/>
      <c r="WO28" s="20"/>
      <c r="WP28" s="20"/>
      <c r="WQ28" s="20"/>
      <c r="WR28" s="20"/>
      <c r="WS28" s="20"/>
      <c r="WT28" s="20"/>
      <c r="WU28" s="20"/>
      <c r="WV28" s="20"/>
      <c r="WW28" s="20"/>
      <c r="WX28" s="20"/>
      <c r="WY28" s="20"/>
      <c r="WZ28" s="20"/>
      <c r="XA28" s="20"/>
      <c r="XB28" s="20"/>
      <c r="XC28" s="20"/>
      <c r="XD28" s="20"/>
      <c r="XE28" s="20"/>
      <c r="XF28" s="20"/>
      <c r="XG28" s="20"/>
      <c r="XH28" s="20"/>
      <c r="XI28" s="20"/>
      <c r="XJ28" s="20"/>
      <c r="XK28" s="20"/>
      <c r="XL28" s="20"/>
      <c r="XM28" s="20"/>
      <c r="XN28" s="20"/>
      <c r="XO28" s="20"/>
      <c r="XP28" s="20"/>
      <c r="XQ28" s="20"/>
      <c r="XR28" s="20"/>
      <c r="XS28" s="20"/>
      <c r="XT28" s="20"/>
      <c r="XU28" s="20"/>
      <c r="XV28" s="20"/>
      <c r="XW28" s="20"/>
      <c r="XX28" s="20"/>
      <c r="XY28" s="20"/>
      <c r="XZ28" s="20"/>
      <c r="YA28" s="20"/>
      <c r="YB28" s="20"/>
      <c r="YC28" s="20"/>
      <c r="YD28" s="20"/>
      <c r="YE28" s="20"/>
      <c r="YF28" s="20"/>
      <c r="YG28" s="20"/>
      <c r="YH28" s="20"/>
      <c r="YI28" s="20"/>
      <c r="YJ28" s="20"/>
      <c r="YK28" s="20"/>
      <c r="YL28" s="20"/>
      <c r="YM28" s="20"/>
      <c r="YN28" s="20"/>
      <c r="YO28" s="20"/>
      <c r="YP28" s="20"/>
      <c r="YQ28" s="20"/>
      <c r="YR28" s="20"/>
      <c r="YS28" s="20"/>
      <c r="YT28" s="20"/>
      <c r="YU28" s="20"/>
      <c r="YV28" s="20"/>
      <c r="YW28" s="20"/>
      <c r="YX28" s="20"/>
      <c r="YY28" s="20"/>
      <c r="YZ28" s="20"/>
      <c r="ZA28" s="20"/>
      <c r="ZB28" s="20"/>
      <c r="ZC28" s="20"/>
      <c r="ZD28" s="20"/>
      <c r="ZE28" s="20"/>
      <c r="ZF28" s="20"/>
      <c r="ZG28" s="20"/>
      <c r="ZH28" s="20"/>
      <c r="ZI28" s="20"/>
      <c r="ZJ28" s="20"/>
      <c r="ZK28" s="20"/>
      <c r="ZL28" s="20"/>
      <c r="ZM28" s="20"/>
      <c r="ZN28" s="20"/>
      <c r="ZO28" s="20"/>
      <c r="ZP28" s="20"/>
    </row>
    <row r="29" spans="1:692" ht="105.75" customHeight="1" x14ac:dyDescent="0.25">
      <c r="A29" s="90" t="s">
        <v>43</v>
      </c>
      <c r="B29" s="90" t="s">
        <v>44</v>
      </c>
      <c r="C29" s="90" t="s">
        <v>45</v>
      </c>
      <c r="D29" s="90" t="s">
        <v>46</v>
      </c>
      <c r="E29" s="90" t="s">
        <v>71</v>
      </c>
      <c r="F29" s="90" t="s">
        <v>48</v>
      </c>
      <c r="G29" s="90" t="s">
        <v>49</v>
      </c>
      <c r="H29" s="90" t="s">
        <v>50</v>
      </c>
      <c r="I29" s="90" t="s">
        <v>78</v>
      </c>
      <c r="J29" s="524" t="s">
        <v>1190</v>
      </c>
      <c r="K29" s="524" t="s">
        <v>266</v>
      </c>
      <c r="L29" s="524" t="s">
        <v>267</v>
      </c>
      <c r="M29" s="524" t="s">
        <v>268</v>
      </c>
      <c r="N29" s="524" t="s">
        <v>56</v>
      </c>
      <c r="O29" s="598"/>
      <c r="P29" s="524">
        <v>747</v>
      </c>
      <c r="Q29" s="660"/>
      <c r="R29" s="661"/>
      <c r="S29" s="661"/>
      <c r="T29" s="661"/>
      <c r="U29" s="662"/>
      <c r="V29" s="709">
        <v>547984298</v>
      </c>
      <c r="W29" s="1009"/>
      <c r="X29" s="524" t="s">
        <v>269</v>
      </c>
      <c r="Y29" s="539">
        <v>246</v>
      </c>
      <c r="Z29" s="539">
        <f>+P29</f>
        <v>747</v>
      </c>
      <c r="AA29" s="541">
        <f>+Y29/Z29</f>
        <v>0.32931726907630521</v>
      </c>
      <c r="AB29" s="92" t="s">
        <v>1264</v>
      </c>
      <c r="AC29" s="660"/>
      <c r="AD29" s="661"/>
      <c r="AE29" s="661"/>
      <c r="AF29" s="662"/>
      <c r="AG29" s="539">
        <v>354</v>
      </c>
      <c r="AH29" s="539">
        <f>+'[13]PAI SSLA'!P29</f>
        <v>747</v>
      </c>
      <c r="AI29" s="541">
        <f>+AG29/AH29</f>
        <v>0.47389558232931728</v>
      </c>
      <c r="AJ29" s="92" t="s">
        <v>1265</v>
      </c>
      <c r="AK29" s="660"/>
      <c r="AL29" s="661"/>
      <c r="AM29" s="661"/>
      <c r="AN29" s="662"/>
      <c r="AO29" s="539">
        <v>396</v>
      </c>
      <c r="AP29" s="539">
        <f>+'[14]PAI SSLA'!P29</f>
        <v>747</v>
      </c>
      <c r="AQ29" s="541">
        <f>+AO29/AP29</f>
        <v>0.53012048192771088</v>
      </c>
      <c r="AR29" s="92" t="s">
        <v>1266</v>
      </c>
      <c r="AS29" s="660"/>
      <c r="AT29" s="661"/>
      <c r="AU29" s="661"/>
      <c r="AV29" s="662"/>
    </row>
    <row r="30" spans="1:692" ht="90" customHeight="1" x14ac:dyDescent="0.25">
      <c r="A30" s="532" t="s">
        <v>43</v>
      </c>
      <c r="B30" s="532" t="s">
        <v>44</v>
      </c>
      <c r="C30" s="532" t="s">
        <v>45</v>
      </c>
      <c r="D30" s="532" t="s">
        <v>46</v>
      </c>
      <c r="E30" s="532" t="s">
        <v>71</v>
      </c>
      <c r="F30" s="532" t="s">
        <v>48</v>
      </c>
      <c r="G30" s="532" t="s">
        <v>49</v>
      </c>
      <c r="H30" s="532" t="s">
        <v>50</v>
      </c>
      <c r="I30" s="550" t="s">
        <v>78</v>
      </c>
      <c r="J30" s="527" t="s">
        <v>1190</v>
      </c>
      <c r="K30" s="527" t="s">
        <v>266</v>
      </c>
      <c r="L30" s="527" t="s">
        <v>273</v>
      </c>
      <c r="M30" s="527" t="s">
        <v>274</v>
      </c>
      <c r="N30" s="527" t="s">
        <v>74</v>
      </c>
      <c r="O30" s="527"/>
      <c r="P30" s="526">
        <v>1</v>
      </c>
      <c r="Q30" s="660"/>
      <c r="R30" s="661"/>
      <c r="S30" s="661"/>
      <c r="T30" s="661"/>
      <c r="U30" s="662"/>
      <c r="V30" s="709"/>
      <c r="W30" s="1009"/>
      <c r="X30" s="527" t="s">
        <v>269</v>
      </c>
      <c r="Y30" s="552">
        <f>+(675.52/3150)</f>
        <v>0.21445079365079364</v>
      </c>
      <c r="Z30" s="82">
        <f>+P30</f>
        <v>1</v>
      </c>
      <c r="AA30" s="552">
        <f>+Y30/Z30</f>
        <v>0.21445079365079364</v>
      </c>
      <c r="AB30" s="96" t="s">
        <v>1267</v>
      </c>
      <c r="AC30" s="660"/>
      <c r="AD30" s="661"/>
      <c r="AE30" s="661"/>
      <c r="AF30" s="662"/>
      <c r="AG30" s="552">
        <f>+(685.52*100/3150)%</f>
        <v>0.21762539682539683</v>
      </c>
      <c r="AH30" s="82">
        <f>+'[13]PAI SSLA'!P30</f>
        <v>1</v>
      </c>
      <c r="AI30" s="552">
        <f>+AG30/AH30</f>
        <v>0.21762539682539683</v>
      </c>
      <c r="AJ30" s="96" t="s">
        <v>1268</v>
      </c>
      <c r="AK30" s="660"/>
      <c r="AL30" s="661"/>
      <c r="AM30" s="661"/>
      <c r="AN30" s="662"/>
      <c r="AO30" s="552">
        <f>+(1131.34*100/3150)%</f>
        <v>0.35915555555555551</v>
      </c>
      <c r="AP30" s="82">
        <f>+'[14]PAI SSLA'!P30</f>
        <v>1</v>
      </c>
      <c r="AQ30" s="552">
        <f>+AO30/AP30</f>
        <v>0.35915555555555551</v>
      </c>
      <c r="AR30" s="96" t="s">
        <v>1269</v>
      </c>
      <c r="AS30" s="660"/>
      <c r="AT30" s="661"/>
      <c r="AU30" s="661"/>
      <c r="AV30" s="662"/>
    </row>
    <row r="31" spans="1:692" ht="72.75" customHeight="1" x14ac:dyDescent="0.25">
      <c r="A31" s="90" t="s">
        <v>43</v>
      </c>
      <c r="B31" s="90" t="s">
        <v>44</v>
      </c>
      <c r="C31" s="90" t="s">
        <v>45</v>
      </c>
      <c r="D31" s="90" t="s">
        <v>46</v>
      </c>
      <c r="E31" s="90" t="s">
        <v>71</v>
      </c>
      <c r="F31" s="90" t="s">
        <v>48</v>
      </c>
      <c r="G31" s="90" t="s">
        <v>49</v>
      </c>
      <c r="H31" s="90" t="s">
        <v>50</v>
      </c>
      <c r="I31" s="90" t="s">
        <v>78</v>
      </c>
      <c r="J31" s="524" t="s">
        <v>1190</v>
      </c>
      <c r="K31" s="524" t="s">
        <v>266</v>
      </c>
      <c r="L31" s="524" t="s">
        <v>278</v>
      </c>
      <c r="M31" s="524" t="s">
        <v>279</v>
      </c>
      <c r="N31" s="524" t="s">
        <v>56</v>
      </c>
      <c r="O31" s="524"/>
      <c r="P31" s="524">
        <v>171</v>
      </c>
      <c r="Q31" s="660"/>
      <c r="R31" s="661"/>
      <c r="S31" s="661"/>
      <c r="T31" s="661"/>
      <c r="U31" s="662"/>
      <c r="V31" s="709"/>
      <c r="W31" s="1009"/>
      <c r="X31" s="524" t="s">
        <v>269</v>
      </c>
      <c r="Y31" s="539">
        <v>80</v>
      </c>
      <c r="Z31" s="539">
        <f>+P31</f>
        <v>171</v>
      </c>
      <c r="AA31" s="541">
        <f>+Y31/Z31</f>
        <v>0.46783625730994149</v>
      </c>
      <c r="AB31" s="92" t="s">
        <v>1270</v>
      </c>
      <c r="AC31" s="660"/>
      <c r="AD31" s="661"/>
      <c r="AE31" s="661"/>
      <c r="AF31" s="662"/>
      <c r="AG31" s="539">
        <v>99</v>
      </c>
      <c r="AH31" s="539">
        <f>+'[13]PAI SSLA'!P31</f>
        <v>171</v>
      </c>
      <c r="AI31" s="541">
        <f>+AG31/AH31</f>
        <v>0.57894736842105265</v>
      </c>
      <c r="AJ31" s="92" t="s">
        <v>1271</v>
      </c>
      <c r="AK31" s="660"/>
      <c r="AL31" s="661"/>
      <c r="AM31" s="661"/>
      <c r="AN31" s="662"/>
      <c r="AO31" s="539">
        <v>105</v>
      </c>
      <c r="AP31" s="539">
        <f>+'[14]PAI SSLA'!P31</f>
        <v>171</v>
      </c>
      <c r="AQ31" s="541">
        <f>+AO31/AP31</f>
        <v>0.61403508771929827</v>
      </c>
      <c r="AR31" s="92" t="s">
        <v>1272</v>
      </c>
      <c r="AS31" s="660"/>
      <c r="AT31" s="661"/>
      <c r="AU31" s="661"/>
      <c r="AV31" s="662"/>
    </row>
    <row r="32" spans="1:692" s="21" customFormat="1" ht="70.5" customHeight="1" x14ac:dyDescent="0.25">
      <c r="A32" s="52"/>
      <c r="B32" s="52"/>
      <c r="C32" s="52"/>
      <c r="D32" s="52"/>
      <c r="E32" s="52"/>
      <c r="F32" s="52"/>
      <c r="G32" s="52"/>
      <c r="H32" s="52"/>
      <c r="I32" s="52"/>
      <c r="J32" s="52"/>
      <c r="K32" s="52"/>
      <c r="L32" s="52"/>
      <c r="M32" s="52"/>
      <c r="N32" s="52"/>
      <c r="O32" s="52"/>
      <c r="P32" s="53"/>
      <c r="Q32" s="52"/>
      <c r="R32" s="52"/>
      <c r="S32" s="53"/>
      <c r="T32" s="52"/>
      <c r="U32" s="52"/>
      <c r="V32" s="89"/>
      <c r="W32" s="1009"/>
      <c r="X32" s="52"/>
      <c r="Y32" s="685" t="s">
        <v>99</v>
      </c>
      <c r="Z32" s="685"/>
      <c r="AA32" s="57">
        <f>AVERAGE(AA29:AA31)</f>
        <v>0.33720144001234681</v>
      </c>
      <c r="AB32" s="97"/>
      <c r="AC32" s="685" t="s">
        <v>100</v>
      </c>
      <c r="AD32" s="685"/>
      <c r="AE32" s="57" t="s">
        <v>283</v>
      </c>
      <c r="AF32" s="58"/>
      <c r="AG32" s="685" t="s">
        <v>99</v>
      </c>
      <c r="AH32" s="685"/>
      <c r="AI32" s="57">
        <f>AVERAGE(AI29:AI31)</f>
        <v>0.42348944919192227</v>
      </c>
      <c r="AJ32" s="97"/>
      <c r="AK32" s="685" t="s">
        <v>100</v>
      </c>
      <c r="AL32" s="685"/>
      <c r="AM32" s="57" t="s">
        <v>283</v>
      </c>
      <c r="AN32" s="58"/>
      <c r="AO32" s="685" t="s">
        <v>99</v>
      </c>
      <c r="AP32" s="685"/>
      <c r="AQ32" s="57">
        <f>AVERAGE(AQ29:AQ31)</f>
        <v>0.50110370840085494</v>
      </c>
      <c r="AR32" s="97"/>
      <c r="AS32" s="685" t="s">
        <v>100</v>
      </c>
      <c r="AT32" s="685"/>
      <c r="AU32" s="57" t="s">
        <v>283</v>
      </c>
      <c r="AV32" s="58"/>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c r="IH32" s="20"/>
      <c r="II32" s="20"/>
      <c r="IJ32" s="20"/>
      <c r="IK32" s="20"/>
      <c r="IL32" s="20"/>
      <c r="IM32" s="20"/>
      <c r="IN32" s="20"/>
      <c r="IO32" s="20"/>
      <c r="IP32" s="20"/>
      <c r="IQ32" s="20"/>
      <c r="IR32" s="20"/>
      <c r="IS32" s="20"/>
      <c r="IT32" s="20"/>
      <c r="IU32" s="20"/>
      <c r="IV32" s="20"/>
      <c r="IW32" s="20"/>
      <c r="IX32" s="20"/>
      <c r="IY32" s="20"/>
      <c r="IZ32" s="20"/>
      <c r="JA32" s="20"/>
      <c r="JB32" s="20"/>
      <c r="JC32" s="20"/>
      <c r="JD32" s="20"/>
      <c r="JE32" s="20"/>
      <c r="JF32" s="20"/>
      <c r="JG32" s="20"/>
      <c r="JH32" s="20"/>
      <c r="JI32" s="20"/>
      <c r="JJ32" s="20"/>
      <c r="JK32" s="20"/>
      <c r="JL32" s="20"/>
      <c r="JM32" s="20"/>
      <c r="JN32" s="20"/>
      <c r="JO32" s="20"/>
      <c r="JP32" s="20"/>
      <c r="JQ32" s="20"/>
      <c r="JR32" s="20"/>
      <c r="JS32" s="20"/>
      <c r="JT32" s="20"/>
      <c r="JU32" s="20"/>
      <c r="JV32" s="20"/>
      <c r="JW32" s="20"/>
      <c r="JX32" s="20"/>
      <c r="JY32" s="20"/>
      <c r="JZ32" s="20"/>
      <c r="KA32" s="20"/>
      <c r="KB32" s="20"/>
      <c r="KC32" s="20"/>
      <c r="KD32" s="20"/>
      <c r="KE32" s="20"/>
      <c r="KF32" s="20"/>
      <c r="KG32" s="20"/>
      <c r="KH32" s="20"/>
      <c r="KI32" s="20"/>
      <c r="KJ32" s="20"/>
      <c r="KK32" s="20"/>
      <c r="KL32" s="20"/>
      <c r="KM32" s="20"/>
      <c r="KN32" s="20"/>
      <c r="KO32" s="20"/>
      <c r="KP32" s="20"/>
      <c r="KQ32" s="20"/>
      <c r="KR32" s="20"/>
      <c r="KS32" s="20"/>
      <c r="KT32" s="20"/>
      <c r="KU32" s="20"/>
      <c r="KV32" s="20"/>
      <c r="KW32" s="20"/>
      <c r="KX32" s="20"/>
      <c r="KY32" s="20"/>
      <c r="KZ32" s="20"/>
      <c r="LA32" s="20"/>
      <c r="LB32" s="20"/>
      <c r="LC32" s="20"/>
      <c r="LD32" s="20"/>
      <c r="LE32" s="20"/>
      <c r="LF32" s="20"/>
      <c r="LG32" s="20"/>
      <c r="LH32" s="20"/>
      <c r="LI32" s="20"/>
      <c r="LJ32" s="20"/>
      <c r="LK32" s="20"/>
      <c r="LL32" s="20"/>
      <c r="LM32" s="20"/>
      <c r="LN32" s="20"/>
      <c r="LO32" s="20"/>
      <c r="LP32" s="20"/>
      <c r="LQ32" s="20"/>
      <c r="LR32" s="20"/>
      <c r="LS32" s="20"/>
      <c r="LT32" s="20"/>
      <c r="LU32" s="20"/>
      <c r="LV32" s="20"/>
      <c r="LW32" s="20"/>
      <c r="LX32" s="20"/>
      <c r="LY32" s="20"/>
      <c r="LZ32" s="20"/>
      <c r="MA32" s="20"/>
      <c r="MB32" s="20"/>
      <c r="MC32" s="20"/>
      <c r="MD32" s="20"/>
      <c r="ME32" s="20"/>
      <c r="MF32" s="20"/>
      <c r="MG32" s="20"/>
      <c r="MH32" s="20"/>
      <c r="MI32" s="20"/>
      <c r="MJ32" s="20"/>
      <c r="MK32" s="20"/>
      <c r="ML32" s="20"/>
      <c r="MM32" s="20"/>
      <c r="MN32" s="20"/>
      <c r="MO32" s="20"/>
      <c r="MP32" s="20"/>
      <c r="MQ32" s="20"/>
      <c r="MR32" s="20"/>
      <c r="MS32" s="20"/>
      <c r="MT32" s="20"/>
      <c r="MU32" s="20"/>
      <c r="MV32" s="20"/>
      <c r="MW32" s="20"/>
      <c r="MX32" s="20"/>
      <c r="MY32" s="20"/>
      <c r="MZ32" s="20"/>
      <c r="NA32" s="20"/>
      <c r="NB32" s="20"/>
      <c r="NC32" s="20"/>
      <c r="ND32" s="20"/>
      <c r="NE32" s="20"/>
      <c r="NF32" s="20"/>
      <c r="NG32" s="20"/>
      <c r="NH32" s="20"/>
      <c r="NI32" s="20"/>
      <c r="NJ32" s="20"/>
      <c r="NK32" s="20"/>
      <c r="NL32" s="20"/>
      <c r="NM32" s="20"/>
      <c r="NN32" s="20"/>
      <c r="NO32" s="20"/>
      <c r="NP32" s="20"/>
      <c r="NQ32" s="20"/>
      <c r="NR32" s="20"/>
      <c r="NS32" s="20"/>
      <c r="NT32" s="20"/>
      <c r="NU32" s="20"/>
      <c r="NV32" s="20"/>
      <c r="NW32" s="20"/>
      <c r="NX32" s="20"/>
      <c r="NY32" s="20"/>
      <c r="NZ32" s="20"/>
      <c r="OA32" s="20"/>
      <c r="OB32" s="20"/>
      <c r="OC32" s="20"/>
      <c r="OD32" s="20"/>
      <c r="OE32" s="20"/>
      <c r="OF32" s="20"/>
      <c r="OG32" s="20"/>
      <c r="OH32" s="20"/>
      <c r="OI32" s="20"/>
      <c r="OJ32" s="20"/>
      <c r="OK32" s="20"/>
      <c r="OL32" s="20"/>
      <c r="OM32" s="20"/>
      <c r="ON32" s="20"/>
      <c r="OO32" s="20"/>
      <c r="OP32" s="20"/>
      <c r="OQ32" s="20"/>
      <c r="OR32" s="20"/>
      <c r="OS32" s="20"/>
      <c r="OT32" s="20"/>
      <c r="OU32" s="20"/>
      <c r="OV32" s="20"/>
      <c r="OW32" s="20"/>
      <c r="OX32" s="20"/>
      <c r="OY32" s="20"/>
      <c r="OZ32" s="20"/>
      <c r="PA32" s="20"/>
      <c r="PB32" s="20"/>
      <c r="PC32" s="20"/>
      <c r="PD32" s="20"/>
      <c r="PE32" s="20"/>
      <c r="PF32" s="20"/>
      <c r="PG32" s="20"/>
      <c r="PH32" s="20"/>
      <c r="PI32" s="20"/>
      <c r="PJ32" s="20"/>
      <c r="PK32" s="20"/>
      <c r="PL32" s="20"/>
      <c r="PM32" s="20"/>
      <c r="PN32" s="20"/>
      <c r="PO32" s="20"/>
      <c r="PP32" s="20"/>
      <c r="PQ32" s="20"/>
      <c r="PR32" s="20"/>
      <c r="PS32" s="20"/>
      <c r="PT32" s="20"/>
      <c r="PU32" s="20"/>
      <c r="PV32" s="20"/>
      <c r="PW32" s="20"/>
      <c r="PX32" s="20"/>
      <c r="PY32" s="20"/>
      <c r="PZ32" s="20"/>
      <c r="QA32" s="20"/>
      <c r="QB32" s="20"/>
      <c r="QC32" s="20"/>
      <c r="QD32" s="20"/>
      <c r="QE32" s="20"/>
      <c r="QF32" s="20"/>
      <c r="QG32" s="20"/>
      <c r="QH32" s="20"/>
      <c r="QI32" s="20"/>
      <c r="QJ32" s="20"/>
      <c r="QK32" s="20"/>
      <c r="QL32" s="20"/>
      <c r="QM32" s="20"/>
      <c r="QN32" s="20"/>
      <c r="QO32" s="20"/>
      <c r="QP32" s="20"/>
      <c r="QQ32" s="20"/>
      <c r="QR32" s="20"/>
      <c r="QS32" s="20"/>
      <c r="QT32" s="20"/>
      <c r="QU32" s="20"/>
      <c r="QV32" s="20"/>
      <c r="QW32" s="20"/>
      <c r="QX32" s="20"/>
      <c r="QY32" s="20"/>
      <c r="QZ32" s="20"/>
      <c r="RA32" s="20"/>
      <c r="RB32" s="20"/>
      <c r="RC32" s="20"/>
      <c r="RD32" s="20"/>
      <c r="RE32" s="20"/>
      <c r="RF32" s="20"/>
      <c r="RG32" s="20"/>
      <c r="RH32" s="20"/>
      <c r="RI32" s="20"/>
      <c r="RJ32" s="20"/>
      <c r="RK32" s="20"/>
      <c r="RL32" s="20"/>
      <c r="RM32" s="20"/>
      <c r="RN32" s="20"/>
      <c r="RO32" s="20"/>
      <c r="RP32" s="20"/>
      <c r="RQ32" s="20"/>
      <c r="RR32" s="20"/>
      <c r="RS32" s="20"/>
      <c r="RT32" s="20"/>
      <c r="RU32" s="20"/>
      <c r="RV32" s="20"/>
      <c r="RW32" s="20"/>
      <c r="RX32" s="20"/>
      <c r="RY32" s="20"/>
      <c r="RZ32" s="20"/>
      <c r="SA32" s="20"/>
      <c r="SB32" s="20"/>
      <c r="SC32" s="20"/>
      <c r="SD32" s="20"/>
      <c r="SE32" s="20"/>
      <c r="SF32" s="20"/>
      <c r="SG32" s="20"/>
      <c r="SH32" s="20"/>
      <c r="SI32" s="20"/>
      <c r="SJ32" s="20"/>
      <c r="SK32" s="20"/>
      <c r="SL32" s="20"/>
      <c r="SM32" s="20"/>
      <c r="SN32" s="20"/>
      <c r="SO32" s="20"/>
      <c r="SP32" s="20"/>
      <c r="SQ32" s="20"/>
      <c r="SR32" s="20"/>
      <c r="SS32" s="20"/>
      <c r="ST32" s="20"/>
      <c r="SU32" s="20"/>
      <c r="SV32" s="20"/>
      <c r="SW32" s="20"/>
      <c r="SX32" s="20"/>
      <c r="SY32" s="20"/>
      <c r="SZ32" s="20"/>
      <c r="TA32" s="20"/>
      <c r="TB32" s="20"/>
      <c r="TC32" s="20"/>
      <c r="TD32" s="20"/>
      <c r="TE32" s="20"/>
      <c r="TF32" s="20"/>
      <c r="TG32" s="20"/>
      <c r="TH32" s="20"/>
      <c r="TI32" s="20"/>
      <c r="TJ32" s="20"/>
      <c r="TK32" s="20"/>
      <c r="TL32" s="20"/>
      <c r="TM32" s="20"/>
      <c r="TN32" s="20"/>
      <c r="TO32" s="20"/>
      <c r="TP32" s="20"/>
      <c r="TQ32" s="20"/>
      <c r="TR32" s="20"/>
      <c r="TS32" s="20"/>
      <c r="TT32" s="20"/>
      <c r="TU32" s="20"/>
      <c r="TV32" s="20"/>
      <c r="TW32" s="20"/>
      <c r="TX32" s="20"/>
      <c r="TY32" s="20"/>
      <c r="TZ32" s="20"/>
      <c r="UA32" s="20"/>
      <c r="UB32" s="20"/>
      <c r="UC32" s="20"/>
      <c r="UD32" s="20"/>
      <c r="UE32" s="20"/>
      <c r="UF32" s="20"/>
      <c r="UG32" s="20"/>
      <c r="UH32" s="20"/>
      <c r="UI32" s="20"/>
      <c r="UJ32" s="20"/>
      <c r="UK32" s="20"/>
      <c r="UL32" s="20"/>
      <c r="UM32" s="20"/>
      <c r="UN32" s="20"/>
      <c r="UO32" s="20"/>
      <c r="UP32" s="20"/>
      <c r="UQ32" s="20"/>
      <c r="UR32" s="20"/>
      <c r="US32" s="20"/>
      <c r="UT32" s="20"/>
      <c r="UU32" s="20"/>
      <c r="UV32" s="20"/>
      <c r="UW32" s="20"/>
      <c r="UX32" s="20"/>
      <c r="UY32" s="20"/>
      <c r="UZ32" s="20"/>
      <c r="VA32" s="20"/>
      <c r="VB32" s="20"/>
      <c r="VC32" s="20"/>
      <c r="VD32" s="20"/>
      <c r="VE32" s="20"/>
      <c r="VF32" s="20"/>
      <c r="VG32" s="20"/>
      <c r="VH32" s="20"/>
      <c r="VI32" s="20"/>
      <c r="VJ32" s="20"/>
      <c r="VK32" s="20"/>
      <c r="VL32" s="20"/>
      <c r="VM32" s="20"/>
      <c r="VN32" s="20"/>
      <c r="VO32" s="20"/>
      <c r="VP32" s="20"/>
      <c r="VQ32" s="20"/>
      <c r="VR32" s="20"/>
      <c r="VS32" s="20"/>
      <c r="VT32" s="20"/>
      <c r="VU32" s="20"/>
      <c r="VV32" s="20"/>
      <c r="VW32" s="20"/>
      <c r="VX32" s="20"/>
      <c r="VY32" s="20"/>
      <c r="VZ32" s="20"/>
      <c r="WA32" s="20"/>
      <c r="WB32" s="20"/>
      <c r="WC32" s="20"/>
      <c r="WD32" s="20"/>
      <c r="WE32" s="20"/>
      <c r="WF32" s="20"/>
      <c r="WG32" s="20"/>
      <c r="WH32" s="20"/>
      <c r="WI32" s="20"/>
      <c r="WJ32" s="20"/>
      <c r="WK32" s="20"/>
      <c r="WL32" s="20"/>
      <c r="WM32" s="20"/>
      <c r="WN32" s="20"/>
      <c r="WO32" s="20"/>
      <c r="WP32" s="20"/>
      <c r="WQ32" s="20"/>
      <c r="WR32" s="20"/>
      <c r="WS32" s="20"/>
      <c r="WT32" s="20"/>
      <c r="WU32" s="20"/>
      <c r="WV32" s="20"/>
      <c r="WW32" s="20"/>
      <c r="WX32" s="20"/>
      <c r="WY32" s="20"/>
      <c r="WZ32" s="20"/>
      <c r="XA32" s="20"/>
      <c r="XB32" s="20"/>
      <c r="XC32" s="20"/>
      <c r="XD32" s="20"/>
      <c r="XE32" s="20"/>
      <c r="XF32" s="20"/>
      <c r="XG32" s="20"/>
      <c r="XH32" s="20"/>
      <c r="XI32" s="20"/>
      <c r="XJ32" s="20"/>
      <c r="XK32" s="20"/>
      <c r="XL32" s="20"/>
      <c r="XM32" s="20"/>
      <c r="XN32" s="20"/>
      <c r="XO32" s="20"/>
      <c r="XP32" s="20"/>
      <c r="XQ32" s="20"/>
      <c r="XR32" s="20"/>
      <c r="XS32" s="20"/>
      <c r="XT32" s="20"/>
      <c r="XU32" s="20"/>
      <c r="XV32" s="20"/>
      <c r="XW32" s="20"/>
      <c r="XX32" s="20"/>
      <c r="XY32" s="20"/>
      <c r="XZ32" s="20"/>
      <c r="YA32" s="20"/>
      <c r="YB32" s="20"/>
      <c r="YC32" s="20"/>
      <c r="YD32" s="20"/>
      <c r="YE32" s="20"/>
      <c r="YF32" s="20"/>
      <c r="YG32" s="20"/>
      <c r="YH32" s="20"/>
      <c r="YI32" s="20"/>
      <c r="YJ32" s="20"/>
      <c r="YK32" s="20"/>
      <c r="YL32" s="20"/>
      <c r="YM32" s="20"/>
      <c r="YN32" s="20"/>
      <c r="YO32" s="20"/>
      <c r="YP32" s="20"/>
      <c r="YQ32" s="20"/>
      <c r="YR32" s="20"/>
      <c r="YS32" s="20"/>
      <c r="YT32" s="20"/>
      <c r="YU32" s="20"/>
      <c r="YV32" s="20"/>
      <c r="YW32" s="20"/>
      <c r="YX32" s="20"/>
      <c r="YY32" s="20"/>
      <c r="YZ32" s="20"/>
      <c r="ZA32" s="20"/>
      <c r="ZB32" s="20"/>
      <c r="ZC32" s="20"/>
      <c r="ZD32" s="20"/>
      <c r="ZE32" s="20"/>
      <c r="ZF32" s="20"/>
      <c r="ZG32" s="20"/>
      <c r="ZH32" s="20"/>
      <c r="ZI32" s="20"/>
      <c r="ZJ32" s="20"/>
      <c r="ZK32" s="20"/>
      <c r="ZL32" s="20"/>
      <c r="ZM32" s="20"/>
      <c r="ZN32" s="20"/>
      <c r="ZO32" s="20"/>
      <c r="ZP32" s="20"/>
    </row>
    <row r="33" spans="1:692" ht="67.5" customHeight="1" x14ac:dyDescent="0.25">
      <c r="A33" s="532" t="s">
        <v>43</v>
      </c>
      <c r="B33" s="532" t="s">
        <v>44</v>
      </c>
      <c r="C33" s="532" t="s">
        <v>45</v>
      </c>
      <c r="D33" s="532" t="s">
        <v>46</v>
      </c>
      <c r="E33" s="532" t="s">
        <v>71</v>
      </c>
      <c r="F33" s="532" t="s">
        <v>48</v>
      </c>
      <c r="G33" s="532" t="s">
        <v>49</v>
      </c>
      <c r="H33" s="532" t="s">
        <v>50</v>
      </c>
      <c r="I33" s="532" t="s">
        <v>78</v>
      </c>
      <c r="J33" s="527" t="s">
        <v>1190</v>
      </c>
      <c r="K33" s="532" t="s">
        <v>284</v>
      </c>
      <c r="L33" s="532" t="s">
        <v>285</v>
      </c>
      <c r="M33" s="532" t="s">
        <v>286</v>
      </c>
      <c r="N33" s="532" t="s">
        <v>56</v>
      </c>
      <c r="O33" s="532"/>
      <c r="P33" s="532">
        <v>100</v>
      </c>
      <c r="Q33" s="532" t="s">
        <v>287</v>
      </c>
      <c r="R33" s="532" t="s">
        <v>288</v>
      </c>
      <c r="S33" s="532" t="s">
        <v>56</v>
      </c>
      <c r="T33" s="532"/>
      <c r="U33" s="532">
        <v>359</v>
      </c>
      <c r="V33" s="1016">
        <v>72858666</v>
      </c>
      <c r="W33" s="1009"/>
      <c r="X33" s="101" t="s">
        <v>289</v>
      </c>
      <c r="Y33" s="101">
        <v>0</v>
      </c>
      <c r="Z33" s="101">
        <f>+P33</f>
        <v>100</v>
      </c>
      <c r="AA33" s="102">
        <f>Y33/Z33</f>
        <v>0</v>
      </c>
      <c r="AB33" s="103" t="s">
        <v>1273</v>
      </c>
      <c r="AC33" s="101">
        <v>148</v>
      </c>
      <c r="AD33" s="101">
        <f>+U33</f>
        <v>359</v>
      </c>
      <c r="AE33" s="102">
        <f>+AC33/AD33</f>
        <v>0.41225626740947074</v>
      </c>
      <c r="AF33" s="101" t="s">
        <v>1274</v>
      </c>
      <c r="AG33" s="599">
        <v>0</v>
      </c>
      <c r="AH33" s="599">
        <v>100</v>
      </c>
      <c r="AI33" s="102">
        <f>AG33/AH33</f>
        <v>0</v>
      </c>
      <c r="AJ33" s="103" t="s">
        <v>1275</v>
      </c>
      <c r="AK33" s="101">
        <v>208</v>
      </c>
      <c r="AL33" s="101">
        <f>+'[13]PAI SSLA'!U33</f>
        <v>359</v>
      </c>
      <c r="AM33" s="102">
        <f>+AK33/AL33</f>
        <v>0.57938718662952648</v>
      </c>
      <c r="AN33" s="101" t="s">
        <v>1276</v>
      </c>
      <c r="AO33" s="101">
        <v>0</v>
      </c>
      <c r="AP33" s="101">
        <f>+'[14]PAI SSLA'!P33</f>
        <v>100</v>
      </c>
      <c r="AQ33" s="102">
        <f>AO33/AP33</f>
        <v>0</v>
      </c>
      <c r="AR33" s="103" t="s">
        <v>1277</v>
      </c>
      <c r="AS33" s="101">
        <v>245</v>
      </c>
      <c r="AT33" s="101">
        <f>+'[14]PAI SSLA'!U33</f>
        <v>359</v>
      </c>
      <c r="AU33" s="102">
        <f>+AS33/AT33</f>
        <v>0.68245125348189417</v>
      </c>
      <c r="AV33" s="101" t="s">
        <v>1278</v>
      </c>
    </row>
    <row r="34" spans="1:692" ht="78" customHeight="1" x14ac:dyDescent="0.25">
      <c r="A34" s="532" t="s">
        <v>43</v>
      </c>
      <c r="B34" s="532" t="s">
        <v>44</v>
      </c>
      <c r="C34" s="532" t="s">
        <v>45</v>
      </c>
      <c r="D34" s="532" t="s">
        <v>46</v>
      </c>
      <c r="E34" s="532" t="s">
        <v>71</v>
      </c>
      <c r="F34" s="532" t="s">
        <v>48</v>
      </c>
      <c r="G34" s="532" t="s">
        <v>49</v>
      </c>
      <c r="H34" s="532" t="s">
        <v>50</v>
      </c>
      <c r="I34" s="532" t="s">
        <v>78</v>
      </c>
      <c r="J34" s="527" t="s">
        <v>1190</v>
      </c>
      <c r="K34" s="532" t="s">
        <v>284</v>
      </c>
      <c r="L34" s="532" t="s">
        <v>301</v>
      </c>
      <c r="M34" s="532" t="s">
        <v>302</v>
      </c>
      <c r="N34" s="532" t="s">
        <v>56</v>
      </c>
      <c r="O34" s="532">
        <v>14</v>
      </c>
      <c r="P34" s="532">
        <v>14</v>
      </c>
      <c r="Q34" s="660"/>
      <c r="R34" s="661"/>
      <c r="S34" s="661"/>
      <c r="T34" s="661"/>
      <c r="U34" s="662"/>
      <c r="V34" s="1017"/>
      <c r="W34" s="1009"/>
      <c r="X34" s="101" t="s">
        <v>289</v>
      </c>
      <c r="Y34" s="101">
        <v>1</v>
      </c>
      <c r="Z34" s="101">
        <f>+P34</f>
        <v>14</v>
      </c>
      <c r="AA34" s="102">
        <f>Y34/Z34</f>
        <v>7.1428571428571425E-2</v>
      </c>
      <c r="AB34" s="103" t="s">
        <v>1279</v>
      </c>
      <c r="AC34" s="682"/>
      <c r="AD34" s="683"/>
      <c r="AE34" s="683"/>
      <c r="AF34" s="684"/>
      <c r="AG34" s="599">
        <v>1</v>
      </c>
      <c r="AH34" s="599">
        <v>14</v>
      </c>
      <c r="AI34" s="102">
        <f>AG34/AH34</f>
        <v>7.1428571428571425E-2</v>
      </c>
      <c r="AJ34" s="103" t="s">
        <v>1280</v>
      </c>
      <c r="AK34" s="682"/>
      <c r="AL34" s="683"/>
      <c r="AM34" s="683"/>
      <c r="AN34" s="684"/>
      <c r="AO34" s="101">
        <v>5</v>
      </c>
      <c r="AP34" s="101">
        <f>+'[14]PAI SSLA'!P34</f>
        <v>14</v>
      </c>
      <c r="AQ34" s="102">
        <f>AO34/AP34</f>
        <v>0.35714285714285715</v>
      </c>
      <c r="AR34" s="103" t="s">
        <v>1281</v>
      </c>
      <c r="AS34" s="682"/>
      <c r="AT34" s="683"/>
      <c r="AU34" s="683"/>
      <c r="AV34" s="684"/>
    </row>
    <row r="35" spans="1:692" s="21" customFormat="1" ht="70.5" customHeight="1" x14ac:dyDescent="0.25">
      <c r="A35" s="52"/>
      <c r="B35" s="52"/>
      <c r="C35" s="52"/>
      <c r="D35" s="52"/>
      <c r="E35" s="52"/>
      <c r="F35" s="52"/>
      <c r="G35" s="52"/>
      <c r="H35" s="52"/>
      <c r="I35" s="52"/>
      <c r="J35" s="52"/>
      <c r="K35" s="52"/>
      <c r="L35" s="52"/>
      <c r="M35" s="52"/>
      <c r="N35" s="52"/>
      <c r="O35" s="52"/>
      <c r="P35" s="53"/>
      <c r="Q35" s="52"/>
      <c r="R35" s="52"/>
      <c r="S35" s="53"/>
      <c r="T35" s="52"/>
      <c r="U35" s="52"/>
      <c r="V35" s="89"/>
      <c r="W35" s="1009"/>
      <c r="X35" s="52"/>
      <c r="Y35" s="657" t="s">
        <v>99</v>
      </c>
      <c r="Z35" s="657"/>
      <c r="AA35" s="55">
        <f>AVERAGE(AA33:AA34)</f>
        <v>3.5714285714285712E-2</v>
      </c>
      <c r="AB35" s="56"/>
      <c r="AC35" s="657" t="s">
        <v>100</v>
      </c>
      <c r="AD35" s="657"/>
      <c r="AE35" s="55">
        <f>AVERAGE(AE33)</f>
        <v>0.41225626740947074</v>
      </c>
      <c r="AF35" s="58"/>
      <c r="AG35" s="657" t="s">
        <v>99</v>
      </c>
      <c r="AH35" s="657"/>
      <c r="AI35" s="55">
        <f>AVERAGE(AI33:AI34)</f>
        <v>3.5714285714285712E-2</v>
      </c>
      <c r="AJ35" s="56"/>
      <c r="AK35" s="657" t="s">
        <v>100</v>
      </c>
      <c r="AL35" s="657"/>
      <c r="AM35" s="55">
        <f>AVERAGE(AM33)</f>
        <v>0.57938718662952648</v>
      </c>
      <c r="AN35" s="58"/>
      <c r="AO35" s="657" t="s">
        <v>99</v>
      </c>
      <c r="AP35" s="657"/>
      <c r="AQ35" s="55">
        <f>AVERAGE(AQ33:AQ34)</f>
        <v>0.17857142857142858</v>
      </c>
      <c r="AR35" s="56"/>
      <c r="AS35" s="657" t="s">
        <v>100</v>
      </c>
      <c r="AT35" s="657"/>
      <c r="AU35" s="55">
        <f>AVERAGE(AU33)</f>
        <v>0.68245125348189417</v>
      </c>
      <c r="AV35" s="58"/>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c r="IH35" s="20"/>
      <c r="II35" s="20"/>
      <c r="IJ35" s="20"/>
      <c r="IK35" s="20"/>
      <c r="IL35" s="20"/>
      <c r="IM35" s="20"/>
      <c r="IN35" s="20"/>
      <c r="IO35" s="20"/>
      <c r="IP35" s="20"/>
      <c r="IQ35" s="20"/>
      <c r="IR35" s="20"/>
      <c r="IS35" s="20"/>
      <c r="IT35" s="20"/>
      <c r="IU35" s="20"/>
      <c r="IV35" s="20"/>
      <c r="IW35" s="20"/>
      <c r="IX35" s="20"/>
      <c r="IY35" s="20"/>
      <c r="IZ35" s="20"/>
      <c r="JA35" s="20"/>
      <c r="JB35" s="20"/>
      <c r="JC35" s="20"/>
      <c r="JD35" s="20"/>
      <c r="JE35" s="20"/>
      <c r="JF35" s="20"/>
      <c r="JG35" s="20"/>
      <c r="JH35" s="20"/>
      <c r="JI35" s="20"/>
      <c r="JJ35" s="20"/>
      <c r="JK35" s="20"/>
      <c r="JL35" s="20"/>
      <c r="JM35" s="20"/>
      <c r="JN35" s="20"/>
      <c r="JO35" s="20"/>
      <c r="JP35" s="20"/>
      <c r="JQ35" s="20"/>
      <c r="JR35" s="20"/>
      <c r="JS35" s="20"/>
      <c r="JT35" s="20"/>
      <c r="JU35" s="20"/>
      <c r="JV35" s="20"/>
      <c r="JW35" s="20"/>
      <c r="JX35" s="20"/>
      <c r="JY35" s="20"/>
      <c r="JZ35" s="20"/>
      <c r="KA35" s="20"/>
      <c r="KB35" s="20"/>
      <c r="KC35" s="20"/>
      <c r="KD35" s="20"/>
      <c r="KE35" s="20"/>
      <c r="KF35" s="20"/>
      <c r="KG35" s="20"/>
      <c r="KH35" s="20"/>
      <c r="KI35" s="20"/>
      <c r="KJ35" s="20"/>
      <c r="KK35" s="20"/>
      <c r="KL35" s="20"/>
      <c r="KM35" s="20"/>
      <c r="KN35" s="20"/>
      <c r="KO35" s="20"/>
      <c r="KP35" s="20"/>
      <c r="KQ35" s="20"/>
      <c r="KR35" s="20"/>
      <c r="KS35" s="20"/>
      <c r="KT35" s="20"/>
      <c r="KU35" s="20"/>
      <c r="KV35" s="20"/>
      <c r="KW35" s="20"/>
      <c r="KX35" s="20"/>
      <c r="KY35" s="20"/>
      <c r="KZ35" s="20"/>
      <c r="LA35" s="20"/>
      <c r="LB35" s="20"/>
      <c r="LC35" s="20"/>
      <c r="LD35" s="20"/>
      <c r="LE35" s="20"/>
      <c r="LF35" s="20"/>
      <c r="LG35" s="20"/>
      <c r="LH35" s="20"/>
      <c r="LI35" s="20"/>
      <c r="LJ35" s="20"/>
      <c r="LK35" s="20"/>
      <c r="LL35" s="20"/>
      <c r="LM35" s="20"/>
      <c r="LN35" s="20"/>
      <c r="LO35" s="20"/>
      <c r="LP35" s="20"/>
      <c r="LQ35" s="20"/>
      <c r="LR35" s="20"/>
      <c r="LS35" s="20"/>
      <c r="LT35" s="20"/>
      <c r="LU35" s="20"/>
      <c r="LV35" s="20"/>
      <c r="LW35" s="20"/>
      <c r="LX35" s="20"/>
      <c r="LY35" s="20"/>
      <c r="LZ35" s="20"/>
      <c r="MA35" s="20"/>
      <c r="MB35" s="20"/>
      <c r="MC35" s="20"/>
      <c r="MD35" s="20"/>
      <c r="ME35" s="20"/>
      <c r="MF35" s="20"/>
      <c r="MG35" s="20"/>
      <c r="MH35" s="20"/>
      <c r="MI35" s="20"/>
      <c r="MJ35" s="20"/>
      <c r="MK35" s="20"/>
      <c r="ML35" s="20"/>
      <c r="MM35" s="20"/>
      <c r="MN35" s="20"/>
      <c r="MO35" s="20"/>
      <c r="MP35" s="20"/>
      <c r="MQ35" s="20"/>
      <c r="MR35" s="20"/>
      <c r="MS35" s="20"/>
      <c r="MT35" s="20"/>
      <c r="MU35" s="20"/>
      <c r="MV35" s="20"/>
      <c r="MW35" s="20"/>
      <c r="MX35" s="20"/>
      <c r="MY35" s="20"/>
      <c r="MZ35" s="20"/>
      <c r="NA35" s="20"/>
      <c r="NB35" s="20"/>
      <c r="NC35" s="20"/>
      <c r="ND35" s="20"/>
      <c r="NE35" s="20"/>
      <c r="NF35" s="20"/>
      <c r="NG35" s="20"/>
      <c r="NH35" s="20"/>
      <c r="NI35" s="20"/>
      <c r="NJ35" s="20"/>
      <c r="NK35" s="20"/>
      <c r="NL35" s="20"/>
      <c r="NM35" s="20"/>
      <c r="NN35" s="20"/>
      <c r="NO35" s="20"/>
      <c r="NP35" s="20"/>
      <c r="NQ35" s="20"/>
      <c r="NR35" s="20"/>
      <c r="NS35" s="20"/>
      <c r="NT35" s="20"/>
      <c r="NU35" s="20"/>
      <c r="NV35" s="20"/>
      <c r="NW35" s="20"/>
      <c r="NX35" s="20"/>
      <c r="NY35" s="20"/>
      <c r="NZ35" s="20"/>
      <c r="OA35" s="20"/>
      <c r="OB35" s="20"/>
      <c r="OC35" s="20"/>
      <c r="OD35" s="20"/>
      <c r="OE35" s="20"/>
      <c r="OF35" s="20"/>
      <c r="OG35" s="20"/>
      <c r="OH35" s="20"/>
      <c r="OI35" s="20"/>
      <c r="OJ35" s="20"/>
      <c r="OK35" s="20"/>
      <c r="OL35" s="20"/>
      <c r="OM35" s="20"/>
      <c r="ON35" s="20"/>
      <c r="OO35" s="20"/>
      <c r="OP35" s="20"/>
      <c r="OQ35" s="20"/>
      <c r="OR35" s="20"/>
      <c r="OS35" s="20"/>
      <c r="OT35" s="20"/>
      <c r="OU35" s="20"/>
      <c r="OV35" s="20"/>
      <c r="OW35" s="20"/>
      <c r="OX35" s="20"/>
      <c r="OY35" s="20"/>
      <c r="OZ35" s="20"/>
      <c r="PA35" s="20"/>
      <c r="PB35" s="20"/>
      <c r="PC35" s="20"/>
      <c r="PD35" s="20"/>
      <c r="PE35" s="20"/>
      <c r="PF35" s="20"/>
      <c r="PG35" s="20"/>
      <c r="PH35" s="20"/>
      <c r="PI35" s="20"/>
      <c r="PJ35" s="20"/>
      <c r="PK35" s="20"/>
      <c r="PL35" s="20"/>
      <c r="PM35" s="20"/>
      <c r="PN35" s="20"/>
      <c r="PO35" s="20"/>
      <c r="PP35" s="20"/>
      <c r="PQ35" s="20"/>
      <c r="PR35" s="20"/>
      <c r="PS35" s="20"/>
      <c r="PT35" s="20"/>
      <c r="PU35" s="20"/>
      <c r="PV35" s="20"/>
      <c r="PW35" s="20"/>
      <c r="PX35" s="20"/>
      <c r="PY35" s="20"/>
      <c r="PZ35" s="20"/>
      <c r="QA35" s="20"/>
      <c r="QB35" s="20"/>
      <c r="QC35" s="20"/>
      <c r="QD35" s="20"/>
      <c r="QE35" s="20"/>
      <c r="QF35" s="20"/>
      <c r="QG35" s="20"/>
      <c r="QH35" s="20"/>
      <c r="QI35" s="20"/>
      <c r="QJ35" s="20"/>
      <c r="QK35" s="20"/>
      <c r="QL35" s="20"/>
      <c r="QM35" s="20"/>
      <c r="QN35" s="20"/>
      <c r="QO35" s="20"/>
      <c r="QP35" s="20"/>
      <c r="QQ35" s="20"/>
      <c r="QR35" s="20"/>
      <c r="QS35" s="20"/>
      <c r="QT35" s="20"/>
      <c r="QU35" s="20"/>
      <c r="QV35" s="20"/>
      <c r="QW35" s="20"/>
      <c r="QX35" s="20"/>
      <c r="QY35" s="20"/>
      <c r="QZ35" s="20"/>
      <c r="RA35" s="20"/>
      <c r="RB35" s="20"/>
      <c r="RC35" s="20"/>
      <c r="RD35" s="20"/>
      <c r="RE35" s="20"/>
      <c r="RF35" s="20"/>
      <c r="RG35" s="20"/>
      <c r="RH35" s="20"/>
      <c r="RI35" s="20"/>
      <c r="RJ35" s="20"/>
      <c r="RK35" s="20"/>
      <c r="RL35" s="20"/>
      <c r="RM35" s="20"/>
      <c r="RN35" s="20"/>
      <c r="RO35" s="20"/>
      <c r="RP35" s="20"/>
      <c r="RQ35" s="20"/>
      <c r="RR35" s="20"/>
      <c r="RS35" s="20"/>
      <c r="RT35" s="20"/>
      <c r="RU35" s="20"/>
      <c r="RV35" s="20"/>
      <c r="RW35" s="20"/>
      <c r="RX35" s="20"/>
      <c r="RY35" s="20"/>
      <c r="RZ35" s="20"/>
      <c r="SA35" s="20"/>
      <c r="SB35" s="20"/>
      <c r="SC35" s="20"/>
      <c r="SD35" s="20"/>
      <c r="SE35" s="20"/>
      <c r="SF35" s="20"/>
      <c r="SG35" s="20"/>
      <c r="SH35" s="20"/>
      <c r="SI35" s="20"/>
      <c r="SJ35" s="20"/>
      <c r="SK35" s="20"/>
      <c r="SL35" s="20"/>
      <c r="SM35" s="20"/>
      <c r="SN35" s="20"/>
      <c r="SO35" s="20"/>
      <c r="SP35" s="20"/>
      <c r="SQ35" s="20"/>
      <c r="SR35" s="20"/>
      <c r="SS35" s="20"/>
      <c r="ST35" s="20"/>
      <c r="SU35" s="20"/>
      <c r="SV35" s="20"/>
      <c r="SW35" s="20"/>
      <c r="SX35" s="20"/>
      <c r="SY35" s="20"/>
      <c r="SZ35" s="20"/>
      <c r="TA35" s="20"/>
      <c r="TB35" s="20"/>
      <c r="TC35" s="20"/>
      <c r="TD35" s="20"/>
      <c r="TE35" s="20"/>
      <c r="TF35" s="20"/>
      <c r="TG35" s="20"/>
      <c r="TH35" s="20"/>
      <c r="TI35" s="20"/>
      <c r="TJ35" s="20"/>
      <c r="TK35" s="20"/>
      <c r="TL35" s="20"/>
      <c r="TM35" s="20"/>
      <c r="TN35" s="20"/>
      <c r="TO35" s="20"/>
      <c r="TP35" s="20"/>
      <c r="TQ35" s="20"/>
      <c r="TR35" s="20"/>
      <c r="TS35" s="20"/>
      <c r="TT35" s="20"/>
      <c r="TU35" s="20"/>
      <c r="TV35" s="20"/>
      <c r="TW35" s="20"/>
      <c r="TX35" s="20"/>
      <c r="TY35" s="20"/>
      <c r="TZ35" s="20"/>
      <c r="UA35" s="20"/>
      <c r="UB35" s="20"/>
      <c r="UC35" s="20"/>
      <c r="UD35" s="20"/>
      <c r="UE35" s="20"/>
      <c r="UF35" s="20"/>
      <c r="UG35" s="20"/>
      <c r="UH35" s="20"/>
      <c r="UI35" s="20"/>
      <c r="UJ35" s="20"/>
      <c r="UK35" s="20"/>
      <c r="UL35" s="20"/>
      <c r="UM35" s="20"/>
      <c r="UN35" s="20"/>
      <c r="UO35" s="20"/>
      <c r="UP35" s="20"/>
      <c r="UQ35" s="20"/>
      <c r="UR35" s="20"/>
      <c r="US35" s="20"/>
      <c r="UT35" s="20"/>
      <c r="UU35" s="20"/>
      <c r="UV35" s="20"/>
      <c r="UW35" s="20"/>
      <c r="UX35" s="20"/>
      <c r="UY35" s="20"/>
      <c r="UZ35" s="20"/>
      <c r="VA35" s="20"/>
      <c r="VB35" s="20"/>
      <c r="VC35" s="20"/>
      <c r="VD35" s="20"/>
      <c r="VE35" s="20"/>
      <c r="VF35" s="20"/>
      <c r="VG35" s="20"/>
      <c r="VH35" s="20"/>
      <c r="VI35" s="20"/>
      <c r="VJ35" s="20"/>
      <c r="VK35" s="20"/>
      <c r="VL35" s="20"/>
      <c r="VM35" s="20"/>
      <c r="VN35" s="20"/>
      <c r="VO35" s="20"/>
      <c r="VP35" s="20"/>
      <c r="VQ35" s="20"/>
      <c r="VR35" s="20"/>
      <c r="VS35" s="20"/>
      <c r="VT35" s="20"/>
      <c r="VU35" s="20"/>
      <c r="VV35" s="20"/>
      <c r="VW35" s="20"/>
      <c r="VX35" s="20"/>
      <c r="VY35" s="20"/>
      <c r="VZ35" s="20"/>
      <c r="WA35" s="20"/>
      <c r="WB35" s="20"/>
      <c r="WC35" s="20"/>
      <c r="WD35" s="20"/>
      <c r="WE35" s="20"/>
      <c r="WF35" s="20"/>
      <c r="WG35" s="20"/>
      <c r="WH35" s="20"/>
      <c r="WI35" s="20"/>
      <c r="WJ35" s="20"/>
      <c r="WK35" s="20"/>
      <c r="WL35" s="20"/>
      <c r="WM35" s="20"/>
      <c r="WN35" s="20"/>
      <c r="WO35" s="20"/>
      <c r="WP35" s="20"/>
      <c r="WQ35" s="20"/>
      <c r="WR35" s="20"/>
      <c r="WS35" s="20"/>
      <c r="WT35" s="20"/>
      <c r="WU35" s="20"/>
      <c r="WV35" s="20"/>
      <c r="WW35" s="20"/>
      <c r="WX35" s="20"/>
      <c r="WY35" s="20"/>
      <c r="WZ35" s="20"/>
      <c r="XA35" s="20"/>
      <c r="XB35" s="20"/>
      <c r="XC35" s="20"/>
      <c r="XD35" s="20"/>
      <c r="XE35" s="20"/>
      <c r="XF35" s="20"/>
      <c r="XG35" s="20"/>
      <c r="XH35" s="20"/>
      <c r="XI35" s="20"/>
      <c r="XJ35" s="20"/>
      <c r="XK35" s="20"/>
      <c r="XL35" s="20"/>
      <c r="XM35" s="20"/>
      <c r="XN35" s="20"/>
      <c r="XO35" s="20"/>
      <c r="XP35" s="20"/>
      <c r="XQ35" s="20"/>
      <c r="XR35" s="20"/>
      <c r="XS35" s="20"/>
      <c r="XT35" s="20"/>
      <c r="XU35" s="20"/>
      <c r="XV35" s="20"/>
      <c r="XW35" s="20"/>
      <c r="XX35" s="20"/>
      <c r="XY35" s="20"/>
      <c r="XZ35" s="20"/>
      <c r="YA35" s="20"/>
      <c r="YB35" s="20"/>
      <c r="YC35" s="20"/>
      <c r="YD35" s="20"/>
      <c r="YE35" s="20"/>
      <c r="YF35" s="20"/>
      <c r="YG35" s="20"/>
      <c r="YH35" s="20"/>
      <c r="YI35" s="20"/>
      <c r="YJ35" s="20"/>
      <c r="YK35" s="20"/>
      <c r="YL35" s="20"/>
      <c r="YM35" s="20"/>
      <c r="YN35" s="20"/>
      <c r="YO35" s="20"/>
      <c r="YP35" s="20"/>
      <c r="YQ35" s="20"/>
      <c r="YR35" s="20"/>
      <c r="YS35" s="20"/>
      <c r="YT35" s="20"/>
      <c r="YU35" s="20"/>
      <c r="YV35" s="20"/>
      <c r="YW35" s="20"/>
      <c r="YX35" s="20"/>
      <c r="YY35" s="20"/>
      <c r="YZ35" s="20"/>
      <c r="ZA35" s="20"/>
      <c r="ZB35" s="20"/>
      <c r="ZC35" s="20"/>
      <c r="ZD35" s="20"/>
      <c r="ZE35" s="20"/>
      <c r="ZF35" s="20"/>
      <c r="ZG35" s="20"/>
      <c r="ZH35" s="20"/>
      <c r="ZI35" s="20"/>
      <c r="ZJ35" s="20"/>
      <c r="ZK35" s="20"/>
      <c r="ZL35" s="20"/>
      <c r="ZM35" s="20"/>
      <c r="ZN35" s="20"/>
      <c r="ZO35" s="20"/>
      <c r="ZP35" s="20"/>
    </row>
    <row r="36" spans="1:692" ht="66.75" customHeight="1" x14ac:dyDescent="0.25">
      <c r="A36" s="527" t="s">
        <v>43</v>
      </c>
      <c r="B36" s="527" t="s">
        <v>44</v>
      </c>
      <c r="C36" s="527" t="s">
        <v>45</v>
      </c>
      <c r="D36" s="527" t="s">
        <v>306</v>
      </c>
      <c r="E36" s="527" t="s">
        <v>71</v>
      </c>
      <c r="F36" s="527" t="s">
        <v>48</v>
      </c>
      <c r="G36" s="527" t="s">
        <v>49</v>
      </c>
      <c r="H36" s="527" t="s">
        <v>50</v>
      </c>
      <c r="I36" s="527" t="s">
        <v>78</v>
      </c>
      <c r="J36" s="527" t="s">
        <v>1190</v>
      </c>
      <c r="K36" s="527" t="s">
        <v>307</v>
      </c>
      <c r="L36" s="527" t="s">
        <v>313</v>
      </c>
      <c r="M36" s="527" t="s">
        <v>314</v>
      </c>
      <c r="N36" s="527" t="s">
        <v>56</v>
      </c>
      <c r="O36" s="527">
        <v>2800</v>
      </c>
      <c r="P36" s="527">
        <v>2800</v>
      </c>
      <c r="Q36" s="659"/>
      <c r="R36" s="659"/>
      <c r="S36" s="659"/>
      <c r="T36" s="659"/>
      <c r="U36" s="659"/>
      <c r="V36" s="709">
        <v>388708264</v>
      </c>
      <c r="W36" s="1009"/>
      <c r="X36" s="551" t="s">
        <v>1192</v>
      </c>
      <c r="Y36" s="551">
        <v>1622</v>
      </c>
      <c r="Z36" s="551">
        <f>+P36</f>
        <v>2800</v>
      </c>
      <c r="AA36" s="552">
        <f>+Y36/Z36</f>
        <v>0.57928571428571429</v>
      </c>
      <c r="AB36" s="96" t="s">
        <v>1282</v>
      </c>
      <c r="AC36" s="659"/>
      <c r="AD36" s="659"/>
      <c r="AE36" s="659"/>
      <c r="AF36" s="659"/>
      <c r="AG36" s="551">
        <v>2064</v>
      </c>
      <c r="AH36" s="551">
        <f>+'[13]PAI SSLA'!P36</f>
        <v>2800</v>
      </c>
      <c r="AI36" s="552">
        <f>+AG36/AH36</f>
        <v>0.7371428571428571</v>
      </c>
      <c r="AJ36" s="96" t="s">
        <v>1283</v>
      </c>
      <c r="AK36" s="659"/>
      <c r="AL36" s="659"/>
      <c r="AM36" s="659"/>
      <c r="AN36" s="659"/>
      <c r="AO36" s="551">
        <v>2504</v>
      </c>
      <c r="AP36" s="551">
        <f>+'[14]PAI SSLA'!P36</f>
        <v>2800</v>
      </c>
      <c r="AQ36" s="552">
        <f>+AO36/AP36</f>
        <v>0.89428571428571424</v>
      </c>
      <c r="AR36" s="96" t="s">
        <v>1284</v>
      </c>
      <c r="AS36" s="659"/>
      <c r="AT36" s="659"/>
      <c r="AU36" s="659"/>
      <c r="AV36" s="659"/>
    </row>
    <row r="37" spans="1:692" ht="51.75" customHeight="1" x14ac:dyDescent="0.25">
      <c r="A37" s="524" t="s">
        <v>43</v>
      </c>
      <c r="B37" s="524" t="s">
        <v>44</v>
      </c>
      <c r="C37" s="524" t="s">
        <v>45</v>
      </c>
      <c r="D37" s="524" t="s">
        <v>306</v>
      </c>
      <c r="E37" s="524" t="s">
        <v>71</v>
      </c>
      <c r="F37" s="524" t="s">
        <v>48</v>
      </c>
      <c r="G37" s="524" t="s">
        <v>49</v>
      </c>
      <c r="H37" s="524" t="s">
        <v>50</v>
      </c>
      <c r="I37" s="524" t="s">
        <v>78</v>
      </c>
      <c r="J37" s="524" t="s">
        <v>1190</v>
      </c>
      <c r="K37" s="524" t="s">
        <v>307</v>
      </c>
      <c r="L37" s="524" t="s">
        <v>318</v>
      </c>
      <c r="M37" s="524" t="s">
        <v>319</v>
      </c>
      <c r="N37" s="524" t="s">
        <v>56</v>
      </c>
      <c r="O37" s="524"/>
      <c r="P37" s="524">
        <v>1365</v>
      </c>
      <c r="Q37" s="659"/>
      <c r="R37" s="659"/>
      <c r="S37" s="659"/>
      <c r="T37" s="659"/>
      <c r="U37" s="659"/>
      <c r="V37" s="709"/>
      <c r="W37" s="1009"/>
      <c r="X37" s="600" t="s">
        <v>1192</v>
      </c>
      <c r="Y37" s="537">
        <v>180</v>
      </c>
      <c r="Z37" s="537">
        <f>+P37</f>
        <v>1365</v>
      </c>
      <c r="AA37" s="538">
        <f>+Y37/Z37</f>
        <v>0.13186813186813187</v>
      </c>
      <c r="AB37" s="92" t="s">
        <v>1285</v>
      </c>
      <c r="AC37" s="673"/>
      <c r="AD37" s="673"/>
      <c r="AE37" s="673"/>
      <c r="AF37" s="673"/>
      <c r="AG37" s="537">
        <v>263</v>
      </c>
      <c r="AH37" s="537">
        <f>+'[13]PAI SSLA'!P37</f>
        <v>1365</v>
      </c>
      <c r="AI37" s="538">
        <f>+AG37/AH37</f>
        <v>0.19267399267399268</v>
      </c>
      <c r="AJ37" s="92" t="s">
        <v>1286</v>
      </c>
      <c r="AK37" s="673"/>
      <c r="AL37" s="673"/>
      <c r="AM37" s="673"/>
      <c r="AN37" s="673"/>
      <c r="AO37" s="537">
        <v>0</v>
      </c>
      <c r="AP37" s="537">
        <f>+'[14]PAI SSLA'!P37</f>
        <v>1365</v>
      </c>
      <c r="AQ37" s="538">
        <f>+AO37/AP37</f>
        <v>0</v>
      </c>
      <c r="AR37" s="92" t="s">
        <v>1287</v>
      </c>
      <c r="AS37" s="673"/>
      <c r="AT37" s="673"/>
      <c r="AU37" s="673"/>
      <c r="AV37" s="673"/>
    </row>
    <row r="38" spans="1:692" ht="66.75" customHeight="1" x14ac:dyDescent="0.25">
      <c r="A38" s="527" t="s">
        <v>43</v>
      </c>
      <c r="B38" s="527" t="s">
        <v>44</v>
      </c>
      <c r="C38" s="527" t="s">
        <v>45</v>
      </c>
      <c r="D38" s="527" t="s">
        <v>306</v>
      </c>
      <c r="E38" s="527" t="s">
        <v>71</v>
      </c>
      <c r="F38" s="527" t="s">
        <v>48</v>
      </c>
      <c r="G38" s="527" t="s">
        <v>49</v>
      </c>
      <c r="H38" s="527" t="s">
        <v>50</v>
      </c>
      <c r="I38" s="527" t="s">
        <v>78</v>
      </c>
      <c r="J38" s="527" t="s">
        <v>1190</v>
      </c>
      <c r="K38" s="527" t="s">
        <v>307</v>
      </c>
      <c r="L38" s="527" t="s">
        <v>321</v>
      </c>
      <c r="M38" s="527" t="s">
        <v>322</v>
      </c>
      <c r="N38" s="527" t="s">
        <v>56</v>
      </c>
      <c r="O38" s="527"/>
      <c r="P38" s="527">
        <v>1365</v>
      </c>
      <c r="Q38" s="659"/>
      <c r="R38" s="659"/>
      <c r="S38" s="659"/>
      <c r="T38" s="659"/>
      <c r="U38" s="659"/>
      <c r="V38" s="709"/>
      <c r="W38" s="1009"/>
      <c r="X38" s="551" t="s">
        <v>1192</v>
      </c>
      <c r="Y38" s="537">
        <v>257</v>
      </c>
      <c r="Z38" s="551">
        <f>+P38</f>
        <v>1365</v>
      </c>
      <c r="AA38" s="552">
        <f>+Y38/Z38</f>
        <v>0.18827838827838828</v>
      </c>
      <c r="AB38" s="92" t="s">
        <v>1288</v>
      </c>
      <c r="AC38" s="659"/>
      <c r="AD38" s="659"/>
      <c r="AE38" s="659"/>
      <c r="AF38" s="659"/>
      <c r="AG38" s="537">
        <f>263+123</f>
        <v>386</v>
      </c>
      <c r="AH38" s="551">
        <f>+'[13]PAI SSLA'!P38</f>
        <v>1365</v>
      </c>
      <c r="AI38" s="552">
        <f>+AG38/AH38</f>
        <v>0.28278388278388278</v>
      </c>
      <c r="AJ38" s="92" t="s">
        <v>1289</v>
      </c>
      <c r="AK38" s="659"/>
      <c r="AL38" s="659"/>
      <c r="AM38" s="659"/>
      <c r="AN38" s="659"/>
      <c r="AO38" s="551">
        <v>446</v>
      </c>
      <c r="AP38" s="551">
        <f>+'[14]PAI SSLA'!P38</f>
        <v>1365</v>
      </c>
      <c r="AQ38" s="552">
        <f>+AO38/AP38</f>
        <v>0.32673992673992674</v>
      </c>
      <c r="AR38" s="96" t="s">
        <v>1290</v>
      </c>
      <c r="AS38" s="659"/>
      <c r="AT38" s="659"/>
      <c r="AU38" s="659"/>
      <c r="AV38" s="659"/>
    </row>
    <row r="39" spans="1:692" s="21" customFormat="1" ht="70.5" customHeight="1" x14ac:dyDescent="0.25">
      <c r="A39" s="52"/>
      <c r="B39" s="52"/>
      <c r="C39" s="52"/>
      <c r="D39" s="52"/>
      <c r="E39" s="52"/>
      <c r="F39" s="52"/>
      <c r="G39" s="52"/>
      <c r="H39" s="52"/>
      <c r="I39" s="52"/>
      <c r="J39" s="52"/>
      <c r="K39" s="52"/>
      <c r="L39" s="52"/>
      <c r="M39" s="52"/>
      <c r="N39" s="52"/>
      <c r="O39" s="52"/>
      <c r="P39" s="53"/>
      <c r="Q39" s="52"/>
      <c r="R39" s="52"/>
      <c r="S39" s="53"/>
      <c r="T39" s="52"/>
      <c r="U39" s="52"/>
      <c r="V39" s="89"/>
      <c r="W39" s="1009"/>
      <c r="X39" s="52"/>
      <c r="Y39" s="657" t="s">
        <v>99</v>
      </c>
      <c r="Z39" s="657"/>
      <c r="AA39" s="55">
        <f>AVERAGE(AA36,AA37,AA38)</f>
        <v>0.29981074481074482</v>
      </c>
      <c r="AB39" s="56"/>
      <c r="AC39" s="657" t="s">
        <v>100</v>
      </c>
      <c r="AD39" s="657"/>
      <c r="AE39" s="57" t="s">
        <v>283</v>
      </c>
      <c r="AF39" s="58"/>
      <c r="AG39" s="657" t="s">
        <v>99</v>
      </c>
      <c r="AH39" s="657"/>
      <c r="AI39" s="55">
        <f>AVERAGE(AI36,AI37,AI38)</f>
        <v>0.4042002442002442</v>
      </c>
      <c r="AJ39" s="56"/>
      <c r="AK39" s="657" t="s">
        <v>100</v>
      </c>
      <c r="AL39" s="657"/>
      <c r="AM39" s="57" t="s">
        <v>283</v>
      </c>
      <c r="AN39" s="58"/>
      <c r="AO39" s="657" t="s">
        <v>99</v>
      </c>
      <c r="AP39" s="657"/>
      <c r="AQ39" s="55">
        <f>AVERAGE(AQ36,AQ37,AQ38)</f>
        <v>0.40700854700854699</v>
      </c>
      <c r="AR39" s="56"/>
      <c r="AS39" s="657" t="s">
        <v>100</v>
      </c>
      <c r="AT39" s="657"/>
      <c r="AU39" s="57" t="s">
        <v>283</v>
      </c>
      <c r="AV39" s="58"/>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c r="IW39" s="20"/>
      <c r="IX39" s="20"/>
      <c r="IY39" s="20"/>
      <c r="IZ39" s="20"/>
      <c r="JA39" s="20"/>
      <c r="JB39" s="20"/>
      <c r="JC39" s="20"/>
      <c r="JD39" s="20"/>
      <c r="JE39" s="20"/>
      <c r="JF39" s="20"/>
      <c r="JG39" s="20"/>
      <c r="JH39" s="20"/>
      <c r="JI39" s="20"/>
      <c r="JJ39" s="20"/>
      <c r="JK39" s="20"/>
      <c r="JL39" s="20"/>
      <c r="JM39" s="20"/>
      <c r="JN39" s="20"/>
      <c r="JO39" s="20"/>
      <c r="JP39" s="20"/>
      <c r="JQ39" s="20"/>
      <c r="JR39" s="20"/>
      <c r="JS39" s="20"/>
      <c r="JT39" s="20"/>
      <c r="JU39" s="20"/>
      <c r="JV39" s="20"/>
      <c r="JW39" s="20"/>
      <c r="JX39" s="20"/>
      <c r="JY39" s="20"/>
      <c r="JZ39" s="20"/>
      <c r="KA39" s="20"/>
      <c r="KB39" s="20"/>
      <c r="KC39" s="20"/>
      <c r="KD39" s="20"/>
      <c r="KE39" s="20"/>
      <c r="KF39" s="20"/>
      <c r="KG39" s="20"/>
      <c r="KH39" s="20"/>
      <c r="KI39" s="20"/>
      <c r="KJ39" s="20"/>
      <c r="KK39" s="20"/>
      <c r="KL39" s="20"/>
      <c r="KM39" s="20"/>
      <c r="KN39" s="20"/>
      <c r="KO39" s="20"/>
      <c r="KP39" s="20"/>
      <c r="KQ39" s="20"/>
      <c r="KR39" s="20"/>
      <c r="KS39" s="20"/>
      <c r="KT39" s="20"/>
      <c r="KU39" s="20"/>
      <c r="KV39" s="20"/>
      <c r="KW39" s="20"/>
      <c r="KX39" s="20"/>
      <c r="KY39" s="20"/>
      <c r="KZ39" s="20"/>
      <c r="LA39" s="20"/>
      <c r="LB39" s="20"/>
      <c r="LC39" s="20"/>
      <c r="LD39" s="20"/>
      <c r="LE39" s="20"/>
      <c r="LF39" s="20"/>
      <c r="LG39" s="20"/>
      <c r="LH39" s="20"/>
      <c r="LI39" s="20"/>
      <c r="LJ39" s="20"/>
      <c r="LK39" s="20"/>
      <c r="LL39" s="20"/>
      <c r="LM39" s="20"/>
      <c r="LN39" s="20"/>
      <c r="LO39" s="20"/>
      <c r="LP39" s="20"/>
      <c r="LQ39" s="20"/>
      <c r="LR39" s="20"/>
      <c r="LS39" s="20"/>
      <c r="LT39" s="20"/>
      <c r="LU39" s="20"/>
      <c r="LV39" s="20"/>
      <c r="LW39" s="20"/>
      <c r="LX39" s="20"/>
      <c r="LY39" s="20"/>
      <c r="LZ39" s="20"/>
      <c r="MA39" s="20"/>
      <c r="MB39" s="20"/>
      <c r="MC39" s="20"/>
      <c r="MD39" s="20"/>
      <c r="ME39" s="20"/>
      <c r="MF39" s="20"/>
      <c r="MG39" s="20"/>
      <c r="MH39" s="20"/>
      <c r="MI39" s="20"/>
      <c r="MJ39" s="20"/>
      <c r="MK39" s="20"/>
      <c r="ML39" s="20"/>
      <c r="MM39" s="20"/>
      <c r="MN39" s="20"/>
      <c r="MO39" s="20"/>
      <c r="MP39" s="20"/>
      <c r="MQ39" s="20"/>
      <c r="MR39" s="20"/>
      <c r="MS39" s="20"/>
      <c r="MT39" s="20"/>
      <c r="MU39" s="20"/>
      <c r="MV39" s="20"/>
      <c r="MW39" s="20"/>
      <c r="MX39" s="20"/>
      <c r="MY39" s="20"/>
      <c r="MZ39" s="20"/>
      <c r="NA39" s="20"/>
      <c r="NB39" s="20"/>
      <c r="NC39" s="20"/>
      <c r="ND39" s="20"/>
      <c r="NE39" s="20"/>
      <c r="NF39" s="20"/>
      <c r="NG39" s="20"/>
      <c r="NH39" s="20"/>
      <c r="NI39" s="20"/>
      <c r="NJ39" s="20"/>
      <c r="NK39" s="20"/>
      <c r="NL39" s="20"/>
      <c r="NM39" s="20"/>
      <c r="NN39" s="20"/>
      <c r="NO39" s="20"/>
      <c r="NP39" s="20"/>
      <c r="NQ39" s="20"/>
      <c r="NR39" s="20"/>
      <c r="NS39" s="20"/>
      <c r="NT39" s="20"/>
      <c r="NU39" s="20"/>
      <c r="NV39" s="20"/>
      <c r="NW39" s="20"/>
      <c r="NX39" s="20"/>
      <c r="NY39" s="20"/>
      <c r="NZ39" s="20"/>
      <c r="OA39" s="20"/>
      <c r="OB39" s="20"/>
      <c r="OC39" s="20"/>
      <c r="OD39" s="20"/>
      <c r="OE39" s="20"/>
      <c r="OF39" s="20"/>
      <c r="OG39" s="20"/>
      <c r="OH39" s="20"/>
      <c r="OI39" s="20"/>
      <c r="OJ39" s="20"/>
      <c r="OK39" s="20"/>
      <c r="OL39" s="20"/>
      <c r="OM39" s="20"/>
      <c r="ON39" s="20"/>
      <c r="OO39" s="20"/>
      <c r="OP39" s="20"/>
      <c r="OQ39" s="20"/>
      <c r="OR39" s="20"/>
      <c r="OS39" s="20"/>
      <c r="OT39" s="20"/>
      <c r="OU39" s="20"/>
      <c r="OV39" s="20"/>
      <c r="OW39" s="20"/>
      <c r="OX39" s="20"/>
      <c r="OY39" s="20"/>
      <c r="OZ39" s="20"/>
      <c r="PA39" s="20"/>
      <c r="PB39" s="20"/>
      <c r="PC39" s="20"/>
      <c r="PD39" s="20"/>
      <c r="PE39" s="20"/>
      <c r="PF39" s="20"/>
      <c r="PG39" s="20"/>
      <c r="PH39" s="20"/>
      <c r="PI39" s="20"/>
      <c r="PJ39" s="20"/>
      <c r="PK39" s="20"/>
      <c r="PL39" s="20"/>
      <c r="PM39" s="20"/>
      <c r="PN39" s="20"/>
      <c r="PO39" s="20"/>
      <c r="PP39" s="20"/>
      <c r="PQ39" s="20"/>
      <c r="PR39" s="20"/>
      <c r="PS39" s="20"/>
      <c r="PT39" s="20"/>
      <c r="PU39" s="20"/>
      <c r="PV39" s="20"/>
      <c r="PW39" s="20"/>
      <c r="PX39" s="20"/>
      <c r="PY39" s="20"/>
      <c r="PZ39" s="20"/>
      <c r="QA39" s="20"/>
      <c r="QB39" s="20"/>
      <c r="QC39" s="20"/>
      <c r="QD39" s="20"/>
      <c r="QE39" s="20"/>
      <c r="QF39" s="20"/>
      <c r="QG39" s="20"/>
      <c r="QH39" s="20"/>
      <c r="QI39" s="20"/>
      <c r="QJ39" s="20"/>
      <c r="QK39" s="20"/>
      <c r="QL39" s="20"/>
      <c r="QM39" s="20"/>
      <c r="QN39" s="20"/>
      <c r="QO39" s="20"/>
      <c r="QP39" s="20"/>
      <c r="QQ39" s="20"/>
      <c r="QR39" s="20"/>
      <c r="QS39" s="20"/>
      <c r="QT39" s="20"/>
      <c r="QU39" s="20"/>
      <c r="QV39" s="20"/>
      <c r="QW39" s="20"/>
      <c r="QX39" s="20"/>
      <c r="QY39" s="20"/>
      <c r="QZ39" s="20"/>
      <c r="RA39" s="20"/>
      <c r="RB39" s="20"/>
      <c r="RC39" s="20"/>
      <c r="RD39" s="20"/>
      <c r="RE39" s="20"/>
      <c r="RF39" s="20"/>
      <c r="RG39" s="20"/>
      <c r="RH39" s="20"/>
      <c r="RI39" s="20"/>
      <c r="RJ39" s="20"/>
      <c r="RK39" s="20"/>
      <c r="RL39" s="20"/>
      <c r="RM39" s="20"/>
      <c r="RN39" s="20"/>
      <c r="RO39" s="20"/>
      <c r="RP39" s="20"/>
      <c r="RQ39" s="20"/>
      <c r="RR39" s="20"/>
      <c r="RS39" s="20"/>
      <c r="RT39" s="20"/>
      <c r="RU39" s="20"/>
      <c r="RV39" s="20"/>
      <c r="RW39" s="20"/>
      <c r="RX39" s="20"/>
      <c r="RY39" s="20"/>
      <c r="RZ39" s="20"/>
      <c r="SA39" s="20"/>
      <c r="SB39" s="20"/>
      <c r="SC39" s="20"/>
      <c r="SD39" s="20"/>
      <c r="SE39" s="20"/>
      <c r="SF39" s="20"/>
      <c r="SG39" s="20"/>
      <c r="SH39" s="20"/>
      <c r="SI39" s="20"/>
      <c r="SJ39" s="20"/>
      <c r="SK39" s="20"/>
      <c r="SL39" s="20"/>
      <c r="SM39" s="20"/>
      <c r="SN39" s="20"/>
      <c r="SO39" s="20"/>
      <c r="SP39" s="20"/>
      <c r="SQ39" s="20"/>
      <c r="SR39" s="20"/>
      <c r="SS39" s="20"/>
      <c r="ST39" s="20"/>
      <c r="SU39" s="20"/>
      <c r="SV39" s="20"/>
      <c r="SW39" s="20"/>
      <c r="SX39" s="20"/>
      <c r="SY39" s="20"/>
      <c r="SZ39" s="20"/>
      <c r="TA39" s="20"/>
      <c r="TB39" s="20"/>
      <c r="TC39" s="20"/>
      <c r="TD39" s="20"/>
      <c r="TE39" s="20"/>
      <c r="TF39" s="20"/>
      <c r="TG39" s="20"/>
      <c r="TH39" s="20"/>
      <c r="TI39" s="20"/>
      <c r="TJ39" s="20"/>
      <c r="TK39" s="20"/>
      <c r="TL39" s="20"/>
      <c r="TM39" s="20"/>
      <c r="TN39" s="20"/>
      <c r="TO39" s="20"/>
      <c r="TP39" s="20"/>
      <c r="TQ39" s="20"/>
      <c r="TR39" s="20"/>
      <c r="TS39" s="20"/>
      <c r="TT39" s="20"/>
      <c r="TU39" s="20"/>
      <c r="TV39" s="20"/>
      <c r="TW39" s="20"/>
      <c r="TX39" s="20"/>
      <c r="TY39" s="20"/>
      <c r="TZ39" s="20"/>
      <c r="UA39" s="20"/>
      <c r="UB39" s="20"/>
      <c r="UC39" s="20"/>
      <c r="UD39" s="20"/>
      <c r="UE39" s="20"/>
      <c r="UF39" s="20"/>
      <c r="UG39" s="20"/>
      <c r="UH39" s="20"/>
      <c r="UI39" s="20"/>
      <c r="UJ39" s="20"/>
      <c r="UK39" s="20"/>
      <c r="UL39" s="20"/>
      <c r="UM39" s="20"/>
      <c r="UN39" s="20"/>
      <c r="UO39" s="20"/>
      <c r="UP39" s="20"/>
      <c r="UQ39" s="20"/>
      <c r="UR39" s="20"/>
      <c r="US39" s="20"/>
      <c r="UT39" s="20"/>
      <c r="UU39" s="20"/>
      <c r="UV39" s="20"/>
      <c r="UW39" s="20"/>
      <c r="UX39" s="20"/>
      <c r="UY39" s="20"/>
      <c r="UZ39" s="20"/>
      <c r="VA39" s="20"/>
      <c r="VB39" s="20"/>
      <c r="VC39" s="20"/>
      <c r="VD39" s="20"/>
      <c r="VE39" s="20"/>
      <c r="VF39" s="20"/>
      <c r="VG39" s="20"/>
      <c r="VH39" s="20"/>
      <c r="VI39" s="20"/>
      <c r="VJ39" s="20"/>
      <c r="VK39" s="20"/>
      <c r="VL39" s="20"/>
      <c r="VM39" s="20"/>
      <c r="VN39" s="20"/>
      <c r="VO39" s="20"/>
      <c r="VP39" s="20"/>
      <c r="VQ39" s="20"/>
      <c r="VR39" s="20"/>
      <c r="VS39" s="20"/>
      <c r="VT39" s="20"/>
      <c r="VU39" s="20"/>
      <c r="VV39" s="20"/>
      <c r="VW39" s="20"/>
      <c r="VX39" s="20"/>
      <c r="VY39" s="20"/>
      <c r="VZ39" s="20"/>
      <c r="WA39" s="20"/>
      <c r="WB39" s="20"/>
      <c r="WC39" s="20"/>
      <c r="WD39" s="20"/>
      <c r="WE39" s="20"/>
      <c r="WF39" s="20"/>
      <c r="WG39" s="20"/>
      <c r="WH39" s="20"/>
      <c r="WI39" s="20"/>
      <c r="WJ39" s="20"/>
      <c r="WK39" s="20"/>
      <c r="WL39" s="20"/>
      <c r="WM39" s="20"/>
      <c r="WN39" s="20"/>
      <c r="WO39" s="20"/>
      <c r="WP39" s="20"/>
      <c r="WQ39" s="20"/>
      <c r="WR39" s="20"/>
      <c r="WS39" s="20"/>
      <c r="WT39" s="20"/>
      <c r="WU39" s="20"/>
      <c r="WV39" s="20"/>
      <c r="WW39" s="20"/>
      <c r="WX39" s="20"/>
      <c r="WY39" s="20"/>
      <c r="WZ39" s="20"/>
      <c r="XA39" s="20"/>
      <c r="XB39" s="20"/>
      <c r="XC39" s="20"/>
      <c r="XD39" s="20"/>
      <c r="XE39" s="20"/>
      <c r="XF39" s="20"/>
      <c r="XG39" s="20"/>
      <c r="XH39" s="20"/>
      <c r="XI39" s="20"/>
      <c r="XJ39" s="20"/>
      <c r="XK39" s="20"/>
      <c r="XL39" s="20"/>
      <c r="XM39" s="20"/>
      <c r="XN39" s="20"/>
      <c r="XO39" s="20"/>
      <c r="XP39" s="20"/>
      <c r="XQ39" s="20"/>
      <c r="XR39" s="20"/>
      <c r="XS39" s="20"/>
      <c r="XT39" s="20"/>
      <c r="XU39" s="20"/>
      <c r="XV39" s="20"/>
      <c r="XW39" s="20"/>
      <c r="XX39" s="20"/>
      <c r="XY39" s="20"/>
      <c r="XZ39" s="20"/>
      <c r="YA39" s="20"/>
      <c r="YB39" s="20"/>
      <c r="YC39" s="20"/>
      <c r="YD39" s="20"/>
      <c r="YE39" s="20"/>
      <c r="YF39" s="20"/>
      <c r="YG39" s="20"/>
      <c r="YH39" s="20"/>
      <c r="YI39" s="20"/>
      <c r="YJ39" s="20"/>
      <c r="YK39" s="20"/>
      <c r="YL39" s="20"/>
      <c r="YM39" s="20"/>
      <c r="YN39" s="20"/>
      <c r="YO39" s="20"/>
      <c r="YP39" s="20"/>
      <c r="YQ39" s="20"/>
      <c r="YR39" s="20"/>
      <c r="YS39" s="20"/>
      <c r="YT39" s="20"/>
      <c r="YU39" s="20"/>
      <c r="YV39" s="20"/>
      <c r="YW39" s="20"/>
      <c r="YX39" s="20"/>
      <c r="YY39" s="20"/>
      <c r="YZ39" s="20"/>
      <c r="ZA39" s="20"/>
      <c r="ZB39" s="20"/>
      <c r="ZC39" s="20"/>
      <c r="ZD39" s="20"/>
      <c r="ZE39" s="20"/>
      <c r="ZF39" s="20"/>
      <c r="ZG39" s="20"/>
      <c r="ZH39" s="20"/>
      <c r="ZI39" s="20"/>
      <c r="ZJ39" s="20"/>
      <c r="ZK39" s="20"/>
      <c r="ZL39" s="20"/>
      <c r="ZM39" s="20"/>
      <c r="ZN39" s="20"/>
      <c r="ZO39" s="20"/>
      <c r="ZP39" s="20"/>
    </row>
    <row r="40" spans="1:692" ht="126" customHeight="1" x14ac:dyDescent="0.25">
      <c r="A40" s="532" t="s">
        <v>43</v>
      </c>
      <c r="B40" s="532" t="s">
        <v>44</v>
      </c>
      <c r="C40" s="532" t="s">
        <v>45</v>
      </c>
      <c r="D40" s="532" t="s">
        <v>46</v>
      </c>
      <c r="E40" s="532" t="s">
        <v>71</v>
      </c>
      <c r="F40" s="532" t="s">
        <v>48</v>
      </c>
      <c r="G40" s="532" t="s">
        <v>49</v>
      </c>
      <c r="H40" s="532" t="s">
        <v>50</v>
      </c>
      <c r="I40" s="550" t="s">
        <v>51</v>
      </c>
      <c r="J40" s="527" t="s">
        <v>1190</v>
      </c>
      <c r="K40" s="527" t="s">
        <v>361</v>
      </c>
      <c r="L40" s="527" t="s">
        <v>362</v>
      </c>
      <c r="M40" s="527" t="s">
        <v>363</v>
      </c>
      <c r="N40" s="527" t="s">
        <v>74</v>
      </c>
      <c r="O40" s="527"/>
      <c r="P40" s="81">
        <v>0.95</v>
      </c>
      <c r="Q40" s="659"/>
      <c r="R40" s="659"/>
      <c r="S40" s="659"/>
      <c r="T40" s="659"/>
      <c r="U40" s="659"/>
      <c r="V40" s="544">
        <v>53491184</v>
      </c>
      <c r="W40" s="1010"/>
      <c r="X40" s="551" t="s">
        <v>364</v>
      </c>
      <c r="Y40" s="552">
        <v>0.92105263157894735</v>
      </c>
      <c r="Z40" s="82">
        <v>0.95</v>
      </c>
      <c r="AA40" s="552">
        <f>+Y40/Z40</f>
        <v>0.96952908587257625</v>
      </c>
      <c r="AB40" s="551" t="s">
        <v>1291</v>
      </c>
      <c r="AC40" s="660"/>
      <c r="AD40" s="661"/>
      <c r="AE40" s="661"/>
      <c r="AF40" s="662"/>
      <c r="AG40" s="601">
        <v>0.90654205607476634</v>
      </c>
      <c r="AH40" s="82">
        <v>0.95</v>
      </c>
      <c r="AI40" s="552">
        <f>+AG40/AH40</f>
        <v>0.95425479586817519</v>
      </c>
      <c r="AJ40" s="602" t="s">
        <v>1292</v>
      </c>
      <c r="AK40" s="660"/>
      <c r="AL40" s="661"/>
      <c r="AM40" s="661"/>
      <c r="AN40" s="662"/>
      <c r="AO40" s="496">
        <f>121/131</f>
        <v>0.92366412213740456</v>
      </c>
      <c r="AP40" s="82">
        <v>0.95</v>
      </c>
      <c r="AQ40" s="552">
        <f>+AO40/AP40</f>
        <v>0.97227802330253121</v>
      </c>
      <c r="AR40" s="602" t="s">
        <v>1293</v>
      </c>
      <c r="AS40" s="660"/>
      <c r="AT40" s="661"/>
      <c r="AU40" s="661"/>
      <c r="AV40" s="662"/>
    </row>
    <row r="41" spans="1:692" s="21" customFormat="1" ht="70.5" customHeight="1" x14ac:dyDescent="0.25">
      <c r="A41" s="52"/>
      <c r="B41" s="52"/>
      <c r="C41" s="52"/>
      <c r="D41" s="52"/>
      <c r="E41" s="52"/>
      <c r="F41" s="52"/>
      <c r="G41" s="52"/>
      <c r="H41" s="52"/>
      <c r="I41" s="52"/>
      <c r="J41" s="52"/>
      <c r="K41" s="52"/>
      <c r="L41" s="52"/>
      <c r="M41" s="52"/>
      <c r="N41" s="52"/>
      <c r="O41" s="52"/>
      <c r="P41" s="53"/>
      <c r="Q41" s="52"/>
      <c r="R41" s="52"/>
      <c r="S41" s="53"/>
      <c r="T41" s="52"/>
      <c r="U41" s="52"/>
      <c r="V41" s="89"/>
      <c r="W41" s="89"/>
      <c r="X41" s="52"/>
      <c r="Y41" s="657" t="s">
        <v>99</v>
      </c>
      <c r="Z41" s="657"/>
      <c r="AA41" s="55">
        <f>AVERAGE(AA40:AA40)</f>
        <v>0.96952908587257625</v>
      </c>
      <c r="AB41" s="56"/>
      <c r="AC41" s="657" t="s">
        <v>100</v>
      </c>
      <c r="AD41" s="657"/>
      <c r="AE41" s="57" t="s">
        <v>283</v>
      </c>
      <c r="AF41" s="53"/>
      <c r="AG41" s="657" t="s">
        <v>99</v>
      </c>
      <c r="AH41" s="657"/>
      <c r="AI41" s="55">
        <f>AVERAGE(AI40:AI40)</f>
        <v>0.95425479586817519</v>
      </c>
      <c r="AJ41" s="56"/>
      <c r="AK41" s="657" t="s">
        <v>100</v>
      </c>
      <c r="AL41" s="657"/>
      <c r="AM41" s="57" t="s">
        <v>283</v>
      </c>
      <c r="AN41" s="53"/>
      <c r="AO41" s="657" t="s">
        <v>99</v>
      </c>
      <c r="AP41" s="657"/>
      <c r="AQ41" s="55">
        <f>AVERAGE(AQ40:AQ40)</f>
        <v>0.97227802330253121</v>
      </c>
      <c r="AR41" s="56"/>
      <c r="AS41" s="657" t="s">
        <v>100</v>
      </c>
      <c r="AT41" s="657"/>
      <c r="AU41" s="57" t="s">
        <v>283</v>
      </c>
      <c r="AV41" s="53"/>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c r="IN41" s="20"/>
      <c r="IO41" s="20"/>
      <c r="IP41" s="20"/>
      <c r="IQ41" s="20"/>
      <c r="IR41" s="20"/>
      <c r="IS41" s="20"/>
      <c r="IT41" s="20"/>
      <c r="IU41" s="20"/>
      <c r="IV41" s="20"/>
      <c r="IW41" s="20"/>
      <c r="IX41" s="20"/>
      <c r="IY41" s="20"/>
      <c r="IZ41" s="20"/>
      <c r="JA41" s="20"/>
      <c r="JB41" s="20"/>
      <c r="JC41" s="20"/>
      <c r="JD41" s="20"/>
      <c r="JE41" s="20"/>
      <c r="JF41" s="20"/>
      <c r="JG41" s="20"/>
      <c r="JH41" s="20"/>
      <c r="JI41" s="20"/>
      <c r="JJ41" s="20"/>
      <c r="JK41" s="20"/>
      <c r="JL41" s="20"/>
      <c r="JM41" s="20"/>
      <c r="JN41" s="20"/>
      <c r="JO41" s="20"/>
      <c r="JP41" s="20"/>
      <c r="JQ41" s="20"/>
      <c r="JR41" s="20"/>
      <c r="JS41" s="20"/>
      <c r="JT41" s="20"/>
      <c r="JU41" s="20"/>
      <c r="JV41" s="20"/>
      <c r="JW41" s="20"/>
      <c r="JX41" s="20"/>
      <c r="JY41" s="20"/>
      <c r="JZ41" s="20"/>
      <c r="KA41" s="20"/>
      <c r="KB41" s="20"/>
      <c r="KC41" s="20"/>
      <c r="KD41" s="20"/>
      <c r="KE41" s="20"/>
      <c r="KF41" s="20"/>
      <c r="KG41" s="20"/>
      <c r="KH41" s="20"/>
      <c r="KI41" s="20"/>
      <c r="KJ41" s="20"/>
      <c r="KK41" s="20"/>
      <c r="KL41" s="20"/>
      <c r="KM41" s="20"/>
      <c r="KN41" s="20"/>
      <c r="KO41" s="20"/>
      <c r="KP41" s="20"/>
      <c r="KQ41" s="20"/>
      <c r="KR41" s="20"/>
      <c r="KS41" s="20"/>
      <c r="KT41" s="20"/>
      <c r="KU41" s="20"/>
      <c r="KV41" s="20"/>
      <c r="KW41" s="20"/>
      <c r="KX41" s="20"/>
      <c r="KY41" s="20"/>
      <c r="KZ41" s="20"/>
      <c r="LA41" s="20"/>
      <c r="LB41" s="20"/>
      <c r="LC41" s="20"/>
      <c r="LD41" s="20"/>
      <c r="LE41" s="20"/>
      <c r="LF41" s="20"/>
      <c r="LG41" s="20"/>
      <c r="LH41" s="20"/>
      <c r="LI41" s="20"/>
      <c r="LJ41" s="20"/>
      <c r="LK41" s="20"/>
      <c r="LL41" s="20"/>
      <c r="LM41" s="20"/>
      <c r="LN41" s="20"/>
      <c r="LO41" s="20"/>
      <c r="LP41" s="20"/>
      <c r="LQ41" s="20"/>
      <c r="LR41" s="20"/>
      <c r="LS41" s="20"/>
      <c r="LT41" s="20"/>
      <c r="LU41" s="20"/>
      <c r="LV41" s="20"/>
      <c r="LW41" s="20"/>
      <c r="LX41" s="20"/>
      <c r="LY41" s="20"/>
      <c r="LZ41" s="20"/>
      <c r="MA41" s="20"/>
      <c r="MB41" s="20"/>
      <c r="MC41" s="20"/>
      <c r="MD41" s="20"/>
      <c r="ME41" s="20"/>
      <c r="MF41" s="20"/>
      <c r="MG41" s="20"/>
      <c r="MH41" s="20"/>
      <c r="MI41" s="20"/>
      <c r="MJ41" s="20"/>
      <c r="MK41" s="20"/>
      <c r="ML41" s="20"/>
      <c r="MM41" s="20"/>
      <c r="MN41" s="20"/>
      <c r="MO41" s="20"/>
      <c r="MP41" s="20"/>
      <c r="MQ41" s="20"/>
      <c r="MR41" s="20"/>
      <c r="MS41" s="20"/>
      <c r="MT41" s="20"/>
      <c r="MU41" s="20"/>
      <c r="MV41" s="20"/>
      <c r="MW41" s="20"/>
      <c r="MX41" s="20"/>
      <c r="MY41" s="20"/>
      <c r="MZ41" s="20"/>
      <c r="NA41" s="20"/>
      <c r="NB41" s="20"/>
      <c r="NC41" s="20"/>
      <c r="ND41" s="20"/>
      <c r="NE41" s="20"/>
      <c r="NF41" s="20"/>
      <c r="NG41" s="20"/>
      <c r="NH41" s="20"/>
      <c r="NI41" s="20"/>
      <c r="NJ41" s="20"/>
      <c r="NK41" s="20"/>
      <c r="NL41" s="20"/>
      <c r="NM41" s="20"/>
      <c r="NN41" s="20"/>
      <c r="NO41" s="20"/>
      <c r="NP41" s="20"/>
      <c r="NQ41" s="20"/>
      <c r="NR41" s="20"/>
      <c r="NS41" s="20"/>
      <c r="NT41" s="20"/>
      <c r="NU41" s="20"/>
      <c r="NV41" s="20"/>
      <c r="NW41" s="20"/>
      <c r="NX41" s="20"/>
      <c r="NY41" s="20"/>
      <c r="NZ41" s="20"/>
      <c r="OA41" s="20"/>
      <c r="OB41" s="20"/>
      <c r="OC41" s="20"/>
      <c r="OD41" s="20"/>
      <c r="OE41" s="20"/>
      <c r="OF41" s="20"/>
      <c r="OG41" s="20"/>
      <c r="OH41" s="20"/>
      <c r="OI41" s="20"/>
      <c r="OJ41" s="20"/>
      <c r="OK41" s="20"/>
      <c r="OL41" s="20"/>
      <c r="OM41" s="20"/>
      <c r="ON41" s="20"/>
      <c r="OO41" s="20"/>
      <c r="OP41" s="20"/>
      <c r="OQ41" s="20"/>
      <c r="OR41" s="20"/>
      <c r="OS41" s="20"/>
      <c r="OT41" s="20"/>
      <c r="OU41" s="20"/>
      <c r="OV41" s="20"/>
      <c r="OW41" s="20"/>
      <c r="OX41" s="20"/>
      <c r="OY41" s="20"/>
      <c r="OZ41" s="20"/>
      <c r="PA41" s="20"/>
      <c r="PB41" s="20"/>
      <c r="PC41" s="20"/>
      <c r="PD41" s="20"/>
      <c r="PE41" s="20"/>
      <c r="PF41" s="20"/>
      <c r="PG41" s="20"/>
      <c r="PH41" s="20"/>
      <c r="PI41" s="20"/>
      <c r="PJ41" s="20"/>
      <c r="PK41" s="20"/>
      <c r="PL41" s="20"/>
      <c r="PM41" s="20"/>
      <c r="PN41" s="20"/>
      <c r="PO41" s="20"/>
      <c r="PP41" s="20"/>
      <c r="PQ41" s="20"/>
      <c r="PR41" s="20"/>
      <c r="PS41" s="20"/>
      <c r="PT41" s="20"/>
      <c r="PU41" s="20"/>
      <c r="PV41" s="20"/>
      <c r="PW41" s="20"/>
      <c r="PX41" s="20"/>
      <c r="PY41" s="20"/>
      <c r="PZ41" s="20"/>
      <c r="QA41" s="20"/>
      <c r="QB41" s="20"/>
      <c r="QC41" s="20"/>
      <c r="QD41" s="20"/>
      <c r="QE41" s="20"/>
      <c r="QF41" s="20"/>
      <c r="QG41" s="20"/>
      <c r="QH41" s="20"/>
      <c r="QI41" s="20"/>
      <c r="QJ41" s="20"/>
      <c r="QK41" s="20"/>
      <c r="QL41" s="20"/>
      <c r="QM41" s="20"/>
      <c r="QN41" s="20"/>
      <c r="QO41" s="20"/>
      <c r="QP41" s="20"/>
      <c r="QQ41" s="20"/>
      <c r="QR41" s="20"/>
      <c r="QS41" s="20"/>
      <c r="QT41" s="20"/>
      <c r="QU41" s="20"/>
      <c r="QV41" s="20"/>
      <c r="QW41" s="20"/>
      <c r="QX41" s="20"/>
      <c r="QY41" s="20"/>
      <c r="QZ41" s="20"/>
      <c r="RA41" s="20"/>
      <c r="RB41" s="20"/>
      <c r="RC41" s="20"/>
      <c r="RD41" s="20"/>
      <c r="RE41" s="20"/>
      <c r="RF41" s="20"/>
      <c r="RG41" s="20"/>
      <c r="RH41" s="20"/>
      <c r="RI41" s="20"/>
      <c r="RJ41" s="20"/>
      <c r="RK41" s="20"/>
      <c r="RL41" s="20"/>
      <c r="RM41" s="20"/>
      <c r="RN41" s="20"/>
      <c r="RO41" s="20"/>
      <c r="RP41" s="20"/>
      <c r="RQ41" s="20"/>
      <c r="RR41" s="20"/>
      <c r="RS41" s="20"/>
      <c r="RT41" s="20"/>
      <c r="RU41" s="20"/>
      <c r="RV41" s="20"/>
      <c r="RW41" s="20"/>
      <c r="RX41" s="20"/>
      <c r="RY41" s="20"/>
      <c r="RZ41" s="20"/>
      <c r="SA41" s="20"/>
      <c r="SB41" s="20"/>
      <c r="SC41" s="20"/>
      <c r="SD41" s="20"/>
      <c r="SE41" s="20"/>
      <c r="SF41" s="20"/>
      <c r="SG41" s="20"/>
      <c r="SH41" s="20"/>
      <c r="SI41" s="20"/>
      <c r="SJ41" s="20"/>
      <c r="SK41" s="20"/>
      <c r="SL41" s="20"/>
      <c r="SM41" s="20"/>
      <c r="SN41" s="20"/>
      <c r="SO41" s="20"/>
      <c r="SP41" s="20"/>
      <c r="SQ41" s="20"/>
      <c r="SR41" s="20"/>
      <c r="SS41" s="20"/>
      <c r="ST41" s="20"/>
      <c r="SU41" s="20"/>
      <c r="SV41" s="20"/>
      <c r="SW41" s="20"/>
      <c r="SX41" s="20"/>
      <c r="SY41" s="20"/>
      <c r="SZ41" s="20"/>
      <c r="TA41" s="20"/>
      <c r="TB41" s="20"/>
      <c r="TC41" s="20"/>
      <c r="TD41" s="20"/>
      <c r="TE41" s="20"/>
      <c r="TF41" s="20"/>
      <c r="TG41" s="20"/>
      <c r="TH41" s="20"/>
      <c r="TI41" s="20"/>
      <c r="TJ41" s="20"/>
      <c r="TK41" s="20"/>
      <c r="TL41" s="20"/>
      <c r="TM41" s="20"/>
      <c r="TN41" s="20"/>
      <c r="TO41" s="20"/>
      <c r="TP41" s="20"/>
      <c r="TQ41" s="20"/>
      <c r="TR41" s="20"/>
      <c r="TS41" s="20"/>
      <c r="TT41" s="20"/>
      <c r="TU41" s="20"/>
      <c r="TV41" s="20"/>
      <c r="TW41" s="20"/>
      <c r="TX41" s="20"/>
      <c r="TY41" s="20"/>
      <c r="TZ41" s="20"/>
      <c r="UA41" s="20"/>
      <c r="UB41" s="20"/>
      <c r="UC41" s="20"/>
      <c r="UD41" s="20"/>
      <c r="UE41" s="20"/>
      <c r="UF41" s="20"/>
      <c r="UG41" s="20"/>
      <c r="UH41" s="20"/>
      <c r="UI41" s="20"/>
      <c r="UJ41" s="20"/>
      <c r="UK41" s="20"/>
      <c r="UL41" s="20"/>
      <c r="UM41" s="20"/>
      <c r="UN41" s="20"/>
      <c r="UO41" s="20"/>
      <c r="UP41" s="20"/>
      <c r="UQ41" s="20"/>
      <c r="UR41" s="20"/>
      <c r="US41" s="20"/>
      <c r="UT41" s="20"/>
      <c r="UU41" s="20"/>
      <c r="UV41" s="20"/>
      <c r="UW41" s="20"/>
      <c r="UX41" s="20"/>
      <c r="UY41" s="20"/>
      <c r="UZ41" s="20"/>
      <c r="VA41" s="20"/>
      <c r="VB41" s="20"/>
      <c r="VC41" s="20"/>
      <c r="VD41" s="20"/>
      <c r="VE41" s="20"/>
      <c r="VF41" s="20"/>
      <c r="VG41" s="20"/>
      <c r="VH41" s="20"/>
      <c r="VI41" s="20"/>
      <c r="VJ41" s="20"/>
      <c r="VK41" s="20"/>
      <c r="VL41" s="20"/>
      <c r="VM41" s="20"/>
      <c r="VN41" s="20"/>
      <c r="VO41" s="20"/>
      <c r="VP41" s="20"/>
      <c r="VQ41" s="20"/>
      <c r="VR41" s="20"/>
      <c r="VS41" s="20"/>
      <c r="VT41" s="20"/>
      <c r="VU41" s="20"/>
      <c r="VV41" s="20"/>
      <c r="VW41" s="20"/>
      <c r="VX41" s="20"/>
      <c r="VY41" s="20"/>
      <c r="VZ41" s="20"/>
      <c r="WA41" s="20"/>
      <c r="WB41" s="20"/>
      <c r="WC41" s="20"/>
      <c r="WD41" s="20"/>
      <c r="WE41" s="20"/>
      <c r="WF41" s="20"/>
      <c r="WG41" s="20"/>
      <c r="WH41" s="20"/>
      <c r="WI41" s="20"/>
      <c r="WJ41" s="20"/>
      <c r="WK41" s="20"/>
      <c r="WL41" s="20"/>
      <c r="WM41" s="20"/>
      <c r="WN41" s="20"/>
      <c r="WO41" s="20"/>
      <c r="WP41" s="20"/>
      <c r="WQ41" s="20"/>
      <c r="WR41" s="20"/>
      <c r="WS41" s="20"/>
      <c r="WT41" s="20"/>
      <c r="WU41" s="20"/>
      <c r="WV41" s="20"/>
      <c r="WW41" s="20"/>
      <c r="WX41" s="20"/>
      <c r="WY41" s="20"/>
      <c r="WZ41" s="20"/>
      <c r="XA41" s="20"/>
      <c r="XB41" s="20"/>
      <c r="XC41" s="20"/>
      <c r="XD41" s="20"/>
      <c r="XE41" s="20"/>
      <c r="XF41" s="20"/>
      <c r="XG41" s="20"/>
      <c r="XH41" s="20"/>
      <c r="XI41" s="20"/>
      <c r="XJ41" s="20"/>
      <c r="XK41" s="20"/>
      <c r="XL41" s="20"/>
      <c r="XM41" s="20"/>
      <c r="XN41" s="20"/>
      <c r="XO41" s="20"/>
      <c r="XP41" s="20"/>
      <c r="XQ41" s="20"/>
      <c r="XR41" s="20"/>
      <c r="XS41" s="20"/>
      <c r="XT41" s="20"/>
      <c r="XU41" s="20"/>
      <c r="XV41" s="20"/>
      <c r="XW41" s="20"/>
      <c r="XX41" s="20"/>
      <c r="XY41" s="20"/>
      <c r="XZ41" s="20"/>
      <c r="YA41" s="20"/>
      <c r="YB41" s="20"/>
      <c r="YC41" s="20"/>
      <c r="YD41" s="20"/>
      <c r="YE41" s="20"/>
      <c r="YF41" s="20"/>
      <c r="YG41" s="20"/>
      <c r="YH41" s="20"/>
      <c r="YI41" s="20"/>
      <c r="YJ41" s="20"/>
      <c r="YK41" s="20"/>
      <c r="YL41" s="20"/>
      <c r="YM41" s="20"/>
      <c r="YN41" s="20"/>
      <c r="YO41" s="20"/>
      <c r="YP41" s="20"/>
      <c r="YQ41" s="20"/>
      <c r="YR41" s="20"/>
      <c r="YS41" s="20"/>
      <c r="YT41" s="20"/>
      <c r="YU41" s="20"/>
      <c r="YV41" s="20"/>
      <c r="YW41" s="20"/>
      <c r="YX41" s="20"/>
      <c r="YY41" s="20"/>
      <c r="YZ41" s="20"/>
      <c r="ZA41" s="20"/>
      <c r="ZB41" s="20"/>
      <c r="ZC41" s="20"/>
      <c r="ZD41" s="20"/>
      <c r="ZE41" s="20"/>
      <c r="ZF41" s="20"/>
      <c r="ZG41" s="20"/>
      <c r="ZH41" s="20"/>
      <c r="ZI41" s="20"/>
      <c r="ZJ41" s="20"/>
      <c r="ZK41" s="20"/>
      <c r="ZL41" s="20"/>
      <c r="ZM41" s="20"/>
      <c r="ZN41" s="20"/>
      <c r="ZO41" s="20"/>
      <c r="ZP41" s="20"/>
    </row>
    <row r="42" spans="1:692" ht="22.5" customHeight="1" x14ac:dyDescent="0.25">
      <c r="A42" s="128"/>
      <c r="B42" s="128"/>
      <c r="C42" s="128"/>
      <c r="D42" s="128"/>
      <c r="E42" s="128"/>
      <c r="F42" s="128"/>
      <c r="G42" s="128"/>
      <c r="H42" s="128"/>
      <c r="I42" s="128"/>
      <c r="J42" s="128"/>
      <c r="K42" s="128"/>
      <c r="L42" s="128"/>
      <c r="M42" s="128"/>
      <c r="N42" s="128"/>
      <c r="O42" s="128"/>
      <c r="P42" s="128"/>
      <c r="Q42" s="128"/>
      <c r="R42" s="128"/>
      <c r="S42" s="129"/>
      <c r="T42" s="128"/>
      <c r="U42" s="128"/>
      <c r="V42" s="130"/>
      <c r="W42" s="130"/>
      <c r="X42" s="128"/>
      <c r="Y42" s="128"/>
      <c r="Z42" s="128"/>
      <c r="AA42" s="128"/>
      <c r="AB42" s="128"/>
      <c r="AC42" s="128"/>
      <c r="AD42" s="128"/>
      <c r="AE42" s="128"/>
      <c r="AF42" s="129"/>
      <c r="AG42" s="128"/>
      <c r="AH42" s="128"/>
      <c r="AI42" s="128"/>
      <c r="AJ42" s="128"/>
      <c r="AK42" s="128"/>
      <c r="AL42" s="128"/>
      <c r="AM42" s="128"/>
      <c r="AN42" s="129"/>
      <c r="AO42" s="128"/>
      <c r="AP42" s="128"/>
      <c r="AQ42" s="128"/>
      <c r="AR42" s="128"/>
      <c r="AS42" s="128"/>
      <c r="AT42" s="128"/>
      <c r="AU42" s="128"/>
      <c r="AV42" s="129"/>
    </row>
    <row r="43" spans="1:692" ht="22.5" customHeight="1" x14ac:dyDescent="0.25">
      <c r="A43" s="128"/>
      <c r="B43" s="128"/>
      <c r="C43" s="128"/>
      <c r="D43" s="128"/>
      <c r="E43" s="128"/>
      <c r="F43" s="128"/>
      <c r="G43" s="128"/>
      <c r="H43" s="128"/>
      <c r="I43" s="128"/>
      <c r="J43" s="128"/>
      <c r="K43" s="128"/>
      <c r="L43" s="128"/>
      <c r="M43" s="128"/>
      <c r="N43" s="128"/>
      <c r="O43" s="128"/>
      <c r="P43" s="128"/>
      <c r="Q43" s="128"/>
      <c r="R43" s="128"/>
      <c r="S43" s="129"/>
      <c r="T43" s="128"/>
      <c r="U43" s="128"/>
      <c r="V43" s="130"/>
      <c r="W43" s="130"/>
      <c r="X43" s="128"/>
      <c r="Y43" s="128"/>
      <c r="Z43" s="128"/>
      <c r="AA43" s="128"/>
      <c r="AB43" s="128"/>
      <c r="AC43" s="128"/>
      <c r="AD43" s="128"/>
      <c r="AE43" s="128"/>
      <c r="AF43" s="129"/>
      <c r="AG43" s="128"/>
      <c r="AH43" s="128"/>
      <c r="AI43" s="128"/>
      <c r="AJ43" s="128"/>
      <c r="AK43" s="128"/>
      <c r="AL43" s="128"/>
      <c r="AM43" s="128"/>
      <c r="AN43" s="129"/>
      <c r="AO43" s="128"/>
      <c r="AP43" s="128"/>
      <c r="AQ43" s="128"/>
      <c r="AR43" s="128"/>
      <c r="AS43" s="128"/>
      <c r="AT43" s="128"/>
      <c r="AU43" s="128"/>
      <c r="AV43" s="129"/>
    </row>
    <row r="44" spans="1:692" ht="69.75" customHeight="1" x14ac:dyDescent="0.25">
      <c r="A44" s="20"/>
      <c r="B44" s="20"/>
      <c r="C44" s="20"/>
      <c r="D44" s="20"/>
      <c r="E44" s="20"/>
      <c r="F44" s="20"/>
      <c r="G44" s="20"/>
      <c r="H44" s="20"/>
      <c r="I44" s="20"/>
      <c r="J44" s="20"/>
      <c r="K44" s="20"/>
      <c r="L44" s="20"/>
      <c r="M44" s="20"/>
      <c r="N44" s="20"/>
      <c r="O44" s="20"/>
      <c r="P44" s="20"/>
      <c r="Q44" s="20"/>
      <c r="R44" s="20"/>
      <c r="S44" s="1"/>
      <c r="T44" s="20"/>
      <c r="U44" s="20"/>
      <c r="V44" s="133"/>
      <c r="W44" s="133"/>
      <c r="Y44" s="657" t="s">
        <v>373</v>
      </c>
      <c r="Z44" s="657"/>
      <c r="AA44" s="55">
        <f>AVERAGE(AA10,AA14,AA18,AA22,AA26,AA28,AA32,AA35,AA39,AA41)</f>
        <v>0.28675824510735387</v>
      </c>
      <c r="AC44" s="657" t="s">
        <v>374</v>
      </c>
      <c r="AD44" s="657"/>
      <c r="AE44" s="55">
        <f>AVERAGE(AE10,AE14,AE18,AE22,AE26,AE28,AE35)</f>
        <v>0.35959197331959869</v>
      </c>
      <c r="AG44" s="657" t="s">
        <v>373</v>
      </c>
      <c r="AH44" s="657"/>
      <c r="AI44" s="55">
        <f>AVERAGE(AI10,AI14,AI18,AI22,AI26,AI28,AI32,AI35,AI39,AI41)</f>
        <v>0.35773411917775177</v>
      </c>
      <c r="AK44" s="657" t="s">
        <v>374</v>
      </c>
      <c r="AL44" s="657"/>
      <c r="AM44" s="55">
        <f>AVERAGE(AM10,AM14,AM18,AM22,AM26,AM28,AM35)</f>
        <v>0.57237631414596446</v>
      </c>
      <c r="AO44" s="657" t="s">
        <v>1294</v>
      </c>
      <c r="AP44" s="657"/>
      <c r="AQ44" s="55">
        <f>AVERAGE(AQ10,AQ14,AQ18,AQ22,AQ26,AQ28,AQ32,AQ35,AQ39,AQ41)</f>
        <v>0.46949004309029652</v>
      </c>
      <c r="AS44" s="657" t="s">
        <v>1295</v>
      </c>
      <c r="AT44" s="657"/>
      <c r="AU44" s="55">
        <f>AVERAGE(AU10,AU14,AU18,AU22,AU26,AU28,AU35)</f>
        <v>0.82699459146277099</v>
      </c>
    </row>
    <row r="45" spans="1:692" s="20" customFormat="1" ht="22.5" customHeight="1" x14ac:dyDescent="0.25">
      <c r="S45" s="1"/>
      <c r="V45" s="133"/>
      <c r="W45" s="133"/>
      <c r="AF45" s="1"/>
      <c r="AN45" s="1"/>
      <c r="AV45" s="1"/>
    </row>
    <row r="46" spans="1:692" s="20" customFormat="1" ht="22.5" customHeight="1" x14ac:dyDescent="0.25">
      <c r="S46" s="1"/>
      <c r="V46" s="133"/>
      <c r="W46" s="133"/>
      <c r="AF46" s="1"/>
      <c r="AN46" s="1"/>
      <c r="AV46" s="1"/>
    </row>
    <row r="47" spans="1:692" s="20" customFormat="1" ht="22.5" customHeight="1" x14ac:dyDescent="0.25">
      <c r="S47" s="1"/>
      <c r="V47" s="133"/>
      <c r="W47" s="133"/>
      <c r="AF47" s="1"/>
      <c r="AN47" s="1"/>
      <c r="AV47" s="1"/>
    </row>
    <row r="48" spans="1:692" s="20" customFormat="1" ht="22.5" customHeight="1" x14ac:dyDescent="0.25">
      <c r="S48" s="1"/>
      <c r="V48" s="133"/>
      <c r="W48" s="133"/>
      <c r="AF48" s="1"/>
      <c r="AN48" s="1"/>
      <c r="AV48" s="1"/>
    </row>
    <row r="49" spans="19:48" s="20" customFormat="1" ht="22.5" customHeight="1" x14ac:dyDescent="0.25">
      <c r="S49" s="1"/>
      <c r="V49" s="133"/>
      <c r="W49" s="133"/>
      <c r="AF49" s="1"/>
      <c r="AN49" s="1"/>
      <c r="AV49" s="1"/>
    </row>
    <row r="50" spans="19:48" s="20" customFormat="1" ht="22.5" customHeight="1" x14ac:dyDescent="0.25">
      <c r="S50" s="1"/>
      <c r="V50" s="133"/>
      <c r="W50" s="133"/>
      <c r="AF50" s="1"/>
      <c r="AN50" s="1"/>
      <c r="AV50" s="1"/>
    </row>
    <row r="51" spans="19:48" s="20" customFormat="1" ht="22.5" customHeight="1" x14ac:dyDescent="0.25">
      <c r="S51" s="1"/>
      <c r="V51" s="133"/>
      <c r="W51" s="133"/>
      <c r="AF51" s="1"/>
      <c r="AN51" s="1"/>
      <c r="AV51" s="1"/>
    </row>
    <row r="52" spans="19:48" s="20" customFormat="1" ht="22.5" customHeight="1" x14ac:dyDescent="0.25">
      <c r="S52" s="1"/>
      <c r="V52" s="133"/>
      <c r="W52" s="133"/>
      <c r="AF52" s="1"/>
      <c r="AN52" s="1"/>
      <c r="AV52" s="1"/>
    </row>
    <row r="53" spans="19:48" s="20" customFormat="1" ht="22.5" customHeight="1" x14ac:dyDescent="0.25">
      <c r="S53" s="1"/>
      <c r="V53" s="133"/>
      <c r="W53" s="133"/>
      <c r="AF53" s="1"/>
      <c r="AN53" s="1"/>
      <c r="AV53" s="1"/>
    </row>
    <row r="54" spans="19:48" s="20" customFormat="1" ht="22.5" customHeight="1" x14ac:dyDescent="0.25">
      <c r="S54" s="1"/>
      <c r="V54" s="133"/>
      <c r="W54" s="133"/>
      <c r="AF54" s="1"/>
      <c r="AN54" s="1"/>
      <c r="AV54" s="1"/>
    </row>
    <row r="55" spans="19:48" s="20" customFormat="1" ht="22.5" customHeight="1" x14ac:dyDescent="0.25">
      <c r="S55" s="1"/>
      <c r="V55" s="133"/>
      <c r="W55" s="133"/>
      <c r="AF55" s="1"/>
      <c r="AN55" s="1"/>
      <c r="AV55" s="1"/>
    </row>
    <row r="56" spans="19:48" s="20" customFormat="1" ht="22.5" customHeight="1" x14ac:dyDescent="0.25">
      <c r="S56" s="1"/>
      <c r="V56" s="133"/>
      <c r="W56" s="133"/>
      <c r="AF56" s="1"/>
      <c r="AN56" s="1"/>
      <c r="AV56" s="1"/>
    </row>
    <row r="57" spans="19:48" s="20" customFormat="1" ht="22.5" customHeight="1" x14ac:dyDescent="0.25">
      <c r="S57" s="1"/>
      <c r="V57" s="133"/>
      <c r="W57" s="133"/>
      <c r="AF57" s="1"/>
      <c r="AN57" s="1"/>
      <c r="AV57" s="1"/>
    </row>
    <row r="58" spans="19:48" s="20" customFormat="1" ht="22.5" customHeight="1" x14ac:dyDescent="0.25">
      <c r="S58" s="1"/>
      <c r="V58" s="133"/>
      <c r="W58" s="133"/>
      <c r="AF58" s="1"/>
      <c r="AN58" s="1"/>
      <c r="AV58" s="1"/>
    </row>
    <row r="59" spans="19:48" s="20" customFormat="1" ht="22.5" customHeight="1" x14ac:dyDescent="0.25">
      <c r="S59" s="1"/>
      <c r="V59" s="133"/>
      <c r="W59" s="133"/>
      <c r="AF59" s="1"/>
      <c r="AN59" s="1"/>
      <c r="AV59" s="1"/>
    </row>
    <row r="60" spans="19:48" s="20" customFormat="1" ht="22.5" customHeight="1" x14ac:dyDescent="0.25">
      <c r="S60" s="1"/>
      <c r="V60" s="133"/>
      <c r="W60" s="133"/>
      <c r="AF60" s="1"/>
      <c r="AN60" s="1"/>
      <c r="AV60" s="1"/>
    </row>
    <row r="61" spans="19:48" s="20" customFormat="1" ht="22.5" customHeight="1" x14ac:dyDescent="0.25">
      <c r="S61" s="1"/>
      <c r="V61" s="133"/>
      <c r="W61" s="133"/>
      <c r="AF61" s="1"/>
      <c r="AN61" s="1"/>
      <c r="AV61" s="1"/>
    </row>
    <row r="62" spans="19:48" s="20" customFormat="1" ht="22.5" customHeight="1" x14ac:dyDescent="0.25">
      <c r="S62" s="1"/>
      <c r="V62" s="133"/>
      <c r="W62" s="133"/>
      <c r="AF62" s="1"/>
      <c r="AN62" s="1"/>
      <c r="AV62" s="1"/>
    </row>
    <row r="63" spans="19:48" s="20" customFormat="1" ht="22.5" customHeight="1" x14ac:dyDescent="0.25">
      <c r="S63" s="1"/>
      <c r="V63" s="133"/>
      <c r="W63" s="133"/>
      <c r="AF63" s="1"/>
      <c r="AN63" s="1"/>
      <c r="AV63" s="1"/>
    </row>
    <row r="64" spans="19:48" s="20" customFormat="1" ht="22.5" customHeight="1" x14ac:dyDescent="0.25">
      <c r="S64" s="1"/>
      <c r="V64" s="133"/>
      <c r="W64" s="133"/>
      <c r="AF64" s="1"/>
      <c r="AN64" s="1"/>
      <c r="AV64" s="1"/>
    </row>
    <row r="65" spans="19:48" s="20" customFormat="1" ht="22.5" customHeight="1" x14ac:dyDescent="0.25">
      <c r="S65" s="1"/>
      <c r="V65" s="133"/>
      <c r="W65" s="133"/>
      <c r="AF65" s="1"/>
      <c r="AN65" s="1"/>
      <c r="AV65" s="1"/>
    </row>
    <row r="66" spans="19:48" s="20" customFormat="1" ht="22.5" customHeight="1" x14ac:dyDescent="0.25">
      <c r="S66" s="1"/>
      <c r="V66" s="133"/>
      <c r="W66" s="133"/>
      <c r="AF66" s="1"/>
      <c r="AN66" s="1"/>
      <c r="AV66" s="1"/>
    </row>
    <row r="67" spans="19:48" s="20" customFormat="1" ht="22.5" customHeight="1" x14ac:dyDescent="0.25">
      <c r="S67" s="1"/>
      <c r="V67" s="133"/>
      <c r="W67" s="133"/>
      <c r="AF67" s="1"/>
      <c r="AN67" s="1"/>
      <c r="AV67" s="1"/>
    </row>
    <row r="68" spans="19:48" s="20" customFormat="1" ht="22.5" customHeight="1" x14ac:dyDescent="0.25">
      <c r="S68" s="1"/>
      <c r="V68" s="133"/>
      <c r="W68" s="133"/>
      <c r="AF68" s="1"/>
      <c r="AN68" s="1"/>
      <c r="AV68" s="1"/>
    </row>
    <row r="69" spans="19:48" s="20" customFormat="1" ht="22.5" customHeight="1" x14ac:dyDescent="0.25">
      <c r="S69" s="1"/>
      <c r="V69" s="133"/>
      <c r="W69" s="133"/>
      <c r="AF69" s="1"/>
      <c r="AN69" s="1"/>
      <c r="AV69" s="1"/>
    </row>
    <row r="70" spans="19:48" s="20" customFormat="1" ht="22.5" customHeight="1" x14ac:dyDescent="0.25">
      <c r="S70" s="1"/>
      <c r="V70" s="133"/>
      <c r="W70" s="133"/>
      <c r="AF70" s="1"/>
      <c r="AN70" s="1"/>
      <c r="AV70" s="1"/>
    </row>
    <row r="71" spans="19:48" s="20" customFormat="1" ht="22.5" customHeight="1" x14ac:dyDescent="0.25">
      <c r="S71" s="1"/>
      <c r="V71" s="133"/>
      <c r="W71" s="133"/>
      <c r="AF71" s="1"/>
      <c r="AN71" s="1"/>
      <c r="AV71" s="1"/>
    </row>
    <row r="72" spans="19:48" s="20" customFormat="1" ht="22.5" customHeight="1" x14ac:dyDescent="0.25">
      <c r="S72" s="1"/>
      <c r="V72" s="133"/>
      <c r="W72" s="133"/>
      <c r="AF72" s="1"/>
      <c r="AN72" s="1"/>
      <c r="AV72" s="1"/>
    </row>
    <row r="73" spans="19:48" s="20" customFormat="1" ht="22.5" customHeight="1" x14ac:dyDescent="0.25">
      <c r="S73" s="1"/>
      <c r="V73" s="133"/>
      <c r="W73" s="133"/>
      <c r="AF73" s="1"/>
      <c r="AN73" s="1"/>
      <c r="AV73" s="1"/>
    </row>
    <row r="74" spans="19:48" s="20" customFormat="1" ht="22.5" customHeight="1" x14ac:dyDescent="0.25">
      <c r="S74" s="1"/>
      <c r="V74" s="133"/>
      <c r="W74" s="133"/>
      <c r="AF74" s="1"/>
      <c r="AN74" s="1"/>
      <c r="AV74" s="1"/>
    </row>
    <row r="75" spans="19:48" s="20" customFormat="1" ht="22.5" customHeight="1" x14ac:dyDescent="0.25">
      <c r="S75" s="1"/>
      <c r="V75" s="133"/>
      <c r="W75" s="133"/>
      <c r="AF75" s="1"/>
      <c r="AN75" s="1"/>
      <c r="AV75" s="1"/>
    </row>
    <row r="76" spans="19:48" s="20" customFormat="1" ht="22.5" customHeight="1" x14ac:dyDescent="0.25">
      <c r="S76" s="1"/>
      <c r="V76" s="133"/>
      <c r="W76" s="133"/>
      <c r="AF76" s="1"/>
      <c r="AN76" s="1"/>
      <c r="AV76" s="1"/>
    </row>
    <row r="77" spans="19:48" s="20" customFormat="1" ht="22.5" customHeight="1" x14ac:dyDescent="0.25">
      <c r="S77" s="1"/>
      <c r="V77" s="133"/>
      <c r="W77" s="133"/>
      <c r="AF77" s="1"/>
      <c r="AN77" s="1"/>
      <c r="AV77" s="1"/>
    </row>
    <row r="78" spans="19:48" s="20" customFormat="1" ht="22.5" customHeight="1" x14ac:dyDescent="0.25">
      <c r="S78" s="1"/>
      <c r="V78" s="133"/>
      <c r="W78" s="133"/>
      <c r="AF78" s="1"/>
      <c r="AN78" s="1"/>
      <c r="AV78" s="1"/>
    </row>
    <row r="79" spans="19:48" s="20" customFormat="1" ht="22.5" customHeight="1" x14ac:dyDescent="0.25">
      <c r="S79" s="1"/>
      <c r="V79" s="133"/>
      <c r="W79" s="133"/>
      <c r="AF79" s="1"/>
      <c r="AN79" s="1"/>
      <c r="AV79" s="1"/>
    </row>
    <row r="80" spans="19:48" s="20" customFormat="1" ht="22.5" customHeight="1" x14ac:dyDescent="0.25">
      <c r="S80" s="1"/>
      <c r="V80" s="133"/>
      <c r="W80" s="133"/>
      <c r="AF80" s="1"/>
      <c r="AN80" s="1"/>
      <c r="AV80" s="1"/>
    </row>
    <row r="81" spans="19:48" s="20" customFormat="1" ht="22.5" customHeight="1" x14ac:dyDescent="0.25">
      <c r="S81" s="1"/>
      <c r="V81" s="133"/>
      <c r="W81" s="133"/>
      <c r="AF81" s="1"/>
      <c r="AN81" s="1"/>
      <c r="AV81" s="1"/>
    </row>
    <row r="82" spans="19:48" s="20" customFormat="1" ht="22.5" customHeight="1" x14ac:dyDescent="0.25">
      <c r="S82" s="1"/>
      <c r="V82" s="133"/>
      <c r="W82" s="133"/>
      <c r="AF82" s="1"/>
      <c r="AN82" s="1"/>
      <c r="AV82" s="1"/>
    </row>
    <row r="83" spans="19:48" s="20" customFormat="1" ht="22.5" customHeight="1" x14ac:dyDescent="0.25">
      <c r="S83" s="1"/>
      <c r="V83" s="133"/>
      <c r="W83" s="133"/>
      <c r="AF83" s="1"/>
      <c r="AN83" s="1"/>
      <c r="AV83" s="1"/>
    </row>
    <row r="84" spans="19:48" s="20" customFormat="1" ht="22.5" customHeight="1" x14ac:dyDescent="0.25">
      <c r="S84" s="1"/>
      <c r="V84" s="133"/>
      <c r="W84" s="133"/>
      <c r="AF84" s="1"/>
      <c r="AN84" s="1"/>
      <c r="AV84" s="1"/>
    </row>
    <row r="85" spans="19:48" s="20" customFormat="1" ht="22.5" customHeight="1" x14ac:dyDescent="0.25">
      <c r="S85" s="1"/>
      <c r="V85" s="133"/>
      <c r="W85" s="133"/>
      <c r="AF85" s="1"/>
      <c r="AN85" s="1"/>
      <c r="AV85" s="1"/>
    </row>
    <row r="86" spans="19:48" s="20" customFormat="1" ht="22.5" customHeight="1" x14ac:dyDescent="0.25">
      <c r="S86" s="1"/>
      <c r="V86" s="133"/>
      <c r="W86" s="133"/>
      <c r="AF86" s="1"/>
      <c r="AN86" s="1"/>
      <c r="AV86" s="1"/>
    </row>
    <row r="87" spans="19:48" s="20" customFormat="1" ht="22.5" customHeight="1" x14ac:dyDescent="0.25">
      <c r="S87" s="1"/>
      <c r="V87" s="133"/>
      <c r="W87" s="133"/>
      <c r="AF87" s="1"/>
      <c r="AN87" s="1"/>
      <c r="AV87" s="1"/>
    </row>
    <row r="88" spans="19:48" s="20" customFormat="1" ht="22.5" customHeight="1" x14ac:dyDescent="0.25">
      <c r="S88" s="1"/>
      <c r="V88" s="133"/>
      <c r="W88" s="133"/>
      <c r="AF88" s="1"/>
      <c r="AN88" s="1"/>
      <c r="AV88" s="1"/>
    </row>
    <row r="89" spans="19:48" s="20" customFormat="1" ht="22.5" customHeight="1" x14ac:dyDescent="0.25">
      <c r="S89" s="1"/>
      <c r="V89" s="133"/>
      <c r="W89" s="133"/>
      <c r="AF89" s="1"/>
      <c r="AN89" s="1"/>
      <c r="AV89" s="1"/>
    </row>
    <row r="90" spans="19:48" s="20" customFormat="1" ht="22.5" customHeight="1" x14ac:dyDescent="0.25">
      <c r="S90" s="1"/>
      <c r="V90" s="133"/>
      <c r="W90" s="133"/>
      <c r="AF90" s="1"/>
      <c r="AN90" s="1"/>
      <c r="AV90" s="1"/>
    </row>
    <row r="91" spans="19:48" s="20" customFormat="1" ht="22.5" customHeight="1" x14ac:dyDescent="0.25">
      <c r="S91" s="1"/>
      <c r="V91" s="133"/>
      <c r="W91" s="133"/>
      <c r="AF91" s="1"/>
      <c r="AN91" s="1"/>
      <c r="AV91" s="1"/>
    </row>
    <row r="92" spans="19:48" s="20" customFormat="1" ht="22.5" customHeight="1" x14ac:dyDescent="0.25">
      <c r="S92" s="1"/>
      <c r="V92" s="133"/>
      <c r="W92" s="133"/>
      <c r="AF92" s="1"/>
      <c r="AN92" s="1"/>
      <c r="AV92" s="1"/>
    </row>
    <row r="93" spans="19:48" s="20" customFormat="1" ht="22.5" customHeight="1" x14ac:dyDescent="0.25">
      <c r="S93" s="1"/>
      <c r="V93" s="133"/>
      <c r="W93" s="133"/>
      <c r="AF93" s="1"/>
      <c r="AN93" s="1"/>
      <c r="AV93" s="1"/>
    </row>
    <row r="94" spans="19:48" s="20" customFormat="1" ht="22.5" customHeight="1" x14ac:dyDescent="0.25">
      <c r="S94" s="1"/>
      <c r="V94" s="133"/>
      <c r="W94" s="133"/>
      <c r="AF94" s="1"/>
      <c r="AN94" s="1"/>
      <c r="AV94" s="1"/>
    </row>
    <row r="95" spans="19:48" s="20" customFormat="1" ht="22.5" customHeight="1" x14ac:dyDescent="0.25">
      <c r="S95" s="1"/>
      <c r="V95" s="133"/>
      <c r="W95" s="133"/>
      <c r="AF95" s="1"/>
      <c r="AN95" s="1"/>
      <c r="AV95" s="1"/>
    </row>
    <row r="96" spans="19:48" s="20" customFormat="1" ht="22.5" customHeight="1" x14ac:dyDescent="0.25">
      <c r="S96" s="1"/>
      <c r="V96" s="133"/>
      <c r="W96" s="133"/>
      <c r="AF96" s="1"/>
      <c r="AN96" s="1"/>
      <c r="AV96" s="1"/>
    </row>
    <row r="97" spans="19:48" s="20" customFormat="1" ht="22.5" customHeight="1" x14ac:dyDescent="0.25">
      <c r="S97" s="1"/>
      <c r="V97" s="133"/>
      <c r="W97" s="133"/>
      <c r="AF97" s="1"/>
      <c r="AN97" s="1"/>
      <c r="AV97" s="1"/>
    </row>
    <row r="98" spans="19:48" s="20" customFormat="1" ht="22.5" customHeight="1" x14ac:dyDescent="0.25">
      <c r="S98" s="1"/>
      <c r="V98" s="133"/>
      <c r="W98" s="133"/>
      <c r="AF98" s="1"/>
      <c r="AN98" s="1"/>
      <c r="AV98" s="1"/>
    </row>
    <row r="99" spans="19:48" s="20" customFormat="1" ht="22.5" customHeight="1" x14ac:dyDescent="0.25">
      <c r="S99" s="1"/>
      <c r="V99" s="133"/>
      <c r="W99" s="133"/>
      <c r="AF99" s="1"/>
      <c r="AN99" s="1"/>
      <c r="AV99" s="1"/>
    </row>
    <row r="100" spans="19:48" s="20" customFormat="1" ht="22.5" customHeight="1" x14ac:dyDescent="0.25">
      <c r="S100" s="1"/>
      <c r="V100" s="133"/>
      <c r="W100" s="133"/>
      <c r="AF100" s="1"/>
      <c r="AN100" s="1"/>
      <c r="AV100" s="1"/>
    </row>
    <row r="101" spans="19:48" s="20" customFormat="1" ht="22.5" customHeight="1" x14ac:dyDescent="0.25">
      <c r="S101" s="1"/>
      <c r="V101" s="133"/>
      <c r="W101" s="133"/>
      <c r="AF101" s="1"/>
      <c r="AN101" s="1"/>
      <c r="AV101" s="1"/>
    </row>
    <row r="102" spans="19:48" s="20" customFormat="1" ht="22.5" customHeight="1" x14ac:dyDescent="0.25">
      <c r="S102" s="1"/>
      <c r="V102" s="133"/>
      <c r="W102" s="133"/>
      <c r="AF102" s="1"/>
      <c r="AN102" s="1"/>
      <c r="AV102" s="1"/>
    </row>
    <row r="103" spans="19:48" s="20" customFormat="1" ht="22.5" customHeight="1" x14ac:dyDescent="0.25">
      <c r="S103" s="1"/>
      <c r="V103" s="133"/>
      <c r="W103" s="133"/>
      <c r="AF103" s="1"/>
      <c r="AN103" s="1"/>
      <c r="AV103" s="1"/>
    </row>
    <row r="104" spans="19:48" s="20" customFormat="1" ht="22.5" customHeight="1" x14ac:dyDescent="0.25">
      <c r="S104" s="1"/>
      <c r="V104" s="133"/>
      <c r="W104" s="133"/>
      <c r="AF104" s="1"/>
      <c r="AN104" s="1"/>
      <c r="AV104" s="1"/>
    </row>
    <row r="105" spans="19:48" s="20" customFormat="1" ht="22.5" customHeight="1" x14ac:dyDescent="0.25">
      <c r="S105" s="1"/>
      <c r="V105" s="133"/>
      <c r="W105" s="133"/>
      <c r="AF105" s="1"/>
      <c r="AN105" s="1"/>
      <c r="AV105" s="1"/>
    </row>
    <row r="106" spans="19:48" s="20" customFormat="1" ht="22.5" customHeight="1" x14ac:dyDescent="0.25">
      <c r="S106" s="1"/>
      <c r="V106" s="133"/>
      <c r="W106" s="133"/>
      <c r="AF106" s="1"/>
      <c r="AN106" s="1"/>
      <c r="AV106" s="1"/>
    </row>
    <row r="107" spans="19:48" s="20" customFormat="1" ht="22.5" customHeight="1" x14ac:dyDescent="0.25">
      <c r="S107" s="1"/>
      <c r="V107" s="133"/>
      <c r="W107" s="133"/>
      <c r="AF107" s="1"/>
      <c r="AN107" s="1"/>
      <c r="AV107" s="1"/>
    </row>
    <row r="108" spans="19:48" s="20" customFormat="1" ht="22.5" customHeight="1" x14ac:dyDescent="0.25">
      <c r="S108" s="1"/>
      <c r="V108" s="133"/>
      <c r="W108" s="133"/>
      <c r="AF108" s="1"/>
      <c r="AN108" s="1"/>
      <c r="AV108" s="1"/>
    </row>
    <row r="109" spans="19:48" s="20" customFormat="1" ht="22.5" customHeight="1" x14ac:dyDescent="0.25">
      <c r="S109" s="1"/>
      <c r="V109" s="133"/>
      <c r="W109" s="133"/>
      <c r="AF109" s="1"/>
      <c r="AN109" s="1"/>
      <c r="AV109" s="1"/>
    </row>
    <row r="110" spans="19:48" s="20" customFormat="1" ht="22.5" customHeight="1" x14ac:dyDescent="0.25">
      <c r="S110" s="1"/>
      <c r="V110" s="133"/>
      <c r="W110" s="133"/>
      <c r="AF110" s="1"/>
      <c r="AN110" s="1"/>
      <c r="AV110" s="1"/>
    </row>
    <row r="111" spans="19:48" s="20" customFormat="1" ht="22.5" customHeight="1" x14ac:dyDescent="0.25">
      <c r="S111" s="1"/>
      <c r="V111" s="133"/>
      <c r="W111" s="133"/>
      <c r="AF111" s="1"/>
      <c r="AN111" s="1"/>
      <c r="AV111" s="1"/>
    </row>
    <row r="112" spans="19:48" s="20" customFormat="1" ht="22.5" customHeight="1" x14ac:dyDescent="0.25">
      <c r="S112" s="1"/>
      <c r="V112" s="133"/>
      <c r="W112" s="133"/>
      <c r="AF112" s="1"/>
      <c r="AN112" s="1"/>
      <c r="AV112" s="1"/>
    </row>
    <row r="113" spans="19:48" s="20" customFormat="1" ht="22.5" customHeight="1" x14ac:dyDescent="0.25">
      <c r="S113" s="1"/>
      <c r="V113" s="133"/>
      <c r="W113" s="133"/>
      <c r="AF113" s="1"/>
      <c r="AN113" s="1"/>
      <c r="AV113" s="1"/>
    </row>
    <row r="114" spans="19:48" s="20" customFormat="1" ht="22.5" customHeight="1" x14ac:dyDescent="0.25">
      <c r="S114" s="1"/>
      <c r="V114" s="133"/>
      <c r="W114" s="133"/>
      <c r="AF114" s="1"/>
      <c r="AN114" s="1"/>
      <c r="AV114" s="1"/>
    </row>
    <row r="115" spans="19:48" s="20" customFormat="1" ht="22.5" customHeight="1" x14ac:dyDescent="0.25">
      <c r="S115" s="1"/>
      <c r="V115" s="133"/>
      <c r="W115" s="133"/>
      <c r="AF115" s="1"/>
      <c r="AN115" s="1"/>
      <c r="AV115" s="1"/>
    </row>
    <row r="116" spans="19:48" s="20" customFormat="1" ht="22.5" customHeight="1" x14ac:dyDescent="0.25">
      <c r="S116" s="1"/>
      <c r="V116" s="133"/>
      <c r="W116" s="133"/>
      <c r="AF116" s="1"/>
      <c r="AN116" s="1"/>
      <c r="AV116" s="1"/>
    </row>
    <row r="117" spans="19:48" s="20" customFormat="1" ht="22.5" customHeight="1" x14ac:dyDescent="0.25">
      <c r="S117" s="1"/>
      <c r="V117" s="133"/>
      <c r="W117" s="133"/>
      <c r="AF117" s="1"/>
      <c r="AN117" s="1"/>
      <c r="AV117" s="1"/>
    </row>
    <row r="118" spans="19:48" s="20" customFormat="1" ht="22.5" customHeight="1" x14ac:dyDescent="0.25">
      <c r="S118" s="1"/>
      <c r="V118" s="133"/>
      <c r="W118" s="133"/>
      <c r="AF118" s="1"/>
      <c r="AN118" s="1"/>
      <c r="AV118" s="1"/>
    </row>
    <row r="119" spans="19:48" s="20" customFormat="1" ht="22.5" customHeight="1" x14ac:dyDescent="0.25">
      <c r="S119" s="1"/>
      <c r="V119" s="133"/>
      <c r="W119" s="133"/>
      <c r="AF119" s="1"/>
      <c r="AN119" s="1"/>
      <c r="AV119" s="1"/>
    </row>
    <row r="120" spans="19:48" s="20" customFormat="1" ht="22.5" customHeight="1" x14ac:dyDescent="0.25">
      <c r="S120" s="1"/>
      <c r="V120" s="133"/>
      <c r="W120" s="133"/>
      <c r="AF120" s="1"/>
      <c r="AN120" s="1"/>
      <c r="AV120" s="1"/>
    </row>
    <row r="121" spans="19:48" s="20" customFormat="1" ht="22.5" customHeight="1" x14ac:dyDescent="0.25">
      <c r="S121" s="1"/>
      <c r="V121" s="133"/>
      <c r="W121" s="133"/>
      <c r="AF121" s="1"/>
      <c r="AN121" s="1"/>
      <c r="AV121" s="1"/>
    </row>
    <row r="122" spans="19:48" s="20" customFormat="1" ht="22.5" customHeight="1" x14ac:dyDescent="0.25">
      <c r="S122" s="1"/>
      <c r="V122" s="133"/>
      <c r="W122" s="133"/>
      <c r="AF122" s="1"/>
      <c r="AN122" s="1"/>
      <c r="AV122" s="1"/>
    </row>
    <row r="123" spans="19:48" s="20" customFormat="1" ht="22.5" customHeight="1" x14ac:dyDescent="0.25">
      <c r="S123" s="1"/>
      <c r="V123" s="133"/>
      <c r="W123" s="133"/>
      <c r="AF123" s="1"/>
      <c r="AN123" s="1"/>
      <c r="AV123" s="1"/>
    </row>
    <row r="124" spans="19:48" s="20" customFormat="1" ht="22.5" customHeight="1" x14ac:dyDescent="0.25">
      <c r="S124" s="1"/>
      <c r="V124" s="133"/>
      <c r="W124" s="133"/>
      <c r="AF124" s="1"/>
      <c r="AN124" s="1"/>
      <c r="AV124" s="1"/>
    </row>
    <row r="125" spans="19:48" s="20" customFormat="1" ht="22.5" customHeight="1" x14ac:dyDescent="0.25">
      <c r="S125" s="1"/>
      <c r="V125" s="133"/>
      <c r="W125" s="133"/>
      <c r="AF125" s="1"/>
      <c r="AN125" s="1"/>
      <c r="AV125" s="1"/>
    </row>
    <row r="126" spans="19:48" s="20" customFormat="1" ht="22.5" customHeight="1" x14ac:dyDescent="0.25">
      <c r="S126" s="1"/>
      <c r="V126" s="133"/>
      <c r="W126" s="133"/>
      <c r="AF126" s="1"/>
      <c r="AN126" s="1"/>
      <c r="AV126" s="1"/>
    </row>
    <row r="127" spans="19:48" s="20" customFormat="1" ht="22.5" customHeight="1" x14ac:dyDescent="0.25">
      <c r="S127" s="1"/>
      <c r="V127" s="133"/>
      <c r="W127" s="133"/>
      <c r="AF127" s="1"/>
      <c r="AN127" s="1"/>
      <c r="AV127" s="1"/>
    </row>
    <row r="128" spans="19:48" s="20" customFormat="1" ht="22.5" customHeight="1" x14ac:dyDescent="0.25">
      <c r="S128" s="1"/>
      <c r="V128" s="133"/>
      <c r="W128" s="133"/>
      <c r="AF128" s="1"/>
      <c r="AN128" s="1"/>
      <c r="AV128" s="1"/>
    </row>
    <row r="129" spans="19:48" s="20" customFormat="1" ht="22.5" customHeight="1" x14ac:dyDescent="0.25">
      <c r="S129" s="1"/>
      <c r="V129" s="133"/>
      <c r="W129" s="133"/>
      <c r="AF129" s="1"/>
      <c r="AN129" s="1"/>
      <c r="AV129" s="1"/>
    </row>
    <row r="130" spans="19:48" s="20" customFormat="1" ht="22.5" customHeight="1" x14ac:dyDescent="0.25">
      <c r="S130" s="1"/>
      <c r="V130" s="133"/>
      <c r="W130" s="133"/>
      <c r="AF130" s="1"/>
      <c r="AN130" s="1"/>
      <c r="AV130" s="1"/>
    </row>
    <row r="131" spans="19:48" s="20" customFormat="1" ht="22.5" customHeight="1" x14ac:dyDescent="0.25">
      <c r="S131" s="1"/>
      <c r="V131" s="133"/>
      <c r="W131" s="133"/>
      <c r="AF131" s="1"/>
      <c r="AN131" s="1"/>
      <c r="AV131" s="1"/>
    </row>
    <row r="132" spans="19:48" s="20" customFormat="1" ht="22.5" customHeight="1" x14ac:dyDescent="0.25">
      <c r="S132" s="1"/>
      <c r="V132" s="133"/>
      <c r="W132" s="133"/>
      <c r="AF132" s="1"/>
      <c r="AN132" s="1"/>
      <c r="AV132" s="1"/>
    </row>
    <row r="133" spans="19:48" s="20" customFormat="1" ht="22.5" customHeight="1" x14ac:dyDescent="0.25">
      <c r="S133" s="1"/>
      <c r="V133" s="133"/>
      <c r="W133" s="133"/>
      <c r="AF133" s="1"/>
      <c r="AN133" s="1"/>
      <c r="AV133" s="1"/>
    </row>
    <row r="134" spans="19:48" s="20" customFormat="1" ht="22.5" customHeight="1" x14ac:dyDescent="0.25">
      <c r="S134" s="1"/>
      <c r="V134" s="133"/>
      <c r="W134" s="133"/>
      <c r="AF134" s="1"/>
      <c r="AN134" s="1"/>
      <c r="AV134" s="1"/>
    </row>
    <row r="135" spans="19:48" s="20" customFormat="1" ht="22.5" customHeight="1" x14ac:dyDescent="0.25">
      <c r="S135" s="1"/>
      <c r="V135" s="133"/>
      <c r="W135" s="133"/>
      <c r="AF135" s="1"/>
      <c r="AN135" s="1"/>
      <c r="AV135" s="1"/>
    </row>
    <row r="136" spans="19:48" s="20" customFormat="1" ht="22.5" customHeight="1" x14ac:dyDescent="0.25">
      <c r="S136" s="1"/>
      <c r="V136" s="133"/>
      <c r="W136" s="133"/>
      <c r="AF136" s="1"/>
      <c r="AN136" s="1"/>
      <c r="AV136" s="1"/>
    </row>
    <row r="137" spans="19:48" s="20" customFormat="1" ht="22.5" customHeight="1" x14ac:dyDescent="0.25">
      <c r="S137" s="1"/>
      <c r="V137" s="133"/>
      <c r="W137" s="133"/>
      <c r="AF137" s="1"/>
      <c r="AN137" s="1"/>
      <c r="AV137" s="1"/>
    </row>
    <row r="138" spans="19:48" s="20" customFormat="1" ht="22.5" customHeight="1" x14ac:dyDescent="0.25">
      <c r="S138" s="1"/>
      <c r="V138" s="133"/>
      <c r="W138" s="133"/>
      <c r="AF138" s="1"/>
      <c r="AN138" s="1"/>
      <c r="AV138" s="1"/>
    </row>
    <row r="139" spans="19:48" s="20" customFormat="1" ht="22.5" customHeight="1" x14ac:dyDescent="0.25">
      <c r="S139" s="1"/>
      <c r="V139" s="133"/>
      <c r="W139" s="133"/>
      <c r="AF139" s="1"/>
      <c r="AN139" s="1"/>
      <c r="AV139" s="1"/>
    </row>
    <row r="140" spans="19:48" s="20" customFormat="1" ht="22.5" customHeight="1" x14ac:dyDescent="0.25">
      <c r="S140" s="1"/>
      <c r="V140" s="133"/>
      <c r="W140" s="133"/>
      <c r="AF140" s="1"/>
      <c r="AN140" s="1"/>
      <c r="AV140" s="1"/>
    </row>
    <row r="141" spans="19:48" s="20" customFormat="1" ht="22.5" customHeight="1" x14ac:dyDescent="0.25">
      <c r="S141" s="1"/>
      <c r="V141" s="133"/>
      <c r="W141" s="133"/>
      <c r="AF141" s="1"/>
      <c r="AN141" s="1"/>
      <c r="AV141" s="1"/>
    </row>
    <row r="142" spans="19:48" s="20" customFormat="1" ht="22.5" customHeight="1" x14ac:dyDescent="0.25">
      <c r="S142" s="1"/>
      <c r="V142" s="133"/>
      <c r="W142" s="133"/>
      <c r="AF142" s="1"/>
      <c r="AN142" s="1"/>
      <c r="AV142" s="1"/>
    </row>
    <row r="143" spans="19:48" s="20" customFormat="1" ht="22.5" customHeight="1" x14ac:dyDescent="0.25">
      <c r="S143" s="1"/>
      <c r="V143" s="133"/>
      <c r="W143" s="133"/>
      <c r="AF143" s="1"/>
      <c r="AN143" s="1"/>
      <c r="AV143" s="1"/>
    </row>
    <row r="144" spans="19:48" s="20" customFormat="1" ht="22.5" customHeight="1" x14ac:dyDescent="0.25">
      <c r="S144" s="1"/>
      <c r="V144" s="133"/>
      <c r="W144" s="133"/>
      <c r="AF144" s="1"/>
      <c r="AN144" s="1"/>
      <c r="AV144" s="1"/>
    </row>
    <row r="145" spans="19:48" s="20" customFormat="1" ht="22.5" customHeight="1" x14ac:dyDescent="0.25">
      <c r="S145" s="1"/>
      <c r="V145" s="133"/>
      <c r="W145" s="133"/>
      <c r="AF145" s="1"/>
      <c r="AN145" s="1"/>
      <c r="AV145" s="1"/>
    </row>
    <row r="146" spans="19:48" s="20" customFormat="1" ht="22.5" customHeight="1" x14ac:dyDescent="0.25">
      <c r="S146" s="1"/>
      <c r="V146" s="133"/>
      <c r="W146" s="133"/>
      <c r="AF146" s="1"/>
      <c r="AN146" s="1"/>
      <c r="AV146" s="1"/>
    </row>
    <row r="147" spans="19:48" s="20" customFormat="1" ht="22.5" customHeight="1" x14ac:dyDescent="0.25">
      <c r="S147" s="1"/>
      <c r="V147" s="133"/>
      <c r="W147" s="133"/>
      <c r="AF147" s="1"/>
      <c r="AN147" s="1"/>
      <c r="AV147" s="1"/>
    </row>
    <row r="148" spans="19:48" s="20" customFormat="1" ht="22.5" customHeight="1" x14ac:dyDescent="0.25">
      <c r="S148" s="1"/>
      <c r="V148" s="133"/>
      <c r="W148" s="133"/>
      <c r="AF148" s="1"/>
      <c r="AN148" s="1"/>
      <c r="AV148" s="1"/>
    </row>
    <row r="149" spans="19:48" s="20" customFormat="1" ht="22.5" customHeight="1" x14ac:dyDescent="0.25">
      <c r="S149" s="1"/>
      <c r="V149" s="133"/>
      <c r="W149" s="133"/>
      <c r="AF149" s="1"/>
      <c r="AN149" s="1"/>
      <c r="AV149" s="1"/>
    </row>
    <row r="150" spans="19:48" s="20" customFormat="1" ht="22.5" customHeight="1" x14ac:dyDescent="0.25">
      <c r="S150" s="1"/>
      <c r="V150" s="133"/>
      <c r="W150" s="133"/>
      <c r="AF150" s="1"/>
      <c r="AN150" s="1"/>
      <c r="AV150" s="1"/>
    </row>
    <row r="151" spans="19:48" s="20" customFormat="1" ht="22.5" customHeight="1" x14ac:dyDescent="0.25">
      <c r="S151" s="1"/>
      <c r="V151" s="133"/>
      <c r="W151" s="133"/>
      <c r="AF151" s="1"/>
      <c r="AN151" s="1"/>
      <c r="AV151" s="1"/>
    </row>
    <row r="152" spans="19:48" s="20" customFormat="1" ht="22.5" customHeight="1" x14ac:dyDescent="0.25">
      <c r="S152" s="1"/>
      <c r="V152" s="133"/>
      <c r="W152" s="133"/>
      <c r="AF152" s="1"/>
      <c r="AN152" s="1"/>
      <c r="AV152" s="1"/>
    </row>
    <row r="153" spans="19:48" s="20" customFormat="1" ht="22.5" customHeight="1" x14ac:dyDescent="0.25">
      <c r="S153" s="1"/>
      <c r="V153" s="133"/>
      <c r="W153" s="133"/>
      <c r="AF153" s="1"/>
      <c r="AN153" s="1"/>
      <c r="AV153" s="1"/>
    </row>
    <row r="154" spans="19:48" s="20" customFormat="1" ht="22.5" customHeight="1" x14ac:dyDescent="0.25">
      <c r="S154" s="1"/>
      <c r="V154" s="133"/>
      <c r="W154" s="133"/>
      <c r="AF154" s="1"/>
      <c r="AN154" s="1"/>
      <c r="AV154" s="1"/>
    </row>
    <row r="155" spans="19:48" s="20" customFormat="1" ht="22.5" customHeight="1" x14ac:dyDescent="0.25">
      <c r="S155" s="1"/>
      <c r="V155" s="133"/>
      <c r="W155" s="133"/>
      <c r="AF155" s="1"/>
      <c r="AN155" s="1"/>
      <c r="AV155" s="1"/>
    </row>
    <row r="156" spans="19:48" s="20" customFormat="1" ht="22.5" customHeight="1" x14ac:dyDescent="0.25">
      <c r="S156" s="1"/>
      <c r="V156" s="133"/>
      <c r="W156" s="133"/>
      <c r="AF156" s="1"/>
      <c r="AN156" s="1"/>
      <c r="AV156" s="1"/>
    </row>
    <row r="157" spans="19:48" s="20" customFormat="1" ht="22.5" customHeight="1" x14ac:dyDescent="0.25">
      <c r="S157" s="1"/>
      <c r="V157" s="133"/>
      <c r="W157" s="133"/>
      <c r="AF157" s="1"/>
      <c r="AN157" s="1"/>
      <c r="AV157" s="1"/>
    </row>
    <row r="158" spans="19:48" s="20" customFormat="1" ht="22.5" customHeight="1" x14ac:dyDescent="0.25">
      <c r="S158" s="1"/>
      <c r="V158" s="133"/>
      <c r="W158" s="133"/>
      <c r="AF158" s="1"/>
      <c r="AN158" s="1"/>
      <c r="AV158" s="1"/>
    </row>
    <row r="159" spans="19:48" s="20" customFormat="1" ht="22.5" customHeight="1" x14ac:dyDescent="0.25">
      <c r="S159" s="1"/>
      <c r="V159" s="133"/>
      <c r="W159" s="133"/>
      <c r="AF159" s="1"/>
      <c r="AN159" s="1"/>
      <c r="AV159" s="1"/>
    </row>
    <row r="160" spans="19:48" s="20" customFormat="1" ht="22.5" customHeight="1" x14ac:dyDescent="0.25">
      <c r="S160" s="1"/>
      <c r="V160" s="133"/>
      <c r="W160" s="133"/>
      <c r="AF160" s="1"/>
      <c r="AN160" s="1"/>
      <c r="AV160" s="1"/>
    </row>
    <row r="161" spans="19:48" s="20" customFormat="1" ht="22.5" customHeight="1" x14ac:dyDescent="0.25">
      <c r="S161" s="1"/>
      <c r="V161" s="133"/>
      <c r="W161" s="133"/>
      <c r="AF161" s="1"/>
      <c r="AN161" s="1"/>
      <c r="AV161" s="1"/>
    </row>
    <row r="162" spans="19:48" s="20" customFormat="1" ht="22.5" customHeight="1" x14ac:dyDescent="0.25">
      <c r="S162" s="1"/>
      <c r="V162" s="133"/>
      <c r="W162" s="133"/>
      <c r="AF162" s="1"/>
      <c r="AN162" s="1"/>
      <c r="AV162" s="1"/>
    </row>
    <row r="163" spans="19:48" s="20" customFormat="1" ht="22.5" customHeight="1" x14ac:dyDescent="0.25">
      <c r="S163" s="1"/>
      <c r="V163" s="133"/>
      <c r="W163" s="133"/>
      <c r="AF163" s="1"/>
      <c r="AN163" s="1"/>
      <c r="AV163" s="1"/>
    </row>
    <row r="164" spans="19:48" s="20" customFormat="1" ht="22.5" customHeight="1" x14ac:dyDescent="0.25">
      <c r="S164" s="1"/>
      <c r="V164" s="133"/>
      <c r="W164" s="133"/>
      <c r="AF164" s="1"/>
      <c r="AN164" s="1"/>
      <c r="AV164" s="1"/>
    </row>
    <row r="165" spans="19:48" s="20" customFormat="1" ht="22.5" customHeight="1" x14ac:dyDescent="0.25">
      <c r="S165" s="1"/>
      <c r="V165" s="133"/>
      <c r="W165" s="133"/>
      <c r="AF165" s="1"/>
      <c r="AN165" s="1"/>
      <c r="AV165" s="1"/>
    </row>
    <row r="166" spans="19:48" s="20" customFormat="1" ht="22.5" customHeight="1" x14ac:dyDescent="0.25">
      <c r="S166" s="1"/>
      <c r="V166" s="133"/>
      <c r="W166" s="133"/>
      <c r="AF166" s="1"/>
      <c r="AN166" s="1"/>
      <c r="AV166" s="1"/>
    </row>
    <row r="167" spans="19:48" s="20" customFormat="1" ht="22.5" customHeight="1" x14ac:dyDescent="0.25">
      <c r="S167" s="1"/>
      <c r="V167" s="133"/>
      <c r="W167" s="133"/>
      <c r="AF167" s="1"/>
      <c r="AN167" s="1"/>
      <c r="AV167" s="1"/>
    </row>
    <row r="168" spans="19:48" s="20" customFormat="1" ht="22.5" customHeight="1" x14ac:dyDescent="0.25">
      <c r="S168" s="1"/>
      <c r="V168" s="133"/>
      <c r="W168" s="133"/>
      <c r="AF168" s="1"/>
      <c r="AN168" s="1"/>
      <c r="AV168" s="1"/>
    </row>
    <row r="169" spans="19:48" s="20" customFormat="1" ht="22.5" customHeight="1" x14ac:dyDescent="0.25">
      <c r="S169" s="1"/>
      <c r="V169" s="133"/>
      <c r="W169" s="133"/>
      <c r="AF169" s="1"/>
      <c r="AN169" s="1"/>
      <c r="AV169" s="1"/>
    </row>
    <row r="170" spans="19:48" s="20" customFormat="1" ht="22.5" customHeight="1" x14ac:dyDescent="0.25">
      <c r="S170" s="1"/>
      <c r="V170" s="133"/>
      <c r="W170" s="133"/>
      <c r="AF170" s="1"/>
      <c r="AN170" s="1"/>
      <c r="AV170" s="1"/>
    </row>
    <row r="171" spans="19:48" s="20" customFormat="1" ht="22.5" customHeight="1" x14ac:dyDescent="0.25">
      <c r="S171" s="1"/>
      <c r="V171" s="133"/>
      <c r="W171" s="133"/>
      <c r="AF171" s="1"/>
      <c r="AN171" s="1"/>
      <c r="AV171" s="1"/>
    </row>
    <row r="172" spans="19:48" s="20" customFormat="1" ht="22.5" customHeight="1" x14ac:dyDescent="0.25">
      <c r="S172" s="1"/>
      <c r="V172" s="133"/>
      <c r="W172" s="133"/>
      <c r="AF172" s="1"/>
      <c r="AN172" s="1"/>
      <c r="AV172" s="1"/>
    </row>
    <row r="173" spans="19:48" s="20" customFormat="1" ht="22.5" customHeight="1" x14ac:dyDescent="0.25">
      <c r="S173" s="1"/>
      <c r="V173" s="133"/>
      <c r="W173" s="133"/>
      <c r="AF173" s="1"/>
      <c r="AN173" s="1"/>
      <c r="AV173" s="1"/>
    </row>
    <row r="174" spans="19:48" s="20" customFormat="1" ht="22.5" customHeight="1" x14ac:dyDescent="0.25">
      <c r="S174" s="1"/>
      <c r="V174" s="133"/>
      <c r="W174" s="133"/>
      <c r="AF174" s="1"/>
      <c r="AN174" s="1"/>
      <c r="AV174" s="1"/>
    </row>
    <row r="175" spans="19:48" s="20" customFormat="1" ht="22.5" customHeight="1" x14ac:dyDescent="0.25">
      <c r="S175" s="1"/>
      <c r="V175" s="133"/>
      <c r="W175" s="133"/>
      <c r="AF175" s="1"/>
      <c r="AN175" s="1"/>
      <c r="AV175" s="1"/>
    </row>
    <row r="176" spans="19:48" s="20" customFormat="1" ht="22.5" customHeight="1" x14ac:dyDescent="0.25">
      <c r="S176" s="1"/>
      <c r="V176" s="133"/>
      <c r="W176" s="133"/>
      <c r="AF176" s="1"/>
      <c r="AN176" s="1"/>
      <c r="AV176" s="1"/>
    </row>
    <row r="177" spans="19:48" s="20" customFormat="1" ht="22.5" customHeight="1" x14ac:dyDescent="0.25">
      <c r="S177" s="1"/>
      <c r="V177" s="133"/>
      <c r="W177" s="133"/>
      <c r="AF177" s="1"/>
      <c r="AN177" s="1"/>
      <c r="AV177" s="1"/>
    </row>
    <row r="178" spans="19:48" s="20" customFormat="1" ht="22.5" customHeight="1" x14ac:dyDescent="0.25">
      <c r="S178" s="1"/>
      <c r="V178" s="133"/>
      <c r="W178" s="133"/>
      <c r="AF178" s="1"/>
      <c r="AN178" s="1"/>
      <c r="AV178" s="1"/>
    </row>
    <row r="179" spans="19:48" s="20" customFormat="1" ht="22.5" customHeight="1" x14ac:dyDescent="0.25">
      <c r="S179" s="1"/>
      <c r="V179" s="133"/>
      <c r="W179" s="133"/>
      <c r="AF179" s="1"/>
      <c r="AN179" s="1"/>
      <c r="AV179" s="1"/>
    </row>
    <row r="180" spans="19:48" s="20" customFormat="1" ht="22.5" customHeight="1" x14ac:dyDescent="0.25">
      <c r="S180" s="1"/>
      <c r="V180" s="133"/>
      <c r="W180" s="133"/>
      <c r="AF180" s="1"/>
      <c r="AN180" s="1"/>
      <c r="AV180" s="1"/>
    </row>
    <row r="181" spans="19:48" s="20" customFormat="1" ht="22.5" customHeight="1" x14ac:dyDescent="0.25">
      <c r="S181" s="1"/>
      <c r="V181" s="133"/>
      <c r="W181" s="133"/>
      <c r="AF181" s="1"/>
      <c r="AN181" s="1"/>
      <c r="AV181" s="1"/>
    </row>
    <row r="182" spans="19:48" s="20" customFormat="1" ht="22.5" customHeight="1" x14ac:dyDescent="0.25">
      <c r="S182" s="1"/>
      <c r="V182" s="133"/>
      <c r="W182" s="133"/>
      <c r="AF182" s="1"/>
      <c r="AN182" s="1"/>
      <c r="AV182" s="1"/>
    </row>
    <row r="183" spans="19:48" s="20" customFormat="1" ht="22.5" customHeight="1" x14ac:dyDescent="0.25">
      <c r="S183" s="1"/>
      <c r="V183" s="133"/>
      <c r="W183" s="133"/>
      <c r="AF183" s="1"/>
      <c r="AN183" s="1"/>
      <c r="AV183" s="1"/>
    </row>
    <row r="184" spans="19:48" s="20" customFormat="1" ht="22.5" customHeight="1" x14ac:dyDescent="0.25">
      <c r="S184" s="1"/>
      <c r="V184" s="133"/>
      <c r="W184" s="133"/>
      <c r="AF184" s="1"/>
      <c r="AN184" s="1"/>
      <c r="AV184" s="1"/>
    </row>
    <row r="185" spans="19:48" s="20" customFormat="1" ht="22.5" customHeight="1" x14ac:dyDescent="0.25">
      <c r="S185" s="1"/>
      <c r="V185" s="133"/>
      <c r="W185" s="133"/>
      <c r="AF185" s="1"/>
      <c r="AN185" s="1"/>
      <c r="AV185" s="1"/>
    </row>
    <row r="186" spans="19:48" s="20" customFormat="1" ht="22.5" customHeight="1" x14ac:dyDescent="0.25">
      <c r="S186" s="1"/>
      <c r="V186" s="133"/>
      <c r="W186" s="133"/>
      <c r="AF186" s="1"/>
      <c r="AN186" s="1"/>
      <c r="AV186" s="1"/>
    </row>
    <row r="187" spans="19:48" s="20" customFormat="1" ht="22.5" customHeight="1" x14ac:dyDescent="0.25">
      <c r="S187" s="1"/>
      <c r="V187" s="133"/>
      <c r="W187" s="133"/>
      <c r="AF187" s="1"/>
      <c r="AN187" s="1"/>
      <c r="AV187" s="1"/>
    </row>
    <row r="188" spans="19:48" s="20" customFormat="1" ht="22.5" customHeight="1" x14ac:dyDescent="0.25">
      <c r="S188" s="1"/>
      <c r="V188" s="133"/>
      <c r="W188" s="133"/>
      <c r="AF188" s="1"/>
      <c r="AN188" s="1"/>
      <c r="AV188" s="1"/>
    </row>
    <row r="189" spans="19:48" s="20" customFormat="1" ht="22.5" customHeight="1" x14ac:dyDescent="0.25">
      <c r="S189" s="1"/>
      <c r="V189" s="133"/>
      <c r="W189" s="133"/>
      <c r="AF189" s="1"/>
      <c r="AN189" s="1"/>
      <c r="AV189" s="1"/>
    </row>
    <row r="190" spans="19:48" s="20" customFormat="1" ht="22.5" customHeight="1" x14ac:dyDescent="0.25">
      <c r="S190" s="1"/>
      <c r="V190" s="133"/>
      <c r="W190" s="133"/>
      <c r="AF190" s="1"/>
      <c r="AN190" s="1"/>
      <c r="AV190" s="1"/>
    </row>
    <row r="191" spans="19:48" s="20" customFormat="1" ht="22.5" customHeight="1" x14ac:dyDescent="0.25">
      <c r="S191" s="1"/>
      <c r="V191" s="133"/>
      <c r="W191" s="133"/>
      <c r="AF191" s="1"/>
      <c r="AN191" s="1"/>
      <c r="AV191" s="1"/>
    </row>
    <row r="192" spans="19:48" s="20" customFormat="1" ht="22.5" customHeight="1" x14ac:dyDescent="0.25">
      <c r="S192" s="1"/>
      <c r="V192" s="133"/>
      <c r="W192" s="133"/>
      <c r="AF192" s="1"/>
      <c r="AN192" s="1"/>
      <c r="AV192" s="1"/>
    </row>
    <row r="193" spans="19:48" s="20" customFormat="1" ht="22.5" customHeight="1" x14ac:dyDescent="0.25">
      <c r="S193" s="1"/>
      <c r="V193" s="133"/>
      <c r="W193" s="133"/>
      <c r="AF193" s="1"/>
      <c r="AN193" s="1"/>
      <c r="AV193" s="1"/>
    </row>
    <row r="194" spans="19:48" s="20" customFormat="1" ht="22.5" customHeight="1" x14ac:dyDescent="0.25">
      <c r="S194" s="1"/>
      <c r="V194" s="133"/>
      <c r="W194" s="133"/>
      <c r="AF194" s="1"/>
      <c r="AN194" s="1"/>
      <c r="AV194" s="1"/>
    </row>
    <row r="195" spans="19:48" s="20" customFormat="1" ht="22.5" customHeight="1" x14ac:dyDescent="0.25">
      <c r="S195" s="1"/>
      <c r="V195" s="133"/>
      <c r="W195" s="133"/>
      <c r="AF195" s="1"/>
      <c r="AN195" s="1"/>
      <c r="AV195" s="1"/>
    </row>
    <row r="196" spans="19:48" s="20" customFormat="1" ht="22.5" customHeight="1" x14ac:dyDescent="0.25">
      <c r="S196" s="1"/>
      <c r="V196" s="133"/>
      <c r="W196" s="133"/>
      <c r="AF196" s="1"/>
      <c r="AN196" s="1"/>
      <c r="AV196" s="1"/>
    </row>
    <row r="197" spans="19:48" s="20" customFormat="1" ht="22.5" customHeight="1" x14ac:dyDescent="0.25">
      <c r="S197" s="1"/>
      <c r="V197" s="133"/>
      <c r="W197" s="133"/>
      <c r="AF197" s="1"/>
      <c r="AN197" s="1"/>
      <c r="AV197" s="1"/>
    </row>
    <row r="198" spans="19:48" s="20" customFormat="1" ht="22.5" customHeight="1" x14ac:dyDescent="0.25">
      <c r="S198" s="1"/>
      <c r="V198" s="133"/>
      <c r="W198" s="133"/>
      <c r="AF198" s="1"/>
      <c r="AN198" s="1"/>
      <c r="AV198" s="1"/>
    </row>
    <row r="199" spans="19:48" s="20" customFormat="1" ht="22.5" customHeight="1" x14ac:dyDescent="0.25">
      <c r="S199" s="1"/>
      <c r="V199" s="133"/>
      <c r="W199" s="133"/>
      <c r="AF199" s="1"/>
      <c r="AN199" s="1"/>
      <c r="AV199" s="1"/>
    </row>
    <row r="200" spans="19:48" s="20" customFormat="1" ht="22.5" customHeight="1" x14ac:dyDescent="0.25">
      <c r="S200" s="1"/>
      <c r="V200" s="133"/>
      <c r="W200" s="133"/>
      <c r="AF200" s="1"/>
      <c r="AN200" s="1"/>
      <c r="AV200" s="1"/>
    </row>
    <row r="201" spans="19:48" s="20" customFormat="1" ht="22.5" customHeight="1" x14ac:dyDescent="0.25">
      <c r="S201" s="1"/>
      <c r="V201" s="133"/>
      <c r="W201" s="133"/>
      <c r="AF201" s="1"/>
      <c r="AN201" s="1"/>
      <c r="AV201" s="1"/>
    </row>
    <row r="202" spans="19:48" s="20" customFormat="1" ht="22.5" customHeight="1" x14ac:dyDescent="0.25">
      <c r="S202" s="1"/>
      <c r="V202" s="133"/>
      <c r="W202" s="133"/>
      <c r="AF202" s="1"/>
      <c r="AN202" s="1"/>
      <c r="AV202" s="1"/>
    </row>
    <row r="203" spans="19:48" s="20" customFormat="1" ht="22.5" customHeight="1" x14ac:dyDescent="0.25">
      <c r="S203" s="1"/>
      <c r="V203" s="133"/>
      <c r="W203" s="133"/>
      <c r="AF203" s="1"/>
      <c r="AN203" s="1"/>
      <c r="AV203" s="1"/>
    </row>
    <row r="204" spans="19:48" s="20" customFormat="1" ht="22.5" customHeight="1" x14ac:dyDescent="0.25">
      <c r="S204" s="1"/>
      <c r="V204" s="133"/>
      <c r="W204" s="133"/>
      <c r="AF204" s="1"/>
      <c r="AN204" s="1"/>
      <c r="AV204" s="1"/>
    </row>
    <row r="205" spans="19:48" s="20" customFormat="1" ht="22.5" customHeight="1" x14ac:dyDescent="0.25">
      <c r="S205" s="1"/>
      <c r="V205" s="133"/>
      <c r="W205" s="133"/>
      <c r="AF205" s="1"/>
      <c r="AN205" s="1"/>
      <c r="AV205" s="1"/>
    </row>
    <row r="206" spans="19:48" s="20" customFormat="1" ht="22.5" customHeight="1" x14ac:dyDescent="0.25">
      <c r="S206" s="1"/>
      <c r="V206" s="133"/>
      <c r="W206" s="133"/>
      <c r="AF206" s="1"/>
      <c r="AN206" s="1"/>
      <c r="AV206" s="1"/>
    </row>
    <row r="207" spans="19:48" s="20" customFormat="1" ht="22.5" customHeight="1" x14ac:dyDescent="0.25">
      <c r="S207" s="1"/>
      <c r="V207" s="133"/>
      <c r="W207" s="133"/>
      <c r="AF207" s="1"/>
      <c r="AN207" s="1"/>
      <c r="AV207" s="1"/>
    </row>
    <row r="208" spans="19:48" s="20" customFormat="1" ht="22.5" customHeight="1" x14ac:dyDescent="0.25">
      <c r="S208" s="1"/>
      <c r="V208" s="133"/>
      <c r="W208" s="133"/>
      <c r="AF208" s="1"/>
      <c r="AN208" s="1"/>
      <c r="AV208" s="1"/>
    </row>
    <row r="209" spans="19:48" s="20" customFormat="1" ht="22.5" customHeight="1" x14ac:dyDescent="0.25">
      <c r="S209" s="1"/>
      <c r="V209" s="133"/>
      <c r="W209" s="133"/>
      <c r="AF209" s="1"/>
      <c r="AN209" s="1"/>
      <c r="AV209" s="1"/>
    </row>
    <row r="210" spans="19:48" s="20" customFormat="1" ht="22.5" customHeight="1" x14ac:dyDescent="0.25">
      <c r="S210" s="1"/>
      <c r="V210" s="133"/>
      <c r="W210" s="133"/>
      <c r="AF210" s="1"/>
      <c r="AN210" s="1"/>
      <c r="AV210" s="1"/>
    </row>
    <row r="211" spans="19:48" s="20" customFormat="1" ht="22.5" customHeight="1" x14ac:dyDescent="0.25">
      <c r="S211" s="1"/>
      <c r="V211" s="133"/>
      <c r="W211" s="133"/>
      <c r="AF211" s="1"/>
      <c r="AN211" s="1"/>
      <c r="AV211" s="1"/>
    </row>
    <row r="212" spans="19:48" s="20" customFormat="1" ht="22.5" customHeight="1" x14ac:dyDescent="0.25">
      <c r="S212" s="1"/>
      <c r="V212" s="133"/>
      <c r="W212" s="133"/>
      <c r="AF212" s="1"/>
      <c r="AN212" s="1"/>
      <c r="AV212" s="1"/>
    </row>
    <row r="213" spans="19:48" s="20" customFormat="1" ht="22.5" customHeight="1" x14ac:dyDescent="0.25">
      <c r="S213" s="1"/>
      <c r="V213" s="133"/>
      <c r="W213" s="133"/>
      <c r="AF213" s="1"/>
      <c r="AN213" s="1"/>
      <c r="AV213" s="1"/>
    </row>
    <row r="214" spans="19:48" s="20" customFormat="1" ht="22.5" customHeight="1" x14ac:dyDescent="0.25">
      <c r="S214" s="1"/>
      <c r="V214" s="133"/>
      <c r="W214" s="133"/>
      <c r="AF214" s="1"/>
      <c r="AN214" s="1"/>
      <c r="AV214" s="1"/>
    </row>
    <row r="215" spans="19:48" s="20" customFormat="1" ht="22.5" customHeight="1" x14ac:dyDescent="0.25">
      <c r="S215" s="1"/>
      <c r="V215" s="133"/>
      <c r="W215" s="133"/>
      <c r="AF215" s="1"/>
      <c r="AN215" s="1"/>
      <c r="AV215" s="1"/>
    </row>
    <row r="216" spans="19:48" s="20" customFormat="1" ht="22.5" customHeight="1" x14ac:dyDescent="0.25">
      <c r="S216" s="1"/>
      <c r="V216" s="133"/>
      <c r="W216" s="133"/>
      <c r="AF216" s="1"/>
      <c r="AN216" s="1"/>
      <c r="AV216" s="1"/>
    </row>
    <row r="217" spans="19:48" s="20" customFormat="1" ht="22.5" customHeight="1" x14ac:dyDescent="0.25">
      <c r="S217" s="1"/>
      <c r="V217" s="133"/>
      <c r="W217" s="133"/>
      <c r="AF217" s="1"/>
      <c r="AN217" s="1"/>
      <c r="AV217" s="1"/>
    </row>
    <row r="218" spans="19:48" s="20" customFormat="1" ht="22.5" customHeight="1" x14ac:dyDescent="0.25">
      <c r="S218" s="1"/>
      <c r="V218" s="133"/>
      <c r="W218" s="133"/>
      <c r="AF218" s="1"/>
      <c r="AN218" s="1"/>
      <c r="AV218" s="1"/>
    </row>
    <row r="219" spans="19:48" s="20" customFormat="1" ht="22.5" customHeight="1" x14ac:dyDescent="0.25">
      <c r="S219" s="1"/>
      <c r="V219" s="133"/>
      <c r="W219" s="133"/>
      <c r="AF219" s="1"/>
      <c r="AN219" s="1"/>
      <c r="AV219" s="1"/>
    </row>
    <row r="220" spans="19:48" s="20" customFormat="1" ht="22.5" customHeight="1" x14ac:dyDescent="0.25">
      <c r="S220" s="1"/>
      <c r="V220" s="133"/>
      <c r="W220" s="133"/>
      <c r="AF220" s="1"/>
      <c r="AN220" s="1"/>
      <c r="AV220" s="1"/>
    </row>
    <row r="221" spans="19:48" s="20" customFormat="1" ht="22.5" customHeight="1" x14ac:dyDescent="0.25">
      <c r="S221" s="1"/>
      <c r="V221" s="133"/>
      <c r="W221" s="133"/>
      <c r="AF221" s="1"/>
      <c r="AN221" s="1"/>
      <c r="AV221" s="1"/>
    </row>
    <row r="222" spans="19:48" s="20" customFormat="1" ht="22.5" customHeight="1" x14ac:dyDescent="0.25">
      <c r="S222" s="1"/>
      <c r="V222" s="133"/>
      <c r="W222" s="133"/>
      <c r="AF222" s="1"/>
      <c r="AN222" s="1"/>
      <c r="AV222" s="1"/>
    </row>
    <row r="223" spans="19:48" s="20" customFormat="1" ht="22.5" customHeight="1" x14ac:dyDescent="0.25">
      <c r="S223" s="1"/>
      <c r="V223" s="133"/>
      <c r="W223" s="133"/>
      <c r="AF223" s="1"/>
      <c r="AN223" s="1"/>
      <c r="AV223" s="1"/>
    </row>
    <row r="224" spans="19:48" s="20" customFormat="1" ht="22.5" customHeight="1" x14ac:dyDescent="0.25">
      <c r="S224" s="1"/>
      <c r="V224" s="133"/>
      <c r="W224" s="133"/>
      <c r="AF224" s="1"/>
      <c r="AN224" s="1"/>
      <c r="AV224" s="1"/>
    </row>
    <row r="225" spans="19:48" s="20" customFormat="1" ht="22.5" customHeight="1" x14ac:dyDescent="0.25">
      <c r="S225" s="1"/>
      <c r="V225" s="133"/>
      <c r="W225" s="133"/>
      <c r="AF225" s="1"/>
      <c r="AN225" s="1"/>
      <c r="AV225" s="1"/>
    </row>
    <row r="226" spans="19:48" s="20" customFormat="1" ht="22.5" customHeight="1" x14ac:dyDescent="0.25">
      <c r="S226" s="1"/>
      <c r="V226" s="133"/>
      <c r="W226" s="133"/>
      <c r="AF226" s="1"/>
      <c r="AN226" s="1"/>
      <c r="AV226" s="1"/>
    </row>
    <row r="227" spans="19:48" s="20" customFormat="1" ht="22.5" customHeight="1" x14ac:dyDescent="0.25">
      <c r="S227" s="1"/>
      <c r="V227" s="133"/>
      <c r="W227" s="133"/>
      <c r="AF227" s="1"/>
      <c r="AN227" s="1"/>
      <c r="AV227" s="1"/>
    </row>
    <row r="228" spans="19:48" s="20" customFormat="1" ht="22.5" customHeight="1" x14ac:dyDescent="0.25">
      <c r="S228" s="1"/>
      <c r="V228" s="133"/>
      <c r="W228" s="133"/>
      <c r="AF228" s="1"/>
      <c r="AN228" s="1"/>
      <c r="AV228" s="1"/>
    </row>
    <row r="229" spans="19:48" s="20" customFormat="1" ht="22.5" customHeight="1" x14ac:dyDescent="0.25">
      <c r="S229" s="1"/>
      <c r="V229" s="133"/>
      <c r="W229" s="133"/>
      <c r="AF229" s="1"/>
      <c r="AN229" s="1"/>
      <c r="AV229" s="1"/>
    </row>
    <row r="230" spans="19:48" s="20" customFormat="1" ht="22.5" customHeight="1" x14ac:dyDescent="0.25">
      <c r="S230" s="1"/>
      <c r="V230" s="133"/>
      <c r="W230" s="133"/>
      <c r="AF230" s="1"/>
      <c r="AN230" s="1"/>
      <c r="AV230" s="1"/>
    </row>
    <row r="231" spans="19:48" s="20" customFormat="1" ht="22.5" customHeight="1" x14ac:dyDescent="0.25">
      <c r="S231" s="1"/>
      <c r="V231" s="133"/>
      <c r="W231" s="133"/>
      <c r="AF231" s="1"/>
      <c r="AN231" s="1"/>
      <c r="AV231" s="1"/>
    </row>
    <row r="232" spans="19:48" s="20" customFormat="1" ht="22.5" customHeight="1" x14ac:dyDescent="0.25">
      <c r="S232" s="1"/>
      <c r="V232" s="133"/>
      <c r="W232" s="133"/>
      <c r="AF232" s="1"/>
      <c r="AN232" s="1"/>
      <c r="AV232" s="1"/>
    </row>
    <row r="233" spans="19:48" s="20" customFormat="1" ht="22.5" customHeight="1" x14ac:dyDescent="0.25">
      <c r="S233" s="1"/>
      <c r="V233" s="133"/>
      <c r="W233" s="133"/>
      <c r="AF233" s="1"/>
      <c r="AN233" s="1"/>
      <c r="AV233" s="1"/>
    </row>
    <row r="234" spans="19:48" s="20" customFormat="1" ht="22.5" customHeight="1" x14ac:dyDescent="0.25">
      <c r="S234" s="1"/>
      <c r="V234" s="133"/>
      <c r="W234" s="133"/>
      <c r="AF234" s="1"/>
      <c r="AN234" s="1"/>
      <c r="AV234" s="1"/>
    </row>
    <row r="235" spans="19:48" s="20" customFormat="1" ht="22.5" customHeight="1" x14ac:dyDescent="0.25">
      <c r="S235" s="1"/>
      <c r="V235" s="133"/>
      <c r="W235" s="133"/>
      <c r="AF235" s="1"/>
      <c r="AN235" s="1"/>
      <c r="AV235" s="1"/>
    </row>
    <row r="236" spans="19:48" s="20" customFormat="1" ht="22.5" customHeight="1" x14ac:dyDescent="0.25">
      <c r="S236" s="1"/>
      <c r="V236" s="133"/>
      <c r="W236" s="133"/>
      <c r="AF236" s="1"/>
      <c r="AN236" s="1"/>
      <c r="AV236" s="1"/>
    </row>
    <row r="237" spans="19:48" s="20" customFormat="1" ht="22.5" customHeight="1" x14ac:dyDescent="0.25">
      <c r="S237" s="1"/>
      <c r="V237" s="133"/>
      <c r="W237" s="133"/>
      <c r="AF237" s="1"/>
      <c r="AN237" s="1"/>
      <c r="AV237" s="1"/>
    </row>
    <row r="238" spans="19:48" s="20" customFormat="1" ht="22.5" customHeight="1" x14ac:dyDescent="0.25">
      <c r="S238" s="1"/>
      <c r="V238" s="133"/>
      <c r="W238" s="133"/>
      <c r="AF238" s="1"/>
      <c r="AN238" s="1"/>
      <c r="AV238" s="1"/>
    </row>
    <row r="239" spans="19:48" s="20" customFormat="1" ht="22.5" customHeight="1" x14ac:dyDescent="0.25">
      <c r="S239" s="1"/>
      <c r="V239" s="133"/>
      <c r="W239" s="133"/>
      <c r="AF239" s="1"/>
      <c r="AN239" s="1"/>
      <c r="AV239" s="1"/>
    </row>
    <row r="240" spans="19:48" s="20" customFormat="1" ht="22.5" customHeight="1" x14ac:dyDescent="0.25">
      <c r="S240" s="1"/>
      <c r="V240" s="133"/>
      <c r="W240" s="133"/>
      <c r="AF240" s="1"/>
      <c r="AN240" s="1"/>
      <c r="AV240" s="1"/>
    </row>
    <row r="241" spans="19:48" s="20" customFormat="1" ht="22.5" customHeight="1" x14ac:dyDescent="0.25">
      <c r="S241" s="1"/>
      <c r="V241" s="133"/>
      <c r="W241" s="133"/>
      <c r="AF241" s="1"/>
      <c r="AN241" s="1"/>
      <c r="AV241" s="1"/>
    </row>
    <row r="242" spans="19:48" s="20" customFormat="1" ht="22.5" customHeight="1" x14ac:dyDescent="0.25">
      <c r="S242" s="1"/>
      <c r="V242" s="133"/>
      <c r="W242" s="133"/>
      <c r="AF242" s="1"/>
      <c r="AN242" s="1"/>
      <c r="AV242" s="1"/>
    </row>
    <row r="243" spans="19:48" s="20" customFormat="1" ht="22.5" customHeight="1" x14ac:dyDescent="0.25">
      <c r="S243" s="1"/>
      <c r="V243" s="133"/>
      <c r="W243" s="133"/>
      <c r="AF243" s="1"/>
      <c r="AN243" s="1"/>
      <c r="AV243" s="1"/>
    </row>
    <row r="244" spans="19:48" s="20" customFormat="1" ht="22.5" customHeight="1" x14ac:dyDescent="0.25">
      <c r="S244" s="1"/>
      <c r="V244" s="133"/>
      <c r="W244" s="133"/>
      <c r="AF244" s="1"/>
      <c r="AN244" s="1"/>
      <c r="AV244" s="1"/>
    </row>
    <row r="245" spans="19:48" s="20" customFormat="1" ht="22.5" customHeight="1" x14ac:dyDescent="0.25">
      <c r="S245" s="1"/>
      <c r="V245" s="133"/>
      <c r="W245" s="133"/>
      <c r="AF245" s="1"/>
      <c r="AN245" s="1"/>
      <c r="AV245" s="1"/>
    </row>
    <row r="246" spans="19:48" s="20" customFormat="1" ht="22.5" customHeight="1" x14ac:dyDescent="0.25">
      <c r="S246" s="1"/>
      <c r="V246" s="133"/>
      <c r="W246" s="133"/>
      <c r="AF246" s="1"/>
      <c r="AN246" s="1"/>
      <c r="AV246" s="1"/>
    </row>
    <row r="247" spans="19:48" s="20" customFormat="1" ht="22.5" customHeight="1" x14ac:dyDescent="0.25">
      <c r="S247" s="1"/>
      <c r="V247" s="133"/>
      <c r="W247" s="133"/>
      <c r="AF247" s="1"/>
      <c r="AN247" s="1"/>
      <c r="AV247" s="1"/>
    </row>
    <row r="248" spans="19:48" s="20" customFormat="1" ht="22.5" customHeight="1" x14ac:dyDescent="0.25">
      <c r="S248" s="1"/>
      <c r="V248" s="133"/>
      <c r="W248" s="133"/>
      <c r="AF248" s="1"/>
      <c r="AN248" s="1"/>
      <c r="AV248" s="1"/>
    </row>
    <row r="249" spans="19:48" s="20" customFormat="1" ht="22.5" customHeight="1" x14ac:dyDescent="0.25">
      <c r="S249" s="1"/>
      <c r="V249" s="133"/>
      <c r="W249" s="133"/>
      <c r="AF249" s="1"/>
      <c r="AN249" s="1"/>
      <c r="AV249" s="1"/>
    </row>
    <row r="250" spans="19:48" s="20" customFormat="1" ht="22.5" customHeight="1" x14ac:dyDescent="0.25">
      <c r="S250" s="1"/>
      <c r="V250" s="133"/>
      <c r="W250" s="133"/>
      <c r="AF250" s="1"/>
      <c r="AN250" s="1"/>
      <c r="AV250" s="1"/>
    </row>
    <row r="251" spans="19:48" s="20" customFormat="1" ht="22.5" customHeight="1" x14ac:dyDescent="0.25">
      <c r="S251" s="1"/>
      <c r="V251" s="133"/>
      <c r="W251" s="133"/>
      <c r="AF251" s="1"/>
      <c r="AN251" s="1"/>
      <c r="AV251" s="1"/>
    </row>
    <row r="252" spans="19:48" s="20" customFormat="1" ht="22.5" customHeight="1" x14ac:dyDescent="0.25">
      <c r="S252" s="1"/>
      <c r="V252" s="133"/>
      <c r="W252" s="133"/>
      <c r="AF252" s="1"/>
      <c r="AN252" s="1"/>
      <c r="AV252" s="1"/>
    </row>
    <row r="253" spans="19:48" s="20" customFormat="1" ht="22.5" customHeight="1" x14ac:dyDescent="0.25">
      <c r="S253" s="1"/>
      <c r="V253" s="133"/>
      <c r="W253" s="133"/>
      <c r="AF253" s="1"/>
      <c r="AN253" s="1"/>
      <c r="AV253" s="1"/>
    </row>
    <row r="254" spans="19:48" s="20" customFormat="1" ht="22.5" customHeight="1" x14ac:dyDescent="0.25">
      <c r="S254" s="1"/>
      <c r="V254" s="133"/>
      <c r="W254" s="133"/>
      <c r="AF254" s="1"/>
      <c r="AN254" s="1"/>
      <c r="AV254" s="1"/>
    </row>
    <row r="255" spans="19:48" s="20" customFormat="1" ht="22.5" customHeight="1" x14ac:dyDescent="0.25">
      <c r="S255" s="1"/>
      <c r="V255" s="133"/>
      <c r="W255" s="133"/>
      <c r="AF255" s="1"/>
      <c r="AN255" s="1"/>
      <c r="AV255" s="1"/>
    </row>
    <row r="256" spans="19:48" s="20" customFormat="1" ht="22.5" customHeight="1" x14ac:dyDescent="0.25">
      <c r="S256" s="1"/>
      <c r="V256" s="133"/>
      <c r="W256" s="133"/>
      <c r="AF256" s="1"/>
      <c r="AN256" s="1"/>
      <c r="AV256" s="1"/>
    </row>
    <row r="257" spans="19:48" s="20" customFormat="1" ht="22.5" customHeight="1" x14ac:dyDescent="0.25">
      <c r="S257" s="1"/>
      <c r="V257" s="133"/>
      <c r="W257" s="133"/>
      <c r="AF257" s="1"/>
      <c r="AN257" s="1"/>
      <c r="AV257" s="1"/>
    </row>
    <row r="258" spans="19:48" s="20" customFormat="1" ht="22.5" customHeight="1" x14ac:dyDescent="0.25">
      <c r="S258" s="1"/>
      <c r="V258" s="133"/>
      <c r="W258" s="133"/>
      <c r="AF258" s="1"/>
      <c r="AN258" s="1"/>
      <c r="AV258" s="1"/>
    </row>
    <row r="259" spans="19:48" s="20" customFormat="1" ht="22.5" customHeight="1" x14ac:dyDescent="0.25">
      <c r="S259" s="1"/>
      <c r="V259" s="133"/>
      <c r="W259" s="133"/>
      <c r="AF259" s="1"/>
      <c r="AN259" s="1"/>
      <c r="AV259" s="1"/>
    </row>
    <row r="260" spans="19:48" s="20" customFormat="1" ht="22.5" customHeight="1" x14ac:dyDescent="0.25">
      <c r="S260" s="1"/>
      <c r="V260" s="133"/>
      <c r="W260" s="133"/>
      <c r="AF260" s="1"/>
      <c r="AN260" s="1"/>
      <c r="AV260" s="1"/>
    </row>
    <row r="261" spans="19:48" s="20" customFormat="1" ht="22.5" customHeight="1" x14ac:dyDescent="0.25">
      <c r="S261" s="1"/>
      <c r="V261" s="133"/>
      <c r="W261" s="133"/>
      <c r="AF261" s="1"/>
      <c r="AN261" s="1"/>
      <c r="AV261" s="1"/>
    </row>
    <row r="262" spans="19:48" s="20" customFormat="1" ht="22.5" customHeight="1" x14ac:dyDescent="0.25">
      <c r="S262" s="1"/>
      <c r="V262" s="133"/>
      <c r="W262" s="133"/>
      <c r="AF262" s="1"/>
      <c r="AN262" s="1"/>
      <c r="AV262" s="1"/>
    </row>
    <row r="263" spans="19:48" s="20" customFormat="1" ht="22.5" customHeight="1" x14ac:dyDescent="0.25">
      <c r="S263" s="1"/>
      <c r="V263" s="133"/>
      <c r="W263" s="133"/>
      <c r="AF263" s="1"/>
      <c r="AN263" s="1"/>
      <c r="AV263" s="1"/>
    </row>
    <row r="264" spans="19:48" s="20" customFormat="1" ht="22.5" customHeight="1" x14ac:dyDescent="0.25">
      <c r="S264" s="1"/>
      <c r="V264" s="133"/>
      <c r="W264" s="133"/>
      <c r="AF264" s="1"/>
      <c r="AN264" s="1"/>
      <c r="AV264" s="1"/>
    </row>
    <row r="265" spans="19:48" s="20" customFormat="1" ht="22.5" customHeight="1" x14ac:dyDescent="0.25">
      <c r="S265" s="1"/>
      <c r="V265" s="133"/>
      <c r="W265" s="133"/>
      <c r="AF265" s="1"/>
      <c r="AN265" s="1"/>
      <c r="AV265" s="1"/>
    </row>
    <row r="266" spans="19:48" s="20" customFormat="1" ht="22.5" customHeight="1" x14ac:dyDescent="0.25">
      <c r="S266" s="1"/>
      <c r="V266" s="133"/>
      <c r="W266" s="133"/>
      <c r="AF266" s="1"/>
      <c r="AN266" s="1"/>
      <c r="AV266" s="1"/>
    </row>
    <row r="267" spans="19:48" s="20" customFormat="1" ht="22.5" customHeight="1" x14ac:dyDescent="0.25">
      <c r="S267" s="1"/>
      <c r="V267" s="133"/>
      <c r="W267" s="133"/>
      <c r="AF267" s="1"/>
      <c r="AN267" s="1"/>
      <c r="AV267" s="1"/>
    </row>
    <row r="268" spans="19:48" s="20" customFormat="1" ht="22.5" customHeight="1" x14ac:dyDescent="0.25">
      <c r="S268" s="1"/>
      <c r="V268" s="133"/>
      <c r="W268" s="133"/>
      <c r="AF268" s="1"/>
      <c r="AN268" s="1"/>
      <c r="AV268" s="1"/>
    </row>
    <row r="269" spans="19:48" s="20" customFormat="1" ht="22.5" customHeight="1" x14ac:dyDescent="0.25">
      <c r="S269" s="1"/>
      <c r="V269" s="133"/>
      <c r="W269" s="133"/>
      <c r="AF269" s="1"/>
      <c r="AN269" s="1"/>
      <c r="AV269" s="1"/>
    </row>
    <row r="270" spans="19:48" s="20" customFormat="1" ht="22.5" customHeight="1" x14ac:dyDescent="0.25">
      <c r="S270" s="1"/>
      <c r="V270" s="133"/>
      <c r="W270" s="133"/>
      <c r="AF270" s="1"/>
      <c r="AN270" s="1"/>
      <c r="AV270" s="1"/>
    </row>
    <row r="271" spans="19:48" s="20" customFormat="1" ht="22.5" customHeight="1" x14ac:dyDescent="0.25">
      <c r="S271" s="1"/>
      <c r="V271" s="133"/>
      <c r="W271" s="133"/>
      <c r="AF271" s="1"/>
      <c r="AN271" s="1"/>
      <c r="AV271" s="1"/>
    </row>
    <row r="272" spans="19:48" s="20" customFormat="1" ht="22.5" customHeight="1" x14ac:dyDescent="0.25">
      <c r="S272" s="1"/>
      <c r="V272" s="133"/>
      <c r="W272" s="133"/>
      <c r="AF272" s="1"/>
      <c r="AN272" s="1"/>
      <c r="AV272" s="1"/>
    </row>
    <row r="273" spans="19:48" s="20" customFormat="1" ht="22.5" customHeight="1" x14ac:dyDescent="0.25">
      <c r="S273" s="1"/>
      <c r="V273" s="133"/>
      <c r="W273" s="133"/>
      <c r="AF273" s="1"/>
      <c r="AN273" s="1"/>
      <c r="AV273" s="1"/>
    </row>
    <row r="274" spans="19:48" s="20" customFormat="1" ht="22.5" customHeight="1" x14ac:dyDescent="0.25">
      <c r="S274" s="1"/>
      <c r="V274" s="133"/>
      <c r="W274" s="133"/>
      <c r="AF274" s="1"/>
      <c r="AN274" s="1"/>
      <c r="AV274" s="1"/>
    </row>
    <row r="275" spans="19:48" s="20" customFormat="1" ht="22.5" customHeight="1" x14ac:dyDescent="0.25">
      <c r="S275" s="1"/>
      <c r="V275" s="133"/>
      <c r="W275" s="133"/>
      <c r="AF275" s="1"/>
      <c r="AN275" s="1"/>
      <c r="AV275" s="1"/>
    </row>
    <row r="276" spans="19:48" s="20" customFormat="1" ht="22.5" customHeight="1" x14ac:dyDescent="0.25">
      <c r="S276" s="1"/>
      <c r="V276" s="133"/>
      <c r="W276" s="133"/>
      <c r="AF276" s="1"/>
      <c r="AN276" s="1"/>
      <c r="AV276" s="1"/>
    </row>
    <row r="277" spans="19:48" s="20" customFormat="1" ht="22.5" customHeight="1" x14ac:dyDescent="0.25">
      <c r="S277" s="1"/>
      <c r="V277" s="133"/>
      <c r="W277" s="133"/>
      <c r="AF277" s="1"/>
      <c r="AN277" s="1"/>
      <c r="AV277" s="1"/>
    </row>
    <row r="278" spans="19:48" s="20" customFormat="1" ht="22.5" customHeight="1" x14ac:dyDescent="0.25">
      <c r="S278" s="1"/>
      <c r="V278" s="133"/>
      <c r="W278" s="133"/>
      <c r="AF278" s="1"/>
      <c r="AN278" s="1"/>
      <c r="AV278" s="1"/>
    </row>
    <row r="279" spans="19:48" s="20" customFormat="1" ht="22.5" customHeight="1" x14ac:dyDescent="0.25">
      <c r="S279" s="1"/>
      <c r="V279" s="133"/>
      <c r="W279" s="133"/>
      <c r="AF279" s="1"/>
      <c r="AN279" s="1"/>
      <c r="AV279" s="1"/>
    </row>
    <row r="280" spans="19:48" s="20" customFormat="1" ht="22.5" customHeight="1" x14ac:dyDescent="0.25">
      <c r="S280" s="1"/>
      <c r="V280" s="133"/>
      <c r="W280" s="133"/>
      <c r="AF280" s="1"/>
      <c r="AN280" s="1"/>
      <c r="AV280" s="1"/>
    </row>
    <row r="281" spans="19:48" s="20" customFormat="1" ht="22.5" customHeight="1" x14ac:dyDescent="0.25">
      <c r="S281" s="1"/>
      <c r="V281" s="133"/>
      <c r="W281" s="133"/>
      <c r="AF281" s="1"/>
      <c r="AN281" s="1"/>
      <c r="AV281" s="1"/>
    </row>
    <row r="282" spans="19:48" s="20" customFormat="1" ht="22.5" customHeight="1" x14ac:dyDescent="0.25">
      <c r="S282" s="1"/>
      <c r="V282" s="133"/>
      <c r="W282" s="133"/>
      <c r="AF282" s="1"/>
      <c r="AN282" s="1"/>
      <c r="AV282" s="1"/>
    </row>
    <row r="283" spans="19:48" s="20" customFormat="1" ht="22.5" customHeight="1" x14ac:dyDescent="0.25">
      <c r="S283" s="1"/>
      <c r="V283" s="133"/>
      <c r="W283" s="133"/>
      <c r="AF283" s="1"/>
      <c r="AN283" s="1"/>
      <c r="AV283" s="1"/>
    </row>
    <row r="284" spans="19:48" s="20" customFormat="1" ht="22.5" customHeight="1" x14ac:dyDescent="0.25">
      <c r="S284" s="1"/>
      <c r="V284" s="133"/>
      <c r="W284" s="133"/>
      <c r="AF284" s="1"/>
      <c r="AN284" s="1"/>
      <c r="AV284" s="1"/>
    </row>
    <row r="285" spans="19:48" s="20" customFormat="1" ht="22.5" customHeight="1" x14ac:dyDescent="0.25">
      <c r="S285" s="1"/>
      <c r="V285" s="133"/>
      <c r="W285" s="133"/>
      <c r="AF285" s="1"/>
      <c r="AN285" s="1"/>
      <c r="AV285" s="1"/>
    </row>
    <row r="286" spans="19:48" s="20" customFormat="1" ht="22.5" customHeight="1" x14ac:dyDescent="0.25">
      <c r="S286" s="1"/>
      <c r="V286" s="133"/>
      <c r="W286" s="133"/>
      <c r="AF286" s="1"/>
      <c r="AN286" s="1"/>
      <c r="AV286" s="1"/>
    </row>
    <row r="287" spans="19:48" s="20" customFormat="1" ht="22.5" customHeight="1" x14ac:dyDescent="0.25">
      <c r="S287" s="1"/>
      <c r="V287" s="133"/>
      <c r="W287" s="133"/>
      <c r="AF287" s="1"/>
      <c r="AN287" s="1"/>
      <c r="AV287" s="1"/>
    </row>
    <row r="288" spans="19:48" s="20" customFormat="1" ht="22.5" customHeight="1" x14ac:dyDescent="0.25">
      <c r="S288" s="1"/>
      <c r="V288" s="133"/>
      <c r="W288" s="133"/>
      <c r="AF288" s="1"/>
      <c r="AN288" s="1"/>
      <c r="AV288" s="1"/>
    </row>
    <row r="289" spans="19:48" s="20" customFormat="1" ht="22.5" customHeight="1" x14ac:dyDescent="0.25">
      <c r="S289" s="1"/>
      <c r="V289" s="133"/>
      <c r="W289" s="133"/>
      <c r="AF289" s="1"/>
      <c r="AN289" s="1"/>
      <c r="AV289" s="1"/>
    </row>
    <row r="290" spans="19:48" s="20" customFormat="1" ht="22.5" customHeight="1" x14ac:dyDescent="0.25">
      <c r="S290" s="1"/>
      <c r="V290" s="133"/>
      <c r="W290" s="133"/>
      <c r="AF290" s="1"/>
      <c r="AN290" s="1"/>
      <c r="AV290" s="1"/>
    </row>
    <row r="291" spans="19:48" s="20" customFormat="1" ht="22.5" customHeight="1" x14ac:dyDescent="0.25">
      <c r="S291" s="1"/>
      <c r="V291" s="133"/>
      <c r="W291" s="133"/>
      <c r="AF291" s="1"/>
      <c r="AN291" s="1"/>
      <c r="AV291" s="1"/>
    </row>
    <row r="292" spans="19:48" s="20" customFormat="1" ht="22.5" customHeight="1" x14ac:dyDescent="0.25">
      <c r="S292" s="1"/>
      <c r="V292" s="133"/>
      <c r="W292" s="133"/>
      <c r="AF292" s="1"/>
      <c r="AN292" s="1"/>
      <c r="AV292" s="1"/>
    </row>
    <row r="293" spans="19:48" s="20" customFormat="1" ht="22.5" customHeight="1" x14ac:dyDescent="0.25">
      <c r="S293" s="1"/>
      <c r="V293" s="133"/>
      <c r="W293" s="133"/>
      <c r="AF293" s="1"/>
      <c r="AN293" s="1"/>
      <c r="AV293" s="1"/>
    </row>
    <row r="294" spans="19:48" s="20" customFormat="1" ht="22.5" customHeight="1" x14ac:dyDescent="0.25">
      <c r="S294" s="1"/>
      <c r="V294" s="133"/>
      <c r="W294" s="133"/>
      <c r="AF294" s="1"/>
      <c r="AN294" s="1"/>
      <c r="AV294" s="1"/>
    </row>
    <row r="295" spans="19:48" s="20" customFormat="1" ht="22.5" customHeight="1" x14ac:dyDescent="0.25">
      <c r="S295" s="1"/>
      <c r="V295" s="133"/>
      <c r="W295" s="133"/>
      <c r="AF295" s="1"/>
      <c r="AN295" s="1"/>
      <c r="AV295" s="1"/>
    </row>
    <row r="296" spans="19:48" s="20" customFormat="1" ht="22.5" customHeight="1" x14ac:dyDescent="0.25">
      <c r="S296" s="1"/>
      <c r="V296" s="133"/>
      <c r="W296" s="133"/>
      <c r="AF296" s="1"/>
      <c r="AN296" s="1"/>
      <c r="AV296" s="1"/>
    </row>
    <row r="297" spans="19:48" s="20" customFormat="1" ht="22.5" customHeight="1" x14ac:dyDescent="0.25">
      <c r="S297" s="1"/>
      <c r="V297" s="133"/>
      <c r="W297" s="133"/>
      <c r="AF297" s="1"/>
      <c r="AN297" s="1"/>
      <c r="AV297" s="1"/>
    </row>
    <row r="298" spans="19:48" s="20" customFormat="1" ht="22.5" customHeight="1" x14ac:dyDescent="0.25">
      <c r="S298" s="1"/>
      <c r="V298" s="133"/>
      <c r="W298" s="133"/>
      <c r="AF298" s="1"/>
      <c r="AN298" s="1"/>
      <c r="AV298" s="1"/>
    </row>
    <row r="299" spans="19:48" s="20" customFormat="1" ht="22.5" customHeight="1" x14ac:dyDescent="0.25">
      <c r="S299" s="1"/>
      <c r="V299" s="133"/>
      <c r="W299" s="133"/>
      <c r="AF299" s="1"/>
      <c r="AN299" s="1"/>
      <c r="AV299" s="1"/>
    </row>
    <row r="300" spans="19:48" s="20" customFormat="1" ht="22.5" customHeight="1" x14ac:dyDescent="0.25">
      <c r="S300" s="1"/>
      <c r="V300" s="133"/>
      <c r="W300" s="133"/>
      <c r="AF300" s="1"/>
      <c r="AN300" s="1"/>
      <c r="AV300" s="1"/>
    </row>
    <row r="301" spans="19:48" s="20" customFormat="1" ht="22.5" customHeight="1" x14ac:dyDescent="0.25">
      <c r="S301" s="1"/>
      <c r="V301" s="133"/>
      <c r="W301" s="133"/>
      <c r="AF301" s="1"/>
      <c r="AN301" s="1"/>
      <c r="AV301" s="1"/>
    </row>
    <row r="302" spans="19:48" s="20" customFormat="1" ht="22.5" customHeight="1" x14ac:dyDescent="0.25">
      <c r="S302" s="1"/>
      <c r="V302" s="133"/>
      <c r="W302" s="133"/>
      <c r="AF302" s="1"/>
      <c r="AN302" s="1"/>
      <c r="AV302" s="1"/>
    </row>
    <row r="303" spans="19:48" s="20" customFormat="1" ht="22.5" customHeight="1" x14ac:dyDescent="0.25">
      <c r="S303" s="1"/>
      <c r="V303" s="133"/>
      <c r="W303" s="133"/>
      <c r="AF303" s="1"/>
      <c r="AN303" s="1"/>
      <c r="AV303" s="1"/>
    </row>
    <row r="304" spans="19:48" s="20" customFormat="1" ht="22.5" customHeight="1" x14ac:dyDescent="0.25">
      <c r="S304" s="1"/>
      <c r="V304" s="133"/>
      <c r="W304" s="133"/>
      <c r="AF304" s="1"/>
      <c r="AN304" s="1"/>
      <c r="AV304" s="1"/>
    </row>
    <row r="305" spans="19:48" s="20" customFormat="1" ht="22.5" customHeight="1" x14ac:dyDescent="0.25">
      <c r="S305" s="1"/>
      <c r="V305" s="133"/>
      <c r="W305" s="133"/>
      <c r="AF305" s="1"/>
      <c r="AN305" s="1"/>
      <c r="AV305" s="1"/>
    </row>
    <row r="306" spans="19:48" s="20" customFormat="1" ht="22.5" customHeight="1" x14ac:dyDescent="0.25">
      <c r="S306" s="1"/>
      <c r="V306" s="133"/>
      <c r="W306" s="133"/>
      <c r="AF306" s="1"/>
      <c r="AN306" s="1"/>
      <c r="AV306" s="1"/>
    </row>
    <row r="307" spans="19:48" s="20" customFormat="1" ht="22.5" customHeight="1" x14ac:dyDescent="0.25">
      <c r="S307" s="1"/>
      <c r="V307" s="133"/>
      <c r="W307" s="133"/>
      <c r="AF307" s="1"/>
      <c r="AN307" s="1"/>
      <c r="AV307" s="1"/>
    </row>
    <row r="308" spans="19:48" s="20" customFormat="1" ht="22.5" customHeight="1" x14ac:dyDescent="0.25">
      <c r="S308" s="1"/>
      <c r="V308" s="133"/>
      <c r="W308" s="133"/>
      <c r="AF308" s="1"/>
      <c r="AN308" s="1"/>
      <c r="AV308" s="1"/>
    </row>
    <row r="309" spans="19:48" s="20" customFormat="1" ht="22.5" customHeight="1" x14ac:dyDescent="0.25">
      <c r="S309" s="1"/>
      <c r="V309" s="133"/>
      <c r="W309" s="133"/>
      <c r="AF309" s="1"/>
      <c r="AN309" s="1"/>
      <c r="AV309" s="1"/>
    </row>
    <row r="310" spans="19:48" s="20" customFormat="1" ht="22.5" customHeight="1" x14ac:dyDescent="0.25">
      <c r="S310" s="1"/>
      <c r="V310" s="133"/>
      <c r="W310" s="133"/>
      <c r="AF310" s="1"/>
      <c r="AN310" s="1"/>
      <c r="AV310" s="1"/>
    </row>
    <row r="311" spans="19:48" s="20" customFormat="1" ht="22.5" customHeight="1" x14ac:dyDescent="0.25">
      <c r="S311" s="1"/>
      <c r="V311" s="133"/>
      <c r="W311" s="133"/>
      <c r="AF311" s="1"/>
      <c r="AN311" s="1"/>
      <c r="AV311" s="1"/>
    </row>
    <row r="312" spans="19:48" s="20" customFormat="1" ht="22.5" customHeight="1" x14ac:dyDescent="0.25">
      <c r="S312" s="1"/>
      <c r="V312" s="133"/>
      <c r="W312" s="133"/>
      <c r="AF312" s="1"/>
      <c r="AN312" s="1"/>
      <c r="AV312" s="1"/>
    </row>
    <row r="313" spans="19:48" s="20" customFormat="1" ht="22.5" customHeight="1" x14ac:dyDescent="0.25">
      <c r="S313" s="1"/>
      <c r="V313" s="133"/>
      <c r="W313" s="133"/>
      <c r="AF313" s="1"/>
      <c r="AN313" s="1"/>
      <c r="AV313" s="1"/>
    </row>
    <row r="314" spans="19:48" s="20" customFormat="1" ht="22.5" customHeight="1" x14ac:dyDescent="0.25">
      <c r="S314" s="1"/>
      <c r="V314" s="133"/>
      <c r="W314" s="133"/>
      <c r="AF314" s="1"/>
      <c r="AN314" s="1"/>
      <c r="AV314" s="1"/>
    </row>
    <row r="315" spans="19:48" s="20" customFormat="1" ht="22.5" customHeight="1" x14ac:dyDescent="0.25">
      <c r="S315" s="1"/>
      <c r="V315" s="133"/>
      <c r="W315" s="133"/>
      <c r="AF315" s="1"/>
      <c r="AN315" s="1"/>
      <c r="AV315" s="1"/>
    </row>
    <row r="316" spans="19:48" s="20" customFormat="1" ht="22.5" customHeight="1" x14ac:dyDescent="0.25">
      <c r="S316" s="1"/>
      <c r="V316" s="133"/>
      <c r="W316" s="133"/>
      <c r="AF316" s="1"/>
      <c r="AN316" s="1"/>
      <c r="AV316" s="1"/>
    </row>
    <row r="317" spans="19:48" s="20" customFormat="1" ht="22.5" customHeight="1" x14ac:dyDescent="0.25">
      <c r="S317" s="1"/>
      <c r="V317" s="133"/>
      <c r="W317" s="133"/>
      <c r="AF317" s="1"/>
      <c r="AN317" s="1"/>
      <c r="AV317" s="1"/>
    </row>
    <row r="318" spans="19:48" s="20" customFormat="1" ht="22.5" customHeight="1" x14ac:dyDescent="0.25">
      <c r="S318" s="1"/>
      <c r="V318" s="133"/>
      <c r="W318" s="133"/>
      <c r="AF318" s="1"/>
      <c r="AN318" s="1"/>
      <c r="AV318" s="1"/>
    </row>
    <row r="319" spans="19:48" s="20" customFormat="1" ht="22.5" customHeight="1" x14ac:dyDescent="0.25">
      <c r="S319" s="1"/>
      <c r="V319" s="133"/>
      <c r="W319" s="133"/>
      <c r="AF319" s="1"/>
      <c r="AN319" s="1"/>
      <c r="AV319" s="1"/>
    </row>
    <row r="320" spans="19:48" s="20" customFormat="1" ht="22.5" customHeight="1" x14ac:dyDescent="0.25">
      <c r="S320" s="1"/>
      <c r="V320" s="133"/>
      <c r="W320" s="133"/>
      <c r="AF320" s="1"/>
      <c r="AN320" s="1"/>
      <c r="AV320" s="1"/>
    </row>
    <row r="321" spans="19:48" s="20" customFormat="1" ht="22.5" customHeight="1" x14ac:dyDescent="0.25">
      <c r="S321" s="1"/>
      <c r="V321" s="133"/>
      <c r="W321" s="133"/>
      <c r="AF321" s="1"/>
      <c r="AN321" s="1"/>
      <c r="AV321" s="1"/>
    </row>
    <row r="322" spans="19:48" s="20" customFormat="1" ht="22.5" customHeight="1" x14ac:dyDescent="0.25">
      <c r="S322" s="1"/>
      <c r="V322" s="133"/>
      <c r="W322" s="133"/>
      <c r="AF322" s="1"/>
      <c r="AN322" s="1"/>
      <c r="AV322" s="1"/>
    </row>
    <row r="323" spans="19:48" s="20" customFormat="1" ht="22.5" customHeight="1" x14ac:dyDescent="0.25">
      <c r="S323" s="1"/>
      <c r="V323" s="133"/>
      <c r="W323" s="133"/>
      <c r="AF323" s="1"/>
      <c r="AN323" s="1"/>
      <c r="AV323" s="1"/>
    </row>
    <row r="324" spans="19:48" s="20" customFormat="1" ht="22.5" customHeight="1" x14ac:dyDescent="0.25">
      <c r="S324" s="1"/>
      <c r="V324" s="133"/>
      <c r="W324" s="133"/>
      <c r="AF324" s="1"/>
      <c r="AN324" s="1"/>
      <c r="AV324" s="1"/>
    </row>
    <row r="325" spans="19:48" s="20" customFormat="1" ht="22.5" customHeight="1" x14ac:dyDescent="0.25">
      <c r="S325" s="1"/>
      <c r="V325" s="133"/>
      <c r="W325" s="133"/>
      <c r="AF325" s="1"/>
      <c r="AN325" s="1"/>
      <c r="AV325" s="1"/>
    </row>
    <row r="326" spans="19:48" s="20" customFormat="1" ht="22.5" customHeight="1" x14ac:dyDescent="0.25">
      <c r="S326" s="1"/>
      <c r="V326" s="133"/>
      <c r="W326" s="133"/>
      <c r="AF326" s="1"/>
      <c r="AN326" s="1"/>
      <c r="AV326" s="1"/>
    </row>
    <row r="327" spans="19:48" s="20" customFormat="1" ht="22.5" customHeight="1" x14ac:dyDescent="0.25">
      <c r="S327" s="1"/>
      <c r="V327" s="133"/>
      <c r="W327" s="133"/>
      <c r="AF327" s="1"/>
      <c r="AN327" s="1"/>
      <c r="AV327" s="1"/>
    </row>
    <row r="328" spans="19:48" s="20" customFormat="1" ht="22.5" customHeight="1" x14ac:dyDescent="0.25">
      <c r="S328" s="1"/>
      <c r="V328" s="133"/>
      <c r="W328" s="133"/>
      <c r="AF328" s="1"/>
      <c r="AN328" s="1"/>
      <c r="AV328" s="1"/>
    </row>
    <row r="329" spans="19:48" s="20" customFormat="1" ht="22.5" customHeight="1" x14ac:dyDescent="0.25">
      <c r="S329" s="1"/>
      <c r="V329" s="133"/>
      <c r="W329" s="133"/>
      <c r="AF329" s="1"/>
      <c r="AN329" s="1"/>
      <c r="AV329" s="1"/>
    </row>
    <row r="330" spans="19:48" s="20" customFormat="1" ht="22.5" customHeight="1" x14ac:dyDescent="0.25">
      <c r="S330" s="1"/>
      <c r="V330" s="133"/>
      <c r="W330" s="133"/>
      <c r="AF330" s="1"/>
      <c r="AN330" s="1"/>
      <c r="AV330" s="1"/>
    </row>
    <row r="331" spans="19:48" s="20" customFormat="1" ht="22.5" customHeight="1" x14ac:dyDescent="0.25">
      <c r="S331" s="1"/>
      <c r="V331" s="133"/>
      <c r="W331" s="133"/>
      <c r="AF331" s="1"/>
      <c r="AN331" s="1"/>
      <c r="AV331" s="1"/>
    </row>
    <row r="332" spans="19:48" s="20" customFormat="1" ht="22.5" customHeight="1" x14ac:dyDescent="0.25">
      <c r="S332" s="1"/>
      <c r="V332" s="133"/>
      <c r="W332" s="133"/>
      <c r="AF332" s="1"/>
      <c r="AN332" s="1"/>
      <c r="AV332" s="1"/>
    </row>
    <row r="333" spans="19:48" s="20" customFormat="1" ht="22.5" customHeight="1" x14ac:dyDescent="0.25">
      <c r="S333" s="1"/>
      <c r="V333" s="133"/>
      <c r="W333" s="133"/>
      <c r="AF333" s="1"/>
      <c r="AN333" s="1"/>
      <c r="AV333" s="1"/>
    </row>
    <row r="334" spans="19:48" s="20" customFormat="1" ht="22.5" customHeight="1" x14ac:dyDescent="0.25">
      <c r="S334" s="1"/>
      <c r="V334" s="133"/>
      <c r="W334" s="133"/>
      <c r="AF334" s="1"/>
      <c r="AN334" s="1"/>
      <c r="AV334" s="1"/>
    </row>
    <row r="335" spans="19:48" s="20" customFormat="1" ht="22.5" customHeight="1" x14ac:dyDescent="0.25">
      <c r="S335" s="1"/>
      <c r="V335" s="133"/>
      <c r="W335" s="133"/>
      <c r="AF335" s="1"/>
      <c r="AN335" s="1"/>
      <c r="AV335" s="1"/>
    </row>
    <row r="336" spans="19:48" s="20" customFormat="1" ht="22.5" customHeight="1" x14ac:dyDescent="0.25">
      <c r="S336" s="1"/>
      <c r="V336" s="133"/>
      <c r="W336" s="133"/>
      <c r="AF336" s="1"/>
      <c r="AN336" s="1"/>
      <c r="AV336" s="1"/>
    </row>
    <row r="337" spans="19:48" s="20" customFormat="1" ht="22.5" customHeight="1" x14ac:dyDescent="0.25">
      <c r="S337" s="1"/>
      <c r="V337" s="133"/>
      <c r="W337" s="133"/>
      <c r="AF337" s="1"/>
      <c r="AN337" s="1"/>
      <c r="AV337" s="1"/>
    </row>
    <row r="338" spans="19:48" s="20" customFormat="1" ht="22.5" customHeight="1" x14ac:dyDescent="0.25">
      <c r="S338" s="1"/>
      <c r="V338" s="133"/>
      <c r="W338" s="133"/>
      <c r="AF338" s="1"/>
      <c r="AN338" s="1"/>
      <c r="AV338" s="1"/>
    </row>
    <row r="339" spans="19:48" s="20" customFormat="1" ht="22.5" customHeight="1" x14ac:dyDescent="0.25">
      <c r="S339" s="1"/>
      <c r="V339" s="133"/>
      <c r="W339" s="133"/>
      <c r="AF339" s="1"/>
      <c r="AN339" s="1"/>
      <c r="AV339" s="1"/>
    </row>
    <row r="340" spans="19:48" s="20" customFormat="1" ht="22.5" customHeight="1" x14ac:dyDescent="0.25">
      <c r="S340" s="1"/>
      <c r="V340" s="133"/>
      <c r="W340" s="133"/>
      <c r="AF340" s="1"/>
      <c r="AN340" s="1"/>
      <c r="AV340" s="1"/>
    </row>
    <row r="341" spans="19:48" s="20" customFormat="1" ht="22.5" customHeight="1" x14ac:dyDescent="0.25">
      <c r="S341" s="1"/>
      <c r="V341" s="133"/>
      <c r="W341" s="133"/>
      <c r="AF341" s="1"/>
      <c r="AN341" s="1"/>
      <c r="AV341" s="1"/>
    </row>
    <row r="342" spans="19:48" s="20" customFormat="1" ht="22.5" customHeight="1" x14ac:dyDescent="0.25">
      <c r="S342" s="1"/>
      <c r="V342" s="133"/>
      <c r="W342" s="133"/>
      <c r="AF342" s="1"/>
      <c r="AN342" s="1"/>
      <c r="AV342" s="1"/>
    </row>
    <row r="343" spans="19:48" s="20" customFormat="1" ht="22.5" customHeight="1" x14ac:dyDescent="0.25">
      <c r="S343" s="1"/>
      <c r="V343" s="133"/>
      <c r="W343" s="133"/>
      <c r="AF343" s="1"/>
      <c r="AN343" s="1"/>
      <c r="AV343" s="1"/>
    </row>
    <row r="344" spans="19:48" s="20" customFormat="1" ht="22.5" customHeight="1" x14ac:dyDescent="0.25">
      <c r="S344" s="1"/>
      <c r="V344" s="133"/>
      <c r="W344" s="133"/>
      <c r="AF344" s="1"/>
      <c r="AN344" s="1"/>
      <c r="AV344" s="1"/>
    </row>
    <row r="345" spans="19:48" s="20" customFormat="1" ht="22.5" customHeight="1" x14ac:dyDescent="0.25">
      <c r="S345" s="1"/>
      <c r="V345" s="133"/>
      <c r="W345" s="133"/>
      <c r="AF345" s="1"/>
      <c r="AN345" s="1"/>
      <c r="AV345" s="1"/>
    </row>
    <row r="346" spans="19:48" s="20" customFormat="1" ht="22.5" customHeight="1" x14ac:dyDescent="0.25">
      <c r="S346" s="1"/>
      <c r="V346" s="133"/>
      <c r="W346" s="133"/>
      <c r="AF346" s="1"/>
      <c r="AN346" s="1"/>
      <c r="AV346" s="1"/>
    </row>
    <row r="347" spans="19:48" s="20" customFormat="1" ht="22.5" customHeight="1" x14ac:dyDescent="0.25">
      <c r="S347" s="1"/>
      <c r="V347" s="133"/>
      <c r="W347" s="133"/>
      <c r="AF347" s="1"/>
      <c r="AN347" s="1"/>
      <c r="AV347" s="1"/>
    </row>
    <row r="348" spans="19:48" s="20" customFormat="1" ht="22.5" customHeight="1" x14ac:dyDescent="0.25">
      <c r="S348" s="1"/>
      <c r="V348" s="133"/>
      <c r="W348" s="133"/>
      <c r="AF348" s="1"/>
      <c r="AN348" s="1"/>
      <c r="AV348" s="1"/>
    </row>
    <row r="349" spans="19:48" s="20" customFormat="1" ht="22.5" customHeight="1" x14ac:dyDescent="0.25">
      <c r="S349" s="1"/>
      <c r="V349" s="133"/>
      <c r="W349" s="133"/>
      <c r="AF349" s="1"/>
      <c r="AN349" s="1"/>
      <c r="AV349" s="1"/>
    </row>
    <row r="350" spans="19:48" s="20" customFormat="1" ht="22.5" customHeight="1" x14ac:dyDescent="0.25">
      <c r="S350" s="1"/>
      <c r="V350" s="133"/>
      <c r="W350" s="133"/>
      <c r="AF350" s="1"/>
      <c r="AN350" s="1"/>
      <c r="AV350" s="1"/>
    </row>
    <row r="351" spans="19:48" s="20" customFormat="1" ht="22.5" customHeight="1" x14ac:dyDescent="0.25">
      <c r="S351" s="1"/>
      <c r="V351" s="133"/>
      <c r="W351" s="133"/>
      <c r="AF351" s="1"/>
      <c r="AN351" s="1"/>
      <c r="AV351" s="1"/>
    </row>
    <row r="352" spans="19:48" s="20" customFormat="1" ht="22.5" customHeight="1" x14ac:dyDescent="0.25">
      <c r="S352" s="1"/>
      <c r="V352" s="133"/>
      <c r="W352" s="133"/>
      <c r="AF352" s="1"/>
      <c r="AN352" s="1"/>
      <c r="AV352" s="1"/>
    </row>
    <row r="353" spans="19:48" s="20" customFormat="1" ht="22.5" customHeight="1" x14ac:dyDescent="0.25">
      <c r="S353" s="1"/>
      <c r="V353" s="133"/>
      <c r="W353" s="133"/>
      <c r="AF353" s="1"/>
      <c r="AN353" s="1"/>
      <c r="AV353" s="1"/>
    </row>
    <row r="354" spans="19:48" s="20" customFormat="1" ht="22.5" customHeight="1" x14ac:dyDescent="0.25">
      <c r="S354" s="1"/>
      <c r="V354" s="133"/>
      <c r="W354" s="133"/>
      <c r="AF354" s="1"/>
      <c r="AN354" s="1"/>
      <c r="AV354" s="1"/>
    </row>
    <row r="355" spans="19:48" s="20" customFormat="1" ht="22.5" customHeight="1" x14ac:dyDescent="0.25">
      <c r="S355" s="1"/>
      <c r="V355" s="133"/>
      <c r="W355" s="133"/>
      <c r="AF355" s="1"/>
      <c r="AN355" s="1"/>
      <c r="AV355" s="1"/>
    </row>
    <row r="356" spans="19:48" s="20" customFormat="1" ht="22.5" customHeight="1" x14ac:dyDescent="0.25">
      <c r="S356" s="1"/>
      <c r="V356" s="133"/>
      <c r="W356" s="133"/>
      <c r="AF356" s="1"/>
      <c r="AN356" s="1"/>
      <c r="AV356" s="1"/>
    </row>
    <row r="357" spans="19:48" s="20" customFormat="1" ht="22.5" customHeight="1" x14ac:dyDescent="0.25">
      <c r="S357" s="1"/>
      <c r="V357" s="133"/>
      <c r="W357" s="133"/>
      <c r="AF357" s="1"/>
      <c r="AN357" s="1"/>
      <c r="AV357" s="1"/>
    </row>
    <row r="358" spans="19:48" s="20" customFormat="1" ht="22.5" customHeight="1" x14ac:dyDescent="0.25">
      <c r="S358" s="1"/>
      <c r="V358" s="133"/>
      <c r="W358" s="133"/>
      <c r="AF358" s="1"/>
      <c r="AN358" s="1"/>
      <c r="AV358" s="1"/>
    </row>
    <row r="359" spans="19:48" s="20" customFormat="1" ht="22.5" customHeight="1" x14ac:dyDescent="0.25">
      <c r="S359" s="1"/>
      <c r="V359" s="133"/>
      <c r="W359" s="133"/>
      <c r="AF359" s="1"/>
      <c r="AN359" s="1"/>
      <c r="AV359" s="1"/>
    </row>
    <row r="360" spans="19:48" s="20" customFormat="1" ht="22.5" customHeight="1" x14ac:dyDescent="0.25">
      <c r="S360" s="1"/>
      <c r="V360" s="133"/>
      <c r="W360" s="133"/>
      <c r="AF360" s="1"/>
      <c r="AN360" s="1"/>
      <c r="AV360" s="1"/>
    </row>
    <row r="361" spans="19:48" s="20" customFormat="1" ht="22.5" customHeight="1" x14ac:dyDescent="0.25">
      <c r="S361" s="1"/>
      <c r="V361" s="133"/>
      <c r="W361" s="133"/>
      <c r="AF361" s="1"/>
      <c r="AN361" s="1"/>
      <c r="AV361" s="1"/>
    </row>
    <row r="362" spans="19:48" s="20" customFormat="1" ht="22.5" customHeight="1" x14ac:dyDescent="0.25">
      <c r="S362" s="1"/>
      <c r="V362" s="133"/>
      <c r="W362" s="133"/>
      <c r="AF362" s="1"/>
      <c r="AN362" s="1"/>
      <c r="AV362" s="1"/>
    </row>
    <row r="363" spans="19:48" s="20" customFormat="1" ht="22.5" customHeight="1" x14ac:dyDescent="0.25">
      <c r="S363" s="1"/>
      <c r="V363" s="133"/>
      <c r="W363" s="133"/>
      <c r="AF363" s="1"/>
      <c r="AN363" s="1"/>
      <c r="AV363" s="1"/>
    </row>
    <row r="364" spans="19:48" s="20" customFormat="1" ht="22.5" customHeight="1" x14ac:dyDescent="0.25">
      <c r="S364" s="1"/>
      <c r="V364" s="133"/>
      <c r="W364" s="133"/>
      <c r="AF364" s="1"/>
      <c r="AN364" s="1"/>
      <c r="AV364" s="1"/>
    </row>
    <row r="365" spans="19:48" s="20" customFormat="1" ht="22.5" customHeight="1" x14ac:dyDescent="0.25">
      <c r="S365" s="1"/>
      <c r="V365" s="133"/>
      <c r="W365" s="133"/>
      <c r="AF365" s="1"/>
      <c r="AN365" s="1"/>
      <c r="AV365" s="1"/>
    </row>
    <row r="366" spans="19:48" s="20" customFormat="1" ht="22.5" customHeight="1" x14ac:dyDescent="0.25">
      <c r="S366" s="1"/>
      <c r="V366" s="133"/>
      <c r="W366" s="133"/>
      <c r="AF366" s="1"/>
      <c r="AN366" s="1"/>
      <c r="AV366" s="1"/>
    </row>
    <row r="367" spans="19:48" s="20" customFormat="1" ht="22.5" customHeight="1" x14ac:dyDescent="0.25">
      <c r="S367" s="1"/>
      <c r="V367" s="133"/>
      <c r="W367" s="133"/>
      <c r="AF367" s="1"/>
      <c r="AN367" s="1"/>
      <c r="AV367" s="1"/>
    </row>
    <row r="368" spans="19:48" s="20" customFormat="1" ht="22.5" customHeight="1" x14ac:dyDescent="0.25">
      <c r="S368" s="1"/>
      <c r="V368" s="133"/>
      <c r="W368" s="133"/>
      <c r="AF368" s="1"/>
      <c r="AN368" s="1"/>
      <c r="AV368" s="1"/>
    </row>
    <row r="369" spans="19:48" s="20" customFormat="1" ht="22.5" customHeight="1" x14ac:dyDescent="0.25">
      <c r="S369" s="1"/>
      <c r="V369" s="133"/>
      <c r="W369" s="133"/>
      <c r="AF369" s="1"/>
      <c r="AN369" s="1"/>
      <c r="AV369" s="1"/>
    </row>
    <row r="370" spans="19:48" s="20" customFormat="1" ht="22.5" customHeight="1" x14ac:dyDescent="0.25">
      <c r="S370" s="1"/>
      <c r="V370" s="133"/>
      <c r="W370" s="133"/>
      <c r="AF370" s="1"/>
      <c r="AN370" s="1"/>
      <c r="AV370" s="1"/>
    </row>
    <row r="371" spans="19:48" s="20" customFormat="1" ht="22.5" customHeight="1" x14ac:dyDescent="0.25">
      <c r="S371" s="1"/>
      <c r="V371" s="133"/>
      <c r="W371" s="133"/>
      <c r="AF371" s="1"/>
      <c r="AN371" s="1"/>
      <c r="AV371" s="1"/>
    </row>
    <row r="372" spans="19:48" s="20" customFormat="1" ht="22.5" customHeight="1" x14ac:dyDescent="0.25">
      <c r="S372" s="1"/>
      <c r="V372" s="133"/>
      <c r="W372" s="133"/>
      <c r="AF372" s="1"/>
      <c r="AN372" s="1"/>
      <c r="AV372" s="1"/>
    </row>
    <row r="373" spans="19:48" s="20" customFormat="1" ht="22.5" customHeight="1" x14ac:dyDescent="0.25">
      <c r="S373" s="1"/>
      <c r="V373" s="133"/>
      <c r="W373" s="133"/>
      <c r="AF373" s="1"/>
      <c r="AN373" s="1"/>
      <c r="AV373" s="1"/>
    </row>
    <row r="374" spans="19:48" s="20" customFormat="1" ht="22.5" customHeight="1" x14ac:dyDescent="0.25">
      <c r="S374" s="1"/>
      <c r="V374" s="133"/>
      <c r="W374" s="133"/>
      <c r="AF374" s="1"/>
      <c r="AN374" s="1"/>
      <c r="AV374" s="1"/>
    </row>
    <row r="375" spans="19:48" s="20" customFormat="1" ht="22.5" customHeight="1" x14ac:dyDescent="0.25">
      <c r="S375" s="1"/>
      <c r="V375" s="133"/>
      <c r="W375" s="133"/>
      <c r="AF375" s="1"/>
      <c r="AN375" s="1"/>
      <c r="AV375" s="1"/>
    </row>
    <row r="376" spans="19:48" s="20" customFormat="1" ht="22.5" customHeight="1" x14ac:dyDescent="0.25">
      <c r="S376" s="1"/>
      <c r="V376" s="133"/>
      <c r="W376" s="133"/>
      <c r="AF376" s="1"/>
      <c r="AN376" s="1"/>
      <c r="AV376" s="1"/>
    </row>
    <row r="377" spans="19:48" s="20" customFormat="1" ht="22.5" customHeight="1" x14ac:dyDescent="0.25">
      <c r="S377" s="1"/>
      <c r="V377" s="133"/>
      <c r="W377" s="133"/>
      <c r="AF377" s="1"/>
      <c r="AN377" s="1"/>
      <c r="AV377" s="1"/>
    </row>
    <row r="378" spans="19:48" s="20" customFormat="1" ht="22.5" customHeight="1" x14ac:dyDescent="0.25">
      <c r="S378" s="1"/>
      <c r="V378" s="133"/>
      <c r="W378" s="133"/>
      <c r="AF378" s="1"/>
      <c r="AN378" s="1"/>
      <c r="AV378" s="1"/>
    </row>
    <row r="379" spans="19:48" s="20" customFormat="1" ht="22.5" customHeight="1" x14ac:dyDescent="0.25">
      <c r="S379" s="1"/>
      <c r="V379" s="133"/>
      <c r="W379" s="133"/>
      <c r="AF379" s="1"/>
      <c r="AN379" s="1"/>
      <c r="AV379" s="1"/>
    </row>
    <row r="380" spans="19:48" s="20" customFormat="1" ht="22.5" customHeight="1" x14ac:dyDescent="0.25">
      <c r="S380" s="1"/>
      <c r="V380" s="133"/>
      <c r="W380" s="133"/>
      <c r="AF380" s="1"/>
      <c r="AN380" s="1"/>
      <c r="AV380" s="1"/>
    </row>
    <row r="381" spans="19:48" s="20" customFormat="1" ht="22.5" customHeight="1" x14ac:dyDescent="0.25">
      <c r="S381" s="1"/>
      <c r="V381" s="133"/>
      <c r="W381" s="133"/>
      <c r="AF381" s="1"/>
      <c r="AN381" s="1"/>
      <c r="AV381" s="1"/>
    </row>
    <row r="382" spans="19:48" s="20" customFormat="1" ht="22.5" customHeight="1" x14ac:dyDescent="0.25">
      <c r="S382" s="1"/>
      <c r="V382" s="133"/>
      <c r="W382" s="133"/>
      <c r="AF382" s="1"/>
      <c r="AN382" s="1"/>
      <c r="AV382" s="1"/>
    </row>
    <row r="383" spans="19:48" s="20" customFormat="1" ht="22.5" customHeight="1" x14ac:dyDescent="0.25">
      <c r="S383" s="1"/>
      <c r="V383" s="133"/>
      <c r="W383" s="133"/>
      <c r="AF383" s="1"/>
      <c r="AN383" s="1"/>
      <c r="AV383" s="1"/>
    </row>
    <row r="384" spans="19:48" s="20" customFormat="1" ht="22.5" customHeight="1" x14ac:dyDescent="0.25">
      <c r="S384" s="1"/>
      <c r="V384" s="133"/>
      <c r="W384" s="133"/>
      <c r="AF384" s="1"/>
      <c r="AN384" s="1"/>
      <c r="AV384" s="1"/>
    </row>
    <row r="385" spans="19:48" s="20" customFormat="1" ht="22.5" customHeight="1" x14ac:dyDescent="0.25">
      <c r="S385" s="1"/>
      <c r="V385" s="133"/>
      <c r="W385" s="133"/>
      <c r="AF385" s="1"/>
      <c r="AN385" s="1"/>
      <c r="AV385" s="1"/>
    </row>
    <row r="386" spans="19:48" s="20" customFormat="1" ht="22.5" customHeight="1" x14ac:dyDescent="0.25">
      <c r="S386" s="1"/>
      <c r="V386" s="133"/>
      <c r="W386" s="133"/>
      <c r="AF386" s="1"/>
      <c r="AN386" s="1"/>
      <c r="AV386" s="1"/>
    </row>
    <row r="387" spans="19:48" s="20" customFormat="1" ht="22.5" customHeight="1" x14ac:dyDescent="0.25">
      <c r="S387" s="1"/>
      <c r="V387" s="133"/>
      <c r="W387" s="133"/>
      <c r="AF387" s="1"/>
      <c r="AN387" s="1"/>
      <c r="AV387" s="1"/>
    </row>
    <row r="388" spans="19:48" s="20" customFormat="1" ht="22.5" customHeight="1" x14ac:dyDescent="0.25">
      <c r="S388" s="1"/>
      <c r="V388" s="133"/>
      <c r="W388" s="133"/>
      <c r="AF388" s="1"/>
      <c r="AN388" s="1"/>
      <c r="AV388" s="1"/>
    </row>
    <row r="389" spans="19:48" s="20" customFormat="1" ht="22.5" customHeight="1" x14ac:dyDescent="0.25">
      <c r="S389" s="1"/>
      <c r="V389" s="133"/>
      <c r="W389" s="133"/>
      <c r="AF389" s="1"/>
      <c r="AN389" s="1"/>
      <c r="AV389" s="1"/>
    </row>
    <row r="390" spans="19:48" s="20" customFormat="1" ht="22.5" customHeight="1" x14ac:dyDescent="0.25">
      <c r="S390" s="1"/>
      <c r="V390" s="133"/>
      <c r="W390" s="133"/>
      <c r="AF390" s="1"/>
      <c r="AN390" s="1"/>
      <c r="AV390" s="1"/>
    </row>
    <row r="391" spans="19:48" s="20" customFormat="1" ht="22.5" customHeight="1" x14ac:dyDescent="0.25">
      <c r="S391" s="1"/>
      <c r="V391" s="133"/>
      <c r="W391" s="133"/>
      <c r="AF391" s="1"/>
      <c r="AN391" s="1"/>
      <c r="AV391" s="1"/>
    </row>
    <row r="392" spans="19:48" s="20" customFormat="1" ht="22.5" customHeight="1" x14ac:dyDescent="0.25">
      <c r="S392" s="1"/>
      <c r="V392" s="133"/>
      <c r="W392" s="133"/>
      <c r="AF392" s="1"/>
      <c r="AN392" s="1"/>
      <c r="AV392" s="1"/>
    </row>
    <row r="393" spans="19:48" s="20" customFormat="1" ht="22.5" customHeight="1" x14ac:dyDescent="0.25">
      <c r="S393" s="1"/>
      <c r="V393" s="133"/>
      <c r="W393" s="133"/>
      <c r="AF393" s="1"/>
      <c r="AN393" s="1"/>
      <c r="AV393" s="1"/>
    </row>
    <row r="394" spans="19:48" s="20" customFormat="1" ht="22.5" customHeight="1" x14ac:dyDescent="0.25">
      <c r="S394" s="1"/>
      <c r="V394" s="133"/>
      <c r="W394" s="133"/>
      <c r="AF394" s="1"/>
      <c r="AN394" s="1"/>
      <c r="AV394" s="1"/>
    </row>
    <row r="395" spans="19:48" s="20" customFormat="1" ht="22.5" customHeight="1" x14ac:dyDescent="0.25">
      <c r="S395" s="1"/>
      <c r="V395" s="133"/>
      <c r="W395" s="133"/>
      <c r="AF395" s="1"/>
      <c r="AN395" s="1"/>
      <c r="AV395" s="1"/>
    </row>
    <row r="396" spans="19:48" s="20" customFormat="1" ht="22.5" customHeight="1" x14ac:dyDescent="0.25">
      <c r="S396" s="1"/>
      <c r="V396" s="133"/>
      <c r="W396" s="133"/>
      <c r="AF396" s="1"/>
      <c r="AN396" s="1"/>
      <c r="AV396" s="1"/>
    </row>
    <row r="397" spans="19:48" s="20" customFormat="1" ht="22.5" customHeight="1" x14ac:dyDescent="0.25">
      <c r="S397" s="1"/>
      <c r="V397" s="133"/>
      <c r="W397" s="133"/>
      <c r="AF397" s="1"/>
      <c r="AN397" s="1"/>
      <c r="AV397" s="1"/>
    </row>
    <row r="398" spans="19:48" s="20" customFormat="1" ht="22.5" customHeight="1" x14ac:dyDescent="0.25">
      <c r="S398" s="1"/>
      <c r="V398" s="133"/>
      <c r="W398" s="133"/>
      <c r="AF398" s="1"/>
      <c r="AN398" s="1"/>
      <c r="AV398" s="1"/>
    </row>
    <row r="399" spans="19:48" s="20" customFormat="1" ht="22.5" customHeight="1" x14ac:dyDescent="0.25">
      <c r="S399" s="1"/>
      <c r="V399" s="133"/>
      <c r="W399" s="133"/>
      <c r="AF399" s="1"/>
      <c r="AN399" s="1"/>
      <c r="AV399" s="1"/>
    </row>
    <row r="400" spans="19:48" s="20" customFormat="1" ht="22.5" customHeight="1" x14ac:dyDescent="0.25">
      <c r="S400" s="1"/>
      <c r="V400" s="133"/>
      <c r="W400" s="133"/>
      <c r="AF400" s="1"/>
      <c r="AN400" s="1"/>
      <c r="AV400" s="1"/>
    </row>
    <row r="401" spans="19:48" s="20" customFormat="1" ht="22.5" customHeight="1" x14ac:dyDescent="0.25">
      <c r="S401" s="1"/>
      <c r="V401" s="133"/>
      <c r="W401" s="133"/>
      <c r="AF401" s="1"/>
      <c r="AN401" s="1"/>
      <c r="AV401" s="1"/>
    </row>
    <row r="402" spans="19:48" s="20" customFormat="1" ht="22.5" customHeight="1" x14ac:dyDescent="0.25">
      <c r="S402" s="1"/>
      <c r="V402" s="133"/>
      <c r="W402" s="133"/>
      <c r="AF402" s="1"/>
      <c r="AN402" s="1"/>
      <c r="AV402" s="1"/>
    </row>
    <row r="403" spans="19:48" s="20" customFormat="1" ht="22.5" customHeight="1" x14ac:dyDescent="0.25">
      <c r="S403" s="1"/>
      <c r="V403" s="133"/>
      <c r="W403" s="133"/>
      <c r="AF403" s="1"/>
      <c r="AN403" s="1"/>
      <c r="AV403" s="1"/>
    </row>
    <row r="404" spans="19:48" s="20" customFormat="1" ht="22.5" customHeight="1" x14ac:dyDescent="0.25">
      <c r="S404" s="1"/>
      <c r="V404" s="133"/>
      <c r="W404" s="133"/>
      <c r="AF404" s="1"/>
      <c r="AN404" s="1"/>
      <c r="AV404" s="1"/>
    </row>
    <row r="405" spans="19:48" s="20" customFormat="1" ht="22.5" customHeight="1" x14ac:dyDescent="0.25">
      <c r="S405" s="1"/>
      <c r="V405" s="133"/>
      <c r="W405" s="133"/>
      <c r="AF405" s="1"/>
      <c r="AN405" s="1"/>
      <c r="AV405" s="1"/>
    </row>
    <row r="406" spans="19:48" s="20" customFormat="1" ht="22.5" customHeight="1" x14ac:dyDescent="0.25">
      <c r="S406" s="1"/>
      <c r="V406" s="133"/>
      <c r="W406" s="133"/>
      <c r="AF406" s="1"/>
      <c r="AN406" s="1"/>
      <c r="AV406" s="1"/>
    </row>
    <row r="407" spans="19:48" s="20" customFormat="1" ht="22.5" customHeight="1" x14ac:dyDescent="0.25">
      <c r="S407" s="1"/>
      <c r="V407" s="133"/>
      <c r="W407" s="133"/>
      <c r="AF407" s="1"/>
      <c r="AN407" s="1"/>
      <c r="AV407" s="1"/>
    </row>
    <row r="408" spans="19:48" s="20" customFormat="1" ht="22.5" customHeight="1" x14ac:dyDescent="0.25">
      <c r="S408" s="1"/>
      <c r="V408" s="133"/>
      <c r="W408" s="133"/>
      <c r="AF408" s="1"/>
      <c r="AN408" s="1"/>
      <c r="AV408" s="1"/>
    </row>
    <row r="409" spans="19:48" s="20" customFormat="1" ht="22.5" customHeight="1" x14ac:dyDescent="0.25">
      <c r="S409" s="1"/>
      <c r="V409" s="133"/>
      <c r="W409" s="133"/>
      <c r="AF409" s="1"/>
      <c r="AN409" s="1"/>
      <c r="AV409" s="1"/>
    </row>
    <row r="410" spans="19:48" s="20" customFormat="1" ht="22.5" customHeight="1" x14ac:dyDescent="0.25">
      <c r="S410" s="1"/>
      <c r="V410" s="133"/>
      <c r="W410" s="133"/>
      <c r="AF410" s="1"/>
      <c r="AN410" s="1"/>
      <c r="AV410" s="1"/>
    </row>
    <row r="411" spans="19:48" s="20" customFormat="1" ht="22.5" customHeight="1" x14ac:dyDescent="0.25">
      <c r="S411" s="1"/>
      <c r="V411" s="133"/>
      <c r="W411" s="133"/>
      <c r="AF411" s="1"/>
      <c r="AN411" s="1"/>
      <c r="AV411" s="1"/>
    </row>
    <row r="412" spans="19:48" s="20" customFormat="1" ht="22.5" customHeight="1" x14ac:dyDescent="0.25">
      <c r="S412" s="1"/>
      <c r="V412" s="133"/>
      <c r="W412" s="133"/>
      <c r="AF412" s="1"/>
      <c r="AN412" s="1"/>
      <c r="AV412" s="1"/>
    </row>
    <row r="413" spans="19:48" s="20" customFormat="1" ht="22.5" customHeight="1" x14ac:dyDescent="0.25">
      <c r="S413" s="1"/>
      <c r="V413" s="133"/>
      <c r="W413" s="133"/>
      <c r="AF413" s="1"/>
      <c r="AN413" s="1"/>
      <c r="AV413" s="1"/>
    </row>
    <row r="414" spans="19:48" s="20" customFormat="1" ht="22.5" customHeight="1" x14ac:dyDescent="0.25">
      <c r="S414" s="1"/>
      <c r="V414" s="133"/>
      <c r="W414" s="133"/>
      <c r="AF414" s="1"/>
      <c r="AN414" s="1"/>
      <c r="AV414" s="1"/>
    </row>
    <row r="415" spans="19:48" s="20" customFormat="1" ht="22.5" customHeight="1" x14ac:dyDescent="0.25">
      <c r="S415" s="1"/>
      <c r="V415" s="133"/>
      <c r="W415" s="133"/>
      <c r="AF415" s="1"/>
      <c r="AN415" s="1"/>
      <c r="AV415" s="1"/>
    </row>
    <row r="416" spans="19:48" s="20" customFormat="1" ht="22.5" customHeight="1" x14ac:dyDescent="0.25">
      <c r="S416" s="1"/>
      <c r="V416" s="133"/>
      <c r="W416" s="133"/>
      <c r="AF416" s="1"/>
      <c r="AN416" s="1"/>
      <c r="AV416" s="1"/>
    </row>
    <row r="417" spans="19:48" s="20" customFormat="1" ht="22.5" customHeight="1" x14ac:dyDescent="0.25">
      <c r="S417" s="1"/>
      <c r="V417" s="133"/>
      <c r="W417" s="133"/>
      <c r="AF417" s="1"/>
      <c r="AN417" s="1"/>
      <c r="AV417" s="1"/>
    </row>
    <row r="418" spans="19:48" s="20" customFormat="1" ht="22.5" customHeight="1" x14ac:dyDescent="0.25">
      <c r="S418" s="1"/>
      <c r="V418" s="133"/>
      <c r="W418" s="133"/>
      <c r="AF418" s="1"/>
      <c r="AN418" s="1"/>
      <c r="AV418" s="1"/>
    </row>
    <row r="419" spans="19:48" s="20" customFormat="1" ht="22.5" customHeight="1" x14ac:dyDescent="0.25">
      <c r="S419" s="1"/>
      <c r="V419" s="133"/>
      <c r="W419" s="133"/>
      <c r="AF419" s="1"/>
      <c r="AN419" s="1"/>
      <c r="AV419" s="1"/>
    </row>
    <row r="420" spans="19:48" s="20" customFormat="1" ht="22.5" customHeight="1" x14ac:dyDescent="0.25">
      <c r="S420" s="1"/>
      <c r="V420" s="133"/>
      <c r="W420" s="133"/>
      <c r="AF420" s="1"/>
      <c r="AN420" s="1"/>
      <c r="AV420" s="1"/>
    </row>
    <row r="421" spans="19:48" s="20" customFormat="1" ht="22.5" customHeight="1" x14ac:dyDescent="0.25">
      <c r="S421" s="1"/>
      <c r="V421" s="133"/>
      <c r="W421" s="133"/>
      <c r="AF421" s="1"/>
      <c r="AN421" s="1"/>
      <c r="AV421" s="1"/>
    </row>
    <row r="422" spans="19:48" s="20" customFormat="1" ht="22.5" customHeight="1" x14ac:dyDescent="0.25">
      <c r="S422" s="1"/>
      <c r="V422" s="133"/>
      <c r="W422" s="133"/>
      <c r="AF422" s="1"/>
      <c r="AN422" s="1"/>
      <c r="AV422" s="1"/>
    </row>
    <row r="423" spans="19:48" s="20" customFormat="1" ht="22.5" customHeight="1" x14ac:dyDescent="0.25">
      <c r="S423" s="1"/>
      <c r="V423" s="133"/>
      <c r="W423" s="133"/>
      <c r="AF423" s="1"/>
      <c r="AN423" s="1"/>
      <c r="AV423" s="1"/>
    </row>
    <row r="424" spans="19:48" s="20" customFormat="1" ht="22.5" customHeight="1" x14ac:dyDescent="0.25">
      <c r="S424" s="1"/>
      <c r="V424" s="133"/>
      <c r="W424" s="133"/>
      <c r="AF424" s="1"/>
      <c r="AN424" s="1"/>
      <c r="AV424" s="1"/>
    </row>
    <row r="425" spans="19:48" s="20" customFormat="1" ht="22.5" customHeight="1" x14ac:dyDescent="0.25">
      <c r="S425" s="1"/>
      <c r="V425" s="133"/>
      <c r="W425" s="133"/>
      <c r="AF425" s="1"/>
      <c r="AN425" s="1"/>
      <c r="AV425" s="1"/>
    </row>
    <row r="426" spans="19:48" s="20" customFormat="1" ht="22.5" customHeight="1" x14ac:dyDescent="0.25">
      <c r="S426" s="1"/>
      <c r="V426" s="133"/>
      <c r="W426" s="133"/>
      <c r="AF426" s="1"/>
      <c r="AN426" s="1"/>
      <c r="AV426" s="1"/>
    </row>
    <row r="427" spans="19:48" s="20" customFormat="1" ht="22.5" customHeight="1" x14ac:dyDescent="0.25">
      <c r="S427" s="1"/>
      <c r="V427" s="133"/>
      <c r="W427" s="133"/>
      <c r="AF427" s="1"/>
      <c r="AN427" s="1"/>
      <c r="AV427" s="1"/>
    </row>
    <row r="428" spans="19:48" s="20" customFormat="1" ht="22.5" customHeight="1" x14ac:dyDescent="0.25">
      <c r="S428" s="1"/>
      <c r="V428" s="133"/>
      <c r="W428" s="133"/>
      <c r="AF428" s="1"/>
      <c r="AN428" s="1"/>
      <c r="AV428" s="1"/>
    </row>
    <row r="429" spans="19:48" s="20" customFormat="1" ht="22.5" customHeight="1" x14ac:dyDescent="0.25">
      <c r="S429" s="1"/>
      <c r="V429" s="133"/>
      <c r="W429" s="133"/>
      <c r="AF429" s="1"/>
      <c r="AN429" s="1"/>
      <c r="AV429" s="1"/>
    </row>
    <row r="430" spans="19:48" s="20" customFormat="1" ht="22.5" customHeight="1" x14ac:dyDescent="0.25">
      <c r="S430" s="1"/>
      <c r="V430" s="133"/>
      <c r="W430" s="133"/>
      <c r="AF430" s="1"/>
      <c r="AN430" s="1"/>
      <c r="AV430" s="1"/>
    </row>
    <row r="431" spans="19:48" s="20" customFormat="1" ht="22.5" customHeight="1" x14ac:dyDescent="0.25">
      <c r="S431" s="1"/>
      <c r="V431" s="133"/>
      <c r="W431" s="133"/>
      <c r="AF431" s="1"/>
      <c r="AN431" s="1"/>
      <c r="AV431" s="1"/>
    </row>
    <row r="432" spans="19:48" s="20" customFormat="1" ht="22.5" customHeight="1" x14ac:dyDescent="0.25">
      <c r="S432" s="1"/>
      <c r="V432" s="133"/>
      <c r="W432" s="133"/>
      <c r="AF432" s="1"/>
      <c r="AN432" s="1"/>
      <c r="AV432" s="1"/>
    </row>
    <row r="433" spans="19:48" s="20" customFormat="1" ht="22.5" customHeight="1" x14ac:dyDescent="0.25">
      <c r="S433" s="1"/>
      <c r="V433" s="133"/>
      <c r="W433" s="133"/>
      <c r="AF433" s="1"/>
      <c r="AN433" s="1"/>
      <c r="AV433" s="1"/>
    </row>
    <row r="434" spans="19:48" s="20" customFormat="1" ht="22.5" customHeight="1" x14ac:dyDescent="0.25">
      <c r="S434" s="1"/>
      <c r="V434" s="133"/>
      <c r="W434" s="133"/>
      <c r="AF434" s="1"/>
      <c r="AN434" s="1"/>
      <c r="AV434" s="1"/>
    </row>
    <row r="435" spans="19:48" s="20" customFormat="1" ht="22.5" customHeight="1" x14ac:dyDescent="0.25">
      <c r="S435" s="1"/>
      <c r="V435" s="133"/>
      <c r="W435" s="133"/>
      <c r="AF435" s="1"/>
      <c r="AN435" s="1"/>
      <c r="AV435" s="1"/>
    </row>
    <row r="436" spans="19:48" s="20" customFormat="1" ht="22.5" customHeight="1" x14ac:dyDescent="0.25">
      <c r="S436" s="1"/>
      <c r="V436" s="133"/>
      <c r="W436" s="133"/>
      <c r="AF436" s="1"/>
      <c r="AN436" s="1"/>
      <c r="AV436" s="1"/>
    </row>
    <row r="437" spans="19:48" s="20" customFormat="1" ht="22.5" customHeight="1" x14ac:dyDescent="0.25">
      <c r="S437" s="1"/>
      <c r="V437" s="133"/>
      <c r="W437" s="133"/>
      <c r="AF437" s="1"/>
      <c r="AN437" s="1"/>
      <c r="AV437" s="1"/>
    </row>
    <row r="438" spans="19:48" s="20" customFormat="1" ht="22.5" customHeight="1" x14ac:dyDescent="0.25">
      <c r="S438" s="1"/>
      <c r="V438" s="133"/>
      <c r="W438" s="133"/>
      <c r="AF438" s="1"/>
      <c r="AN438" s="1"/>
      <c r="AV438" s="1"/>
    </row>
    <row r="439" spans="19:48" s="20" customFormat="1" ht="22.5" customHeight="1" x14ac:dyDescent="0.25">
      <c r="S439" s="1"/>
      <c r="V439" s="133"/>
      <c r="W439" s="133"/>
      <c r="AF439" s="1"/>
      <c r="AN439" s="1"/>
      <c r="AV439" s="1"/>
    </row>
    <row r="440" spans="19:48" s="20" customFormat="1" ht="22.5" customHeight="1" x14ac:dyDescent="0.25">
      <c r="S440" s="1"/>
      <c r="V440" s="133"/>
      <c r="W440" s="133"/>
      <c r="AF440" s="1"/>
      <c r="AN440" s="1"/>
      <c r="AV440" s="1"/>
    </row>
    <row r="441" spans="19:48" s="20" customFormat="1" ht="22.5" customHeight="1" x14ac:dyDescent="0.25">
      <c r="S441" s="1"/>
      <c r="V441" s="133"/>
      <c r="W441" s="133"/>
      <c r="AF441" s="1"/>
      <c r="AN441" s="1"/>
      <c r="AV441" s="1"/>
    </row>
    <row r="442" spans="19:48" s="20" customFormat="1" ht="22.5" customHeight="1" x14ac:dyDescent="0.25">
      <c r="S442" s="1"/>
      <c r="V442" s="133"/>
      <c r="W442" s="133"/>
      <c r="AF442" s="1"/>
      <c r="AN442" s="1"/>
      <c r="AV442" s="1"/>
    </row>
    <row r="443" spans="19:48" s="20" customFormat="1" ht="22.5" customHeight="1" x14ac:dyDescent="0.25">
      <c r="S443" s="1"/>
      <c r="V443" s="133"/>
      <c r="W443" s="133"/>
      <c r="AF443" s="1"/>
      <c r="AN443" s="1"/>
      <c r="AV443" s="1"/>
    </row>
    <row r="444" spans="19:48" s="20" customFormat="1" ht="22.5" customHeight="1" x14ac:dyDescent="0.25">
      <c r="S444" s="1"/>
      <c r="V444" s="133"/>
      <c r="W444" s="133"/>
      <c r="AF444" s="1"/>
      <c r="AN444" s="1"/>
      <c r="AV444" s="1"/>
    </row>
    <row r="445" spans="19:48" s="20" customFormat="1" ht="22.5" customHeight="1" x14ac:dyDescent="0.25">
      <c r="S445" s="1"/>
      <c r="V445" s="133"/>
      <c r="W445" s="133"/>
      <c r="AF445" s="1"/>
      <c r="AN445" s="1"/>
      <c r="AV445" s="1"/>
    </row>
    <row r="446" spans="19:48" s="20" customFormat="1" ht="22.5" customHeight="1" x14ac:dyDescent="0.25">
      <c r="S446" s="1"/>
      <c r="V446" s="133"/>
      <c r="W446" s="133"/>
      <c r="AF446" s="1"/>
      <c r="AN446" s="1"/>
      <c r="AV446" s="1"/>
    </row>
    <row r="447" spans="19:48" s="20" customFormat="1" ht="22.5" customHeight="1" x14ac:dyDescent="0.25">
      <c r="S447" s="1"/>
      <c r="V447" s="133"/>
      <c r="W447" s="133"/>
      <c r="AF447" s="1"/>
      <c r="AN447" s="1"/>
      <c r="AV447" s="1"/>
    </row>
    <row r="448" spans="19:48" s="20" customFormat="1" ht="22.5" customHeight="1" x14ac:dyDescent="0.25">
      <c r="S448" s="1"/>
      <c r="V448" s="133"/>
      <c r="W448" s="133"/>
      <c r="AF448" s="1"/>
      <c r="AN448" s="1"/>
      <c r="AV448" s="1"/>
    </row>
    <row r="449" spans="19:48" s="20" customFormat="1" ht="22.5" customHeight="1" x14ac:dyDescent="0.25">
      <c r="S449" s="1"/>
      <c r="V449" s="133"/>
      <c r="W449" s="133"/>
      <c r="AF449" s="1"/>
      <c r="AN449" s="1"/>
      <c r="AV449" s="1"/>
    </row>
    <row r="450" spans="19:48" s="20" customFormat="1" ht="22.5" customHeight="1" x14ac:dyDescent="0.25">
      <c r="S450" s="1"/>
      <c r="V450" s="133"/>
      <c r="W450" s="133"/>
      <c r="AF450" s="1"/>
      <c r="AN450" s="1"/>
      <c r="AV450" s="1"/>
    </row>
    <row r="451" spans="19:48" s="20" customFormat="1" ht="22.5" customHeight="1" x14ac:dyDescent="0.25">
      <c r="S451" s="1"/>
      <c r="V451" s="133"/>
      <c r="W451" s="133"/>
      <c r="AF451" s="1"/>
      <c r="AN451" s="1"/>
      <c r="AV451" s="1"/>
    </row>
    <row r="452" spans="19:48" s="20" customFormat="1" ht="22.5" customHeight="1" x14ac:dyDescent="0.25">
      <c r="S452" s="1"/>
      <c r="V452" s="133"/>
      <c r="W452" s="133"/>
      <c r="AF452" s="1"/>
      <c r="AN452" s="1"/>
      <c r="AV452" s="1"/>
    </row>
    <row r="453" spans="19:48" s="20" customFormat="1" ht="22.5" customHeight="1" x14ac:dyDescent="0.25">
      <c r="S453" s="1"/>
      <c r="V453" s="133"/>
      <c r="W453" s="133"/>
      <c r="AF453" s="1"/>
      <c r="AN453" s="1"/>
      <c r="AV453" s="1"/>
    </row>
    <row r="454" spans="19:48" s="20" customFormat="1" ht="22.5" customHeight="1" x14ac:dyDescent="0.25">
      <c r="S454" s="1"/>
      <c r="V454" s="133"/>
      <c r="W454" s="133"/>
      <c r="AF454" s="1"/>
      <c r="AN454" s="1"/>
      <c r="AV454" s="1"/>
    </row>
    <row r="455" spans="19:48" s="20" customFormat="1" ht="22.5" customHeight="1" x14ac:dyDescent="0.25">
      <c r="S455" s="1"/>
      <c r="V455" s="133"/>
      <c r="W455" s="133"/>
      <c r="AF455" s="1"/>
      <c r="AN455" s="1"/>
      <c r="AV455" s="1"/>
    </row>
    <row r="456" spans="19:48" s="20" customFormat="1" ht="22.5" customHeight="1" x14ac:dyDescent="0.25">
      <c r="S456" s="1"/>
      <c r="V456" s="133"/>
      <c r="W456" s="133"/>
      <c r="AF456" s="1"/>
      <c r="AN456" s="1"/>
      <c r="AV456" s="1"/>
    </row>
    <row r="457" spans="19:48" s="20" customFormat="1" ht="22.5" customHeight="1" x14ac:dyDescent="0.25">
      <c r="S457" s="1"/>
      <c r="V457" s="133"/>
      <c r="W457" s="133"/>
      <c r="AF457" s="1"/>
      <c r="AN457" s="1"/>
      <c r="AV457" s="1"/>
    </row>
    <row r="458" spans="19:48" s="20" customFormat="1" ht="22.5" customHeight="1" x14ac:dyDescent="0.25">
      <c r="S458" s="1"/>
      <c r="V458" s="133"/>
      <c r="W458" s="133"/>
      <c r="AF458" s="1"/>
      <c r="AN458" s="1"/>
      <c r="AV458" s="1"/>
    </row>
    <row r="459" spans="19:48" s="20" customFormat="1" ht="22.5" customHeight="1" x14ac:dyDescent="0.25">
      <c r="S459" s="1"/>
      <c r="V459" s="133"/>
      <c r="W459" s="133"/>
      <c r="AF459" s="1"/>
      <c r="AN459" s="1"/>
      <c r="AV459" s="1"/>
    </row>
    <row r="460" spans="19:48" s="20" customFormat="1" ht="22.5" customHeight="1" x14ac:dyDescent="0.25">
      <c r="S460" s="1"/>
      <c r="V460" s="133"/>
      <c r="W460" s="133"/>
      <c r="AF460" s="1"/>
      <c r="AN460" s="1"/>
      <c r="AV460" s="1"/>
    </row>
    <row r="461" spans="19:48" s="20" customFormat="1" ht="22.5" customHeight="1" x14ac:dyDescent="0.25">
      <c r="S461" s="1"/>
      <c r="V461" s="133"/>
      <c r="W461" s="133"/>
      <c r="AF461" s="1"/>
      <c r="AN461" s="1"/>
      <c r="AV461" s="1"/>
    </row>
    <row r="462" spans="19:48" s="20" customFormat="1" ht="22.5" customHeight="1" x14ac:dyDescent="0.25">
      <c r="S462" s="1"/>
      <c r="V462" s="133"/>
      <c r="W462" s="133"/>
      <c r="AF462" s="1"/>
      <c r="AN462" s="1"/>
      <c r="AV462" s="1"/>
    </row>
    <row r="463" spans="19:48" s="20" customFormat="1" ht="22.5" customHeight="1" x14ac:dyDescent="0.25">
      <c r="S463" s="1"/>
      <c r="V463" s="133"/>
      <c r="W463" s="133"/>
      <c r="AF463" s="1"/>
      <c r="AN463" s="1"/>
      <c r="AV463" s="1"/>
    </row>
    <row r="464" spans="19:48" s="20" customFormat="1" ht="22.5" customHeight="1" x14ac:dyDescent="0.25">
      <c r="S464" s="1"/>
      <c r="V464" s="133"/>
      <c r="W464" s="133"/>
      <c r="AF464" s="1"/>
      <c r="AN464" s="1"/>
      <c r="AV464" s="1"/>
    </row>
    <row r="465" spans="19:48" s="20" customFormat="1" ht="22.5" customHeight="1" x14ac:dyDescent="0.25">
      <c r="S465" s="1"/>
      <c r="V465" s="133"/>
      <c r="W465" s="133"/>
      <c r="AF465" s="1"/>
      <c r="AN465" s="1"/>
      <c r="AV465" s="1"/>
    </row>
    <row r="466" spans="19:48" s="20" customFormat="1" ht="22.5" customHeight="1" x14ac:dyDescent="0.25">
      <c r="S466" s="1"/>
      <c r="V466" s="133"/>
      <c r="W466" s="133"/>
      <c r="AF466" s="1"/>
      <c r="AN466" s="1"/>
      <c r="AV466" s="1"/>
    </row>
    <row r="467" spans="19:48" s="20" customFormat="1" ht="22.5" customHeight="1" x14ac:dyDescent="0.25">
      <c r="S467" s="1"/>
      <c r="V467" s="133"/>
      <c r="W467" s="133"/>
      <c r="AF467" s="1"/>
      <c r="AN467" s="1"/>
      <c r="AV467" s="1"/>
    </row>
    <row r="468" spans="19:48" s="20" customFormat="1" ht="22.5" customHeight="1" x14ac:dyDescent="0.25">
      <c r="S468" s="1"/>
      <c r="V468" s="133"/>
      <c r="W468" s="133"/>
      <c r="AF468" s="1"/>
      <c r="AN468" s="1"/>
      <c r="AV468" s="1"/>
    </row>
    <row r="469" spans="19:48" s="20" customFormat="1" ht="22.5" customHeight="1" x14ac:dyDescent="0.25">
      <c r="S469" s="1"/>
      <c r="V469" s="133"/>
      <c r="W469" s="133"/>
      <c r="AF469" s="1"/>
      <c r="AN469" s="1"/>
      <c r="AV469" s="1"/>
    </row>
    <row r="470" spans="19:48" s="20" customFormat="1" ht="22.5" customHeight="1" x14ac:dyDescent="0.25">
      <c r="S470" s="1"/>
      <c r="V470" s="133"/>
      <c r="W470" s="133"/>
      <c r="AF470" s="1"/>
      <c r="AN470" s="1"/>
      <c r="AV470" s="1"/>
    </row>
    <row r="471" spans="19:48" s="20" customFormat="1" ht="22.5" customHeight="1" x14ac:dyDescent="0.25">
      <c r="S471" s="1"/>
      <c r="V471" s="133"/>
      <c r="W471" s="133"/>
      <c r="AF471" s="1"/>
      <c r="AN471" s="1"/>
      <c r="AV471" s="1"/>
    </row>
    <row r="472" spans="19:48" s="20" customFormat="1" ht="22.5" customHeight="1" x14ac:dyDescent="0.25">
      <c r="S472" s="1"/>
      <c r="V472" s="133"/>
      <c r="W472" s="133"/>
      <c r="AF472" s="1"/>
      <c r="AN472" s="1"/>
      <c r="AV472" s="1"/>
    </row>
    <row r="473" spans="19:48" s="20" customFormat="1" ht="22.5" customHeight="1" x14ac:dyDescent="0.25">
      <c r="S473" s="1"/>
      <c r="V473" s="133"/>
      <c r="W473" s="133"/>
      <c r="AF473" s="1"/>
      <c r="AN473" s="1"/>
      <c r="AV473" s="1"/>
    </row>
    <row r="474" spans="19:48" s="20" customFormat="1" ht="22.5" customHeight="1" x14ac:dyDescent="0.25">
      <c r="S474" s="1"/>
      <c r="V474" s="133"/>
      <c r="W474" s="133"/>
      <c r="AF474" s="1"/>
      <c r="AN474" s="1"/>
      <c r="AV474" s="1"/>
    </row>
    <row r="475" spans="19:48" s="20" customFormat="1" ht="22.5" customHeight="1" x14ac:dyDescent="0.25">
      <c r="S475" s="1"/>
      <c r="V475" s="133"/>
      <c r="W475" s="133"/>
      <c r="AF475" s="1"/>
      <c r="AN475" s="1"/>
      <c r="AV475" s="1"/>
    </row>
    <row r="476" spans="19:48" s="20" customFormat="1" ht="22.5" customHeight="1" x14ac:dyDescent="0.25">
      <c r="S476" s="1"/>
      <c r="V476" s="133"/>
      <c r="W476" s="133"/>
      <c r="AF476" s="1"/>
      <c r="AN476" s="1"/>
      <c r="AV476" s="1"/>
    </row>
    <row r="477" spans="19:48" s="20" customFormat="1" ht="22.5" customHeight="1" x14ac:dyDescent="0.25">
      <c r="S477" s="1"/>
      <c r="V477" s="133"/>
      <c r="W477" s="133"/>
      <c r="AF477" s="1"/>
      <c r="AN477" s="1"/>
      <c r="AV477" s="1"/>
    </row>
    <row r="478" spans="19:48" s="20" customFormat="1" ht="22.5" customHeight="1" x14ac:dyDescent="0.25">
      <c r="S478" s="1"/>
      <c r="V478" s="133"/>
      <c r="W478" s="133"/>
      <c r="AF478" s="1"/>
      <c r="AN478" s="1"/>
      <c r="AV478" s="1"/>
    </row>
    <row r="479" spans="19:48" s="20" customFormat="1" ht="22.5" customHeight="1" x14ac:dyDescent="0.25">
      <c r="S479" s="1"/>
      <c r="V479" s="133"/>
      <c r="W479" s="133"/>
      <c r="AF479" s="1"/>
      <c r="AN479" s="1"/>
      <c r="AV479" s="1"/>
    </row>
    <row r="480" spans="19:48" s="20" customFormat="1" ht="22.5" customHeight="1" x14ac:dyDescent="0.25">
      <c r="S480" s="1"/>
      <c r="V480" s="133"/>
      <c r="W480" s="133"/>
      <c r="AF480" s="1"/>
      <c r="AN480" s="1"/>
      <c r="AV480" s="1"/>
    </row>
    <row r="481" spans="19:48" s="20" customFormat="1" ht="22.5" customHeight="1" x14ac:dyDescent="0.25">
      <c r="S481" s="1"/>
      <c r="V481" s="133"/>
      <c r="W481" s="133"/>
      <c r="AF481" s="1"/>
      <c r="AN481" s="1"/>
      <c r="AV481" s="1"/>
    </row>
    <row r="482" spans="19:48" s="20" customFormat="1" ht="22.5" customHeight="1" x14ac:dyDescent="0.25">
      <c r="S482" s="1"/>
      <c r="V482" s="133"/>
      <c r="W482" s="133"/>
      <c r="AF482" s="1"/>
      <c r="AN482" s="1"/>
      <c r="AV482" s="1"/>
    </row>
    <row r="483" spans="19:48" s="20" customFormat="1" ht="22.5" customHeight="1" x14ac:dyDescent="0.25">
      <c r="S483" s="1"/>
      <c r="V483" s="133"/>
      <c r="W483" s="133"/>
      <c r="AF483" s="1"/>
      <c r="AN483" s="1"/>
      <c r="AV483" s="1"/>
    </row>
    <row r="484" spans="19:48" s="20" customFormat="1" ht="22.5" customHeight="1" x14ac:dyDescent="0.25">
      <c r="S484" s="1"/>
      <c r="V484" s="133"/>
      <c r="W484" s="133"/>
      <c r="AF484" s="1"/>
      <c r="AN484" s="1"/>
      <c r="AV484" s="1"/>
    </row>
    <row r="485" spans="19:48" s="20" customFormat="1" ht="22.5" customHeight="1" x14ac:dyDescent="0.25">
      <c r="S485" s="1"/>
      <c r="V485" s="133"/>
      <c r="W485" s="133"/>
      <c r="AF485" s="1"/>
      <c r="AN485" s="1"/>
      <c r="AV485" s="1"/>
    </row>
    <row r="486" spans="19:48" s="20" customFormat="1" ht="22.5" customHeight="1" x14ac:dyDescent="0.25">
      <c r="S486" s="1"/>
      <c r="V486" s="133"/>
      <c r="W486" s="133"/>
      <c r="AF486" s="1"/>
      <c r="AN486" s="1"/>
      <c r="AV486" s="1"/>
    </row>
    <row r="487" spans="19:48" s="20" customFormat="1" ht="22.5" customHeight="1" x14ac:dyDescent="0.25">
      <c r="S487" s="1"/>
      <c r="V487" s="133"/>
      <c r="W487" s="133"/>
      <c r="AF487" s="1"/>
      <c r="AN487" s="1"/>
      <c r="AV487" s="1"/>
    </row>
    <row r="488" spans="19:48" s="20" customFormat="1" ht="22.5" customHeight="1" x14ac:dyDescent="0.25">
      <c r="S488" s="1"/>
      <c r="V488" s="133"/>
      <c r="W488" s="133"/>
      <c r="AF488" s="1"/>
      <c r="AN488" s="1"/>
      <c r="AV488" s="1"/>
    </row>
    <row r="489" spans="19:48" s="20" customFormat="1" ht="22.5" customHeight="1" x14ac:dyDescent="0.25">
      <c r="S489" s="1"/>
      <c r="V489" s="133"/>
      <c r="W489" s="133"/>
      <c r="AF489" s="1"/>
      <c r="AN489" s="1"/>
      <c r="AV489" s="1"/>
    </row>
    <row r="490" spans="19:48" s="20" customFormat="1" ht="22.5" customHeight="1" x14ac:dyDescent="0.25">
      <c r="S490" s="1"/>
      <c r="V490" s="133"/>
      <c r="W490" s="133"/>
      <c r="AF490" s="1"/>
      <c r="AN490" s="1"/>
      <c r="AV490" s="1"/>
    </row>
    <row r="491" spans="19:48" s="20" customFormat="1" ht="22.5" customHeight="1" x14ac:dyDescent="0.25">
      <c r="S491" s="1"/>
      <c r="V491" s="133"/>
      <c r="W491" s="133"/>
      <c r="AF491" s="1"/>
      <c r="AN491" s="1"/>
      <c r="AV491" s="1"/>
    </row>
    <row r="492" spans="19:48" s="20" customFormat="1" ht="22.5" customHeight="1" x14ac:dyDescent="0.25">
      <c r="S492" s="1"/>
      <c r="V492" s="133"/>
      <c r="W492" s="133"/>
      <c r="AF492" s="1"/>
      <c r="AN492" s="1"/>
      <c r="AV492" s="1"/>
    </row>
    <row r="493" spans="19:48" s="20" customFormat="1" ht="22.5" customHeight="1" x14ac:dyDescent="0.25">
      <c r="S493" s="1"/>
      <c r="V493" s="133"/>
      <c r="W493" s="133"/>
      <c r="AF493" s="1"/>
      <c r="AN493" s="1"/>
      <c r="AV493" s="1"/>
    </row>
    <row r="494" spans="19:48" s="20" customFormat="1" ht="22.5" customHeight="1" x14ac:dyDescent="0.25">
      <c r="S494" s="1"/>
      <c r="V494" s="133"/>
      <c r="W494" s="133"/>
      <c r="AF494" s="1"/>
      <c r="AN494" s="1"/>
      <c r="AV494" s="1"/>
    </row>
    <row r="495" spans="19:48" s="20" customFormat="1" ht="22.5" customHeight="1" x14ac:dyDescent="0.25">
      <c r="S495" s="1"/>
      <c r="V495" s="133"/>
      <c r="W495" s="133"/>
      <c r="AF495" s="1"/>
      <c r="AN495" s="1"/>
      <c r="AV495" s="1"/>
    </row>
    <row r="496" spans="19:48" s="20" customFormat="1" ht="22.5" customHeight="1" x14ac:dyDescent="0.25">
      <c r="S496" s="1"/>
      <c r="V496" s="133"/>
      <c r="W496" s="133"/>
      <c r="AF496" s="1"/>
      <c r="AN496" s="1"/>
      <c r="AV496" s="1"/>
    </row>
    <row r="497" spans="19:48" s="20" customFormat="1" ht="22.5" customHeight="1" x14ac:dyDescent="0.25">
      <c r="S497" s="1"/>
      <c r="V497" s="133"/>
      <c r="W497" s="133"/>
      <c r="AF497" s="1"/>
      <c r="AN497" s="1"/>
      <c r="AV497" s="1"/>
    </row>
    <row r="498" spans="19:48" s="20" customFormat="1" ht="22.5" customHeight="1" x14ac:dyDescent="0.25">
      <c r="S498" s="1"/>
      <c r="V498" s="133"/>
      <c r="W498" s="133"/>
      <c r="AF498" s="1"/>
      <c r="AN498" s="1"/>
      <c r="AV498" s="1"/>
    </row>
    <row r="499" spans="19:48" s="20" customFormat="1" ht="22.5" customHeight="1" x14ac:dyDescent="0.25">
      <c r="S499" s="1"/>
      <c r="V499" s="133"/>
      <c r="W499" s="133"/>
      <c r="AF499" s="1"/>
      <c r="AN499" s="1"/>
      <c r="AV499" s="1"/>
    </row>
    <row r="500" spans="19:48" s="20" customFormat="1" ht="22.5" customHeight="1" x14ac:dyDescent="0.25">
      <c r="S500" s="1"/>
      <c r="V500" s="133"/>
      <c r="W500" s="133"/>
      <c r="AF500" s="1"/>
      <c r="AN500" s="1"/>
      <c r="AV500" s="1"/>
    </row>
    <row r="501" spans="19:48" s="20" customFormat="1" ht="22.5" customHeight="1" x14ac:dyDescent="0.25">
      <c r="S501" s="1"/>
      <c r="V501" s="133"/>
      <c r="W501" s="133"/>
      <c r="AF501" s="1"/>
      <c r="AN501" s="1"/>
      <c r="AV501" s="1"/>
    </row>
    <row r="502" spans="19:48" s="20" customFormat="1" ht="22.5" customHeight="1" x14ac:dyDescent="0.25">
      <c r="S502" s="1"/>
      <c r="V502" s="133"/>
      <c r="W502" s="133"/>
      <c r="AF502" s="1"/>
      <c r="AN502" s="1"/>
      <c r="AV502" s="1"/>
    </row>
    <row r="503" spans="19:48" s="20" customFormat="1" ht="22.5" customHeight="1" x14ac:dyDescent="0.25">
      <c r="S503" s="1"/>
      <c r="V503" s="133"/>
      <c r="W503" s="133"/>
      <c r="AF503" s="1"/>
      <c r="AN503" s="1"/>
      <c r="AV503" s="1"/>
    </row>
    <row r="504" spans="19:48" s="20" customFormat="1" ht="22.5" customHeight="1" x14ac:dyDescent="0.25">
      <c r="S504" s="1"/>
      <c r="V504" s="133"/>
      <c r="W504" s="133"/>
      <c r="AF504" s="1"/>
      <c r="AN504" s="1"/>
      <c r="AV504" s="1"/>
    </row>
    <row r="505" spans="19:48" s="20" customFormat="1" ht="22.5" customHeight="1" x14ac:dyDescent="0.25">
      <c r="S505" s="1"/>
      <c r="V505" s="133"/>
      <c r="W505" s="133"/>
      <c r="AF505" s="1"/>
      <c r="AN505" s="1"/>
      <c r="AV505" s="1"/>
    </row>
    <row r="506" spans="19:48" s="20" customFormat="1" ht="22.5" customHeight="1" x14ac:dyDescent="0.25">
      <c r="S506" s="1"/>
      <c r="V506" s="133"/>
      <c r="W506" s="133"/>
      <c r="AF506" s="1"/>
      <c r="AN506" s="1"/>
      <c r="AV506" s="1"/>
    </row>
    <row r="507" spans="19:48" s="20" customFormat="1" ht="22.5" customHeight="1" x14ac:dyDescent="0.25">
      <c r="S507" s="1"/>
      <c r="V507" s="133"/>
      <c r="W507" s="133"/>
      <c r="AF507" s="1"/>
      <c r="AN507" s="1"/>
      <c r="AV507" s="1"/>
    </row>
    <row r="508" spans="19:48" s="20" customFormat="1" ht="22.5" customHeight="1" x14ac:dyDescent="0.25">
      <c r="S508" s="1"/>
      <c r="V508" s="133"/>
      <c r="W508" s="133"/>
      <c r="AF508" s="1"/>
      <c r="AN508" s="1"/>
      <c r="AV508" s="1"/>
    </row>
    <row r="509" spans="19:48" s="20" customFormat="1" ht="22.5" customHeight="1" x14ac:dyDescent="0.25">
      <c r="S509" s="1"/>
      <c r="V509" s="133"/>
      <c r="W509" s="133"/>
      <c r="AF509" s="1"/>
      <c r="AN509" s="1"/>
      <c r="AV509" s="1"/>
    </row>
    <row r="510" spans="19:48" s="20" customFormat="1" ht="22.5" customHeight="1" x14ac:dyDescent="0.25">
      <c r="S510" s="1"/>
      <c r="V510" s="133"/>
      <c r="W510" s="133"/>
      <c r="AF510" s="1"/>
      <c r="AN510" s="1"/>
      <c r="AV510" s="1"/>
    </row>
    <row r="511" spans="19:48" s="20" customFormat="1" ht="22.5" customHeight="1" x14ac:dyDescent="0.25">
      <c r="S511" s="1"/>
      <c r="V511" s="133"/>
      <c r="W511" s="133"/>
      <c r="AF511" s="1"/>
      <c r="AN511" s="1"/>
      <c r="AV511" s="1"/>
    </row>
    <row r="512" spans="19:48" s="20" customFormat="1" ht="22.5" customHeight="1" x14ac:dyDescent="0.25">
      <c r="S512" s="1"/>
      <c r="V512" s="133"/>
      <c r="W512" s="133"/>
      <c r="AF512" s="1"/>
      <c r="AN512" s="1"/>
      <c r="AV512" s="1"/>
    </row>
    <row r="513" spans="19:48" s="20" customFormat="1" ht="22.5" customHeight="1" x14ac:dyDescent="0.25">
      <c r="S513" s="1"/>
      <c r="V513" s="133"/>
      <c r="W513" s="133"/>
      <c r="AF513" s="1"/>
      <c r="AN513" s="1"/>
      <c r="AV513" s="1"/>
    </row>
    <row r="514" spans="19:48" s="20" customFormat="1" ht="22.5" customHeight="1" x14ac:dyDescent="0.25">
      <c r="S514" s="1"/>
      <c r="V514" s="133"/>
      <c r="W514" s="133"/>
      <c r="AF514" s="1"/>
      <c r="AN514" s="1"/>
      <c r="AV514" s="1"/>
    </row>
    <row r="515" spans="19:48" s="20" customFormat="1" ht="22.5" customHeight="1" x14ac:dyDescent="0.25">
      <c r="S515" s="1"/>
      <c r="V515" s="133"/>
      <c r="W515" s="133"/>
      <c r="AF515" s="1"/>
      <c r="AN515" s="1"/>
      <c r="AV515" s="1"/>
    </row>
    <row r="516" spans="19:48" s="20" customFormat="1" ht="22.5" customHeight="1" x14ac:dyDescent="0.25">
      <c r="S516" s="1"/>
      <c r="V516" s="133"/>
      <c r="W516" s="133"/>
      <c r="AF516" s="1"/>
      <c r="AN516" s="1"/>
      <c r="AV516" s="1"/>
    </row>
    <row r="517" spans="19:48" s="20" customFormat="1" ht="22.5" customHeight="1" x14ac:dyDescent="0.25">
      <c r="S517" s="1"/>
      <c r="V517" s="133"/>
      <c r="W517" s="133"/>
      <c r="AF517" s="1"/>
      <c r="AN517" s="1"/>
      <c r="AV517" s="1"/>
    </row>
    <row r="518" spans="19:48" s="20" customFormat="1" ht="22.5" customHeight="1" x14ac:dyDescent="0.25">
      <c r="S518" s="1"/>
      <c r="V518" s="133"/>
      <c r="W518" s="133"/>
      <c r="AF518" s="1"/>
      <c r="AN518" s="1"/>
      <c r="AV518" s="1"/>
    </row>
    <row r="519" spans="19:48" s="20" customFormat="1" ht="22.5" customHeight="1" x14ac:dyDescent="0.25">
      <c r="S519" s="1"/>
      <c r="V519" s="133"/>
      <c r="W519" s="133"/>
      <c r="AF519" s="1"/>
      <c r="AN519" s="1"/>
      <c r="AV519" s="1"/>
    </row>
    <row r="520" spans="19:48" s="20" customFormat="1" ht="22.5" customHeight="1" x14ac:dyDescent="0.25">
      <c r="S520" s="1"/>
      <c r="V520" s="133"/>
      <c r="W520" s="133"/>
      <c r="AF520" s="1"/>
      <c r="AN520" s="1"/>
      <c r="AV520" s="1"/>
    </row>
    <row r="521" spans="19:48" s="20" customFormat="1" ht="22.5" customHeight="1" x14ac:dyDescent="0.25">
      <c r="S521" s="1"/>
      <c r="V521" s="133"/>
      <c r="W521" s="133"/>
      <c r="AF521" s="1"/>
      <c r="AN521" s="1"/>
      <c r="AV521" s="1"/>
    </row>
    <row r="522" spans="19:48" s="20" customFormat="1" ht="22.5" customHeight="1" x14ac:dyDescent="0.25">
      <c r="S522" s="1"/>
      <c r="V522" s="133"/>
      <c r="W522" s="133"/>
      <c r="AF522" s="1"/>
      <c r="AN522" s="1"/>
      <c r="AV522" s="1"/>
    </row>
    <row r="523" spans="19:48" s="20" customFormat="1" ht="22.5" customHeight="1" x14ac:dyDescent="0.25">
      <c r="S523" s="1"/>
      <c r="V523" s="133"/>
      <c r="W523" s="133"/>
      <c r="AF523" s="1"/>
      <c r="AN523" s="1"/>
      <c r="AV523" s="1"/>
    </row>
    <row r="524" spans="19:48" s="20" customFormat="1" ht="22.5" customHeight="1" x14ac:dyDescent="0.25">
      <c r="S524" s="1"/>
      <c r="V524" s="133"/>
      <c r="W524" s="133"/>
      <c r="AF524" s="1"/>
      <c r="AN524" s="1"/>
      <c r="AV524" s="1"/>
    </row>
    <row r="525" spans="19:48" s="20" customFormat="1" ht="22.5" customHeight="1" x14ac:dyDescent="0.25">
      <c r="S525" s="1"/>
      <c r="V525" s="133"/>
      <c r="W525" s="133"/>
      <c r="AF525" s="1"/>
      <c r="AN525" s="1"/>
      <c r="AV525" s="1"/>
    </row>
    <row r="526" spans="19:48" s="20" customFormat="1" ht="22.5" customHeight="1" x14ac:dyDescent="0.25">
      <c r="S526" s="1"/>
      <c r="V526" s="133"/>
      <c r="W526" s="133"/>
      <c r="AF526" s="1"/>
      <c r="AN526" s="1"/>
      <c r="AV526" s="1"/>
    </row>
    <row r="527" spans="19:48" s="20" customFormat="1" ht="22.5" customHeight="1" x14ac:dyDescent="0.25">
      <c r="S527" s="1"/>
      <c r="V527" s="133"/>
      <c r="W527" s="133"/>
      <c r="AF527" s="1"/>
      <c r="AN527" s="1"/>
      <c r="AV527" s="1"/>
    </row>
    <row r="528" spans="19:48" s="20" customFormat="1" ht="22.5" customHeight="1" x14ac:dyDescent="0.25">
      <c r="S528" s="1"/>
      <c r="V528" s="133"/>
      <c r="W528" s="133"/>
      <c r="AF528" s="1"/>
      <c r="AN528" s="1"/>
      <c r="AV528" s="1"/>
    </row>
    <row r="529" spans="19:48" s="20" customFormat="1" ht="22.5" customHeight="1" x14ac:dyDescent="0.25">
      <c r="S529" s="1"/>
      <c r="V529" s="133"/>
      <c r="W529" s="133"/>
      <c r="AF529" s="1"/>
      <c r="AN529" s="1"/>
      <c r="AV529" s="1"/>
    </row>
    <row r="530" spans="19:48" s="20" customFormat="1" ht="22.5" customHeight="1" x14ac:dyDescent="0.25">
      <c r="S530" s="1"/>
      <c r="V530" s="133"/>
      <c r="W530" s="133"/>
      <c r="AF530" s="1"/>
      <c r="AN530" s="1"/>
      <c r="AV530" s="1"/>
    </row>
    <row r="531" spans="19:48" s="20" customFormat="1" ht="22.5" customHeight="1" x14ac:dyDescent="0.25">
      <c r="S531" s="1"/>
      <c r="V531" s="133"/>
      <c r="W531" s="133"/>
      <c r="AF531" s="1"/>
      <c r="AN531" s="1"/>
      <c r="AV531" s="1"/>
    </row>
    <row r="532" spans="19:48" s="20" customFormat="1" ht="22.5" customHeight="1" x14ac:dyDescent="0.25">
      <c r="S532" s="1"/>
      <c r="V532" s="133"/>
      <c r="W532" s="133"/>
      <c r="AF532" s="1"/>
      <c r="AN532" s="1"/>
      <c r="AV532" s="1"/>
    </row>
    <row r="533" spans="19:48" s="20" customFormat="1" ht="22.5" customHeight="1" x14ac:dyDescent="0.25">
      <c r="S533" s="1"/>
      <c r="V533" s="133"/>
      <c r="W533" s="133"/>
      <c r="AF533" s="1"/>
      <c r="AN533" s="1"/>
      <c r="AV533" s="1"/>
    </row>
    <row r="534" spans="19:48" s="20" customFormat="1" ht="22.5" customHeight="1" x14ac:dyDescent="0.25">
      <c r="S534" s="1"/>
      <c r="V534" s="133"/>
      <c r="W534" s="133"/>
      <c r="AF534" s="1"/>
      <c r="AN534" s="1"/>
      <c r="AV534" s="1"/>
    </row>
    <row r="535" spans="19:48" s="20" customFormat="1" ht="22.5" customHeight="1" x14ac:dyDescent="0.25">
      <c r="S535" s="1"/>
      <c r="V535" s="133"/>
      <c r="W535" s="133"/>
      <c r="AF535" s="1"/>
      <c r="AN535" s="1"/>
      <c r="AV535" s="1"/>
    </row>
    <row r="536" spans="19:48" s="20" customFormat="1" ht="22.5" customHeight="1" x14ac:dyDescent="0.25">
      <c r="S536" s="1"/>
      <c r="V536" s="133"/>
      <c r="W536" s="133"/>
      <c r="AF536" s="1"/>
      <c r="AN536" s="1"/>
      <c r="AV536" s="1"/>
    </row>
    <row r="537" spans="19:48" s="20" customFormat="1" ht="22.5" customHeight="1" x14ac:dyDescent="0.25">
      <c r="S537" s="1"/>
      <c r="V537" s="133"/>
      <c r="W537" s="133"/>
      <c r="AF537" s="1"/>
      <c r="AN537" s="1"/>
      <c r="AV537" s="1"/>
    </row>
    <row r="538" spans="19:48" s="20" customFormat="1" ht="22.5" customHeight="1" x14ac:dyDescent="0.25">
      <c r="S538" s="1"/>
      <c r="V538" s="133"/>
      <c r="W538" s="133"/>
      <c r="AF538" s="1"/>
      <c r="AN538" s="1"/>
      <c r="AV538" s="1"/>
    </row>
    <row r="539" spans="19:48" s="20" customFormat="1" ht="22.5" customHeight="1" x14ac:dyDescent="0.25">
      <c r="S539" s="1"/>
      <c r="V539" s="133"/>
      <c r="W539" s="133"/>
      <c r="AF539" s="1"/>
      <c r="AN539" s="1"/>
      <c r="AV539" s="1"/>
    </row>
    <row r="540" spans="19:48" s="20" customFormat="1" ht="22.5" customHeight="1" x14ac:dyDescent="0.25">
      <c r="S540" s="1"/>
      <c r="V540" s="133"/>
      <c r="W540" s="133"/>
      <c r="AF540" s="1"/>
      <c r="AN540" s="1"/>
      <c r="AV540" s="1"/>
    </row>
    <row r="541" spans="19:48" s="20" customFormat="1" ht="22.5" customHeight="1" x14ac:dyDescent="0.25">
      <c r="S541" s="1"/>
      <c r="V541" s="133"/>
      <c r="W541" s="133"/>
      <c r="AF541" s="1"/>
      <c r="AN541" s="1"/>
      <c r="AV541" s="1"/>
    </row>
    <row r="542" spans="19:48" s="20" customFormat="1" ht="22.5" customHeight="1" x14ac:dyDescent="0.25">
      <c r="S542" s="1"/>
      <c r="V542" s="133"/>
      <c r="W542" s="133"/>
      <c r="AF542" s="1"/>
      <c r="AN542" s="1"/>
      <c r="AV542" s="1"/>
    </row>
    <row r="543" spans="19:48" s="20" customFormat="1" ht="22.5" customHeight="1" x14ac:dyDescent="0.25">
      <c r="S543" s="1"/>
      <c r="V543" s="133"/>
      <c r="W543" s="133"/>
      <c r="AF543" s="1"/>
      <c r="AN543" s="1"/>
      <c r="AV543" s="1"/>
    </row>
    <row r="544" spans="19:48" s="20" customFormat="1" ht="22.5" customHeight="1" x14ac:dyDescent="0.25">
      <c r="S544" s="1"/>
      <c r="V544" s="133"/>
      <c r="W544" s="133"/>
      <c r="AF544" s="1"/>
      <c r="AN544" s="1"/>
      <c r="AV544" s="1"/>
    </row>
    <row r="545" spans="19:48" s="20" customFormat="1" ht="22.5" customHeight="1" x14ac:dyDescent="0.25">
      <c r="S545" s="1"/>
      <c r="V545" s="133"/>
      <c r="W545" s="133"/>
      <c r="AF545" s="1"/>
      <c r="AN545" s="1"/>
      <c r="AV545" s="1"/>
    </row>
    <row r="546" spans="19:48" s="20" customFormat="1" ht="22.5" customHeight="1" x14ac:dyDescent="0.25">
      <c r="S546" s="1"/>
      <c r="V546" s="133"/>
      <c r="W546" s="133"/>
      <c r="AF546" s="1"/>
      <c r="AN546" s="1"/>
      <c r="AV546" s="1"/>
    </row>
    <row r="547" spans="19:48" s="20" customFormat="1" ht="22.5" customHeight="1" x14ac:dyDescent="0.25">
      <c r="S547" s="1"/>
      <c r="V547" s="133"/>
      <c r="W547" s="133"/>
      <c r="AF547" s="1"/>
      <c r="AN547" s="1"/>
      <c r="AV547" s="1"/>
    </row>
    <row r="548" spans="19:48" s="20" customFormat="1" ht="22.5" customHeight="1" x14ac:dyDescent="0.25">
      <c r="S548" s="1"/>
      <c r="V548" s="133"/>
      <c r="W548" s="133"/>
      <c r="AF548" s="1"/>
      <c r="AN548" s="1"/>
      <c r="AV548" s="1"/>
    </row>
    <row r="549" spans="19:48" s="20" customFormat="1" ht="22.5" customHeight="1" x14ac:dyDescent="0.25">
      <c r="S549" s="1"/>
      <c r="V549" s="133"/>
      <c r="W549" s="133"/>
      <c r="AF549" s="1"/>
      <c r="AN549" s="1"/>
      <c r="AV549" s="1"/>
    </row>
    <row r="550" spans="19:48" s="20" customFormat="1" ht="22.5" customHeight="1" x14ac:dyDescent="0.25">
      <c r="S550" s="1"/>
      <c r="V550" s="133"/>
      <c r="W550" s="133"/>
      <c r="AF550" s="1"/>
      <c r="AN550" s="1"/>
      <c r="AV550" s="1"/>
    </row>
    <row r="551" spans="19:48" s="20" customFormat="1" ht="22.5" customHeight="1" x14ac:dyDescent="0.25">
      <c r="S551" s="1"/>
      <c r="V551" s="133"/>
      <c r="W551" s="133"/>
      <c r="AF551" s="1"/>
      <c r="AN551" s="1"/>
      <c r="AV551" s="1"/>
    </row>
    <row r="552" spans="19:48" s="20" customFormat="1" ht="22.5" customHeight="1" x14ac:dyDescent="0.25">
      <c r="S552" s="1"/>
      <c r="V552" s="133"/>
      <c r="W552" s="133"/>
      <c r="AF552" s="1"/>
      <c r="AN552" s="1"/>
      <c r="AV552" s="1"/>
    </row>
    <row r="553" spans="19:48" s="20" customFormat="1" ht="22.5" customHeight="1" x14ac:dyDescent="0.25">
      <c r="S553" s="1"/>
      <c r="V553" s="133"/>
      <c r="W553" s="133"/>
      <c r="AF553" s="1"/>
      <c r="AN553" s="1"/>
      <c r="AV553" s="1"/>
    </row>
    <row r="554" spans="19:48" s="20" customFormat="1" ht="22.5" customHeight="1" x14ac:dyDescent="0.25">
      <c r="S554" s="1"/>
      <c r="V554" s="133"/>
      <c r="W554" s="133"/>
      <c r="AF554" s="1"/>
      <c r="AN554" s="1"/>
      <c r="AV554" s="1"/>
    </row>
    <row r="555" spans="19:48" s="20" customFormat="1" ht="22.5" customHeight="1" x14ac:dyDescent="0.25">
      <c r="S555" s="1"/>
      <c r="V555" s="133"/>
      <c r="W555" s="133"/>
      <c r="AF555" s="1"/>
      <c r="AN555" s="1"/>
      <c r="AV555" s="1"/>
    </row>
    <row r="556" spans="19:48" s="20" customFormat="1" ht="22.5" customHeight="1" x14ac:dyDescent="0.25">
      <c r="S556" s="1"/>
      <c r="V556" s="133"/>
      <c r="W556" s="133"/>
      <c r="AF556" s="1"/>
      <c r="AN556" s="1"/>
      <c r="AV556" s="1"/>
    </row>
    <row r="557" spans="19:48" s="20" customFormat="1" ht="22.5" customHeight="1" x14ac:dyDescent="0.25">
      <c r="S557" s="1"/>
      <c r="V557" s="133"/>
      <c r="W557" s="133"/>
      <c r="AF557" s="1"/>
      <c r="AN557" s="1"/>
      <c r="AV557" s="1"/>
    </row>
    <row r="558" spans="19:48" s="20" customFormat="1" ht="22.5" customHeight="1" x14ac:dyDescent="0.25">
      <c r="S558" s="1"/>
      <c r="V558" s="133"/>
      <c r="W558" s="133"/>
      <c r="AF558" s="1"/>
      <c r="AN558" s="1"/>
      <c r="AV558" s="1"/>
    </row>
    <row r="559" spans="19:48" s="20" customFormat="1" ht="22.5" customHeight="1" x14ac:dyDescent="0.25">
      <c r="S559" s="1"/>
      <c r="V559" s="133"/>
      <c r="W559" s="133"/>
      <c r="AF559" s="1"/>
      <c r="AN559" s="1"/>
      <c r="AV559" s="1"/>
    </row>
    <row r="560" spans="19:48" s="20" customFormat="1" ht="22.5" customHeight="1" x14ac:dyDescent="0.25">
      <c r="S560" s="1"/>
      <c r="V560" s="133"/>
      <c r="W560" s="133"/>
      <c r="AF560" s="1"/>
      <c r="AN560" s="1"/>
      <c r="AV560" s="1"/>
    </row>
    <row r="561" spans="19:48" s="20" customFormat="1" ht="22.5" customHeight="1" x14ac:dyDescent="0.25">
      <c r="S561" s="1"/>
      <c r="V561" s="133"/>
      <c r="W561" s="133"/>
      <c r="AF561" s="1"/>
      <c r="AN561" s="1"/>
      <c r="AV561" s="1"/>
    </row>
    <row r="562" spans="19:48" s="20" customFormat="1" ht="22.5" customHeight="1" x14ac:dyDescent="0.25">
      <c r="S562" s="1"/>
      <c r="V562" s="133"/>
      <c r="W562" s="133"/>
      <c r="AF562" s="1"/>
      <c r="AN562" s="1"/>
      <c r="AV562" s="1"/>
    </row>
    <row r="563" spans="19:48" s="20" customFormat="1" ht="22.5" customHeight="1" x14ac:dyDescent="0.25">
      <c r="S563" s="1"/>
      <c r="V563" s="133"/>
      <c r="W563" s="133"/>
      <c r="AF563" s="1"/>
      <c r="AN563" s="1"/>
      <c r="AV563" s="1"/>
    </row>
    <row r="564" spans="19:48" s="20" customFormat="1" ht="22.5" customHeight="1" x14ac:dyDescent="0.25">
      <c r="S564" s="1"/>
      <c r="V564" s="133"/>
      <c r="W564" s="133"/>
      <c r="AF564" s="1"/>
      <c r="AN564" s="1"/>
      <c r="AV564" s="1"/>
    </row>
    <row r="565" spans="19:48" s="20" customFormat="1" ht="22.5" customHeight="1" x14ac:dyDescent="0.25">
      <c r="S565" s="1"/>
      <c r="V565" s="133"/>
      <c r="W565" s="133"/>
      <c r="AF565" s="1"/>
      <c r="AN565" s="1"/>
      <c r="AV565" s="1"/>
    </row>
    <row r="566" spans="19:48" s="20" customFormat="1" ht="22.5" customHeight="1" x14ac:dyDescent="0.25">
      <c r="S566" s="1"/>
      <c r="V566" s="133"/>
      <c r="W566" s="133"/>
      <c r="AF566" s="1"/>
      <c r="AN566" s="1"/>
      <c r="AV566" s="1"/>
    </row>
    <row r="567" spans="19:48" s="20" customFormat="1" ht="22.5" customHeight="1" x14ac:dyDescent="0.25">
      <c r="S567" s="1"/>
      <c r="V567" s="133"/>
      <c r="W567" s="133"/>
      <c r="AF567" s="1"/>
      <c r="AN567" s="1"/>
      <c r="AV567" s="1"/>
    </row>
    <row r="568" spans="19:48" s="20" customFormat="1" ht="22.5" customHeight="1" x14ac:dyDescent="0.25">
      <c r="S568" s="1"/>
      <c r="V568" s="133"/>
      <c r="W568" s="133"/>
      <c r="AF568" s="1"/>
      <c r="AN568" s="1"/>
      <c r="AV568" s="1"/>
    </row>
    <row r="569" spans="19:48" s="20" customFormat="1" ht="22.5" customHeight="1" x14ac:dyDescent="0.25">
      <c r="S569" s="1"/>
      <c r="V569" s="133"/>
      <c r="W569" s="133"/>
      <c r="AF569" s="1"/>
      <c r="AN569" s="1"/>
      <c r="AV569" s="1"/>
    </row>
    <row r="570" spans="19:48" s="20" customFormat="1" ht="22.5" customHeight="1" x14ac:dyDescent="0.25">
      <c r="S570" s="1"/>
      <c r="V570" s="133"/>
      <c r="W570" s="133"/>
      <c r="AF570" s="1"/>
      <c r="AN570" s="1"/>
      <c r="AV570" s="1"/>
    </row>
    <row r="571" spans="19:48" s="20" customFormat="1" ht="22.5" customHeight="1" x14ac:dyDescent="0.25">
      <c r="S571" s="1"/>
      <c r="V571" s="133"/>
      <c r="W571" s="133"/>
      <c r="AF571" s="1"/>
      <c r="AN571" s="1"/>
      <c r="AV571" s="1"/>
    </row>
    <row r="572" spans="19:48" s="20" customFormat="1" ht="22.5" customHeight="1" x14ac:dyDescent="0.25">
      <c r="S572" s="1"/>
      <c r="V572" s="133"/>
      <c r="W572" s="133"/>
      <c r="AF572" s="1"/>
      <c r="AN572" s="1"/>
      <c r="AV572" s="1"/>
    </row>
    <row r="573" spans="19:48" s="20" customFormat="1" ht="22.5" customHeight="1" x14ac:dyDescent="0.25">
      <c r="S573" s="1"/>
      <c r="V573" s="133"/>
      <c r="W573" s="133"/>
      <c r="AF573" s="1"/>
      <c r="AN573" s="1"/>
      <c r="AV573" s="1"/>
    </row>
    <row r="574" spans="19:48" s="20" customFormat="1" ht="22.5" customHeight="1" x14ac:dyDescent="0.25">
      <c r="S574" s="1"/>
      <c r="V574" s="133"/>
      <c r="W574" s="133"/>
      <c r="AF574" s="1"/>
      <c r="AN574" s="1"/>
      <c r="AV574" s="1"/>
    </row>
    <row r="575" spans="19:48" s="20" customFormat="1" ht="22.5" customHeight="1" x14ac:dyDescent="0.25">
      <c r="S575" s="1"/>
      <c r="V575" s="133"/>
      <c r="W575" s="133"/>
      <c r="AF575" s="1"/>
      <c r="AN575" s="1"/>
      <c r="AV575" s="1"/>
    </row>
    <row r="576" spans="19:48" s="20" customFormat="1" ht="22.5" customHeight="1" x14ac:dyDescent="0.25">
      <c r="S576" s="1"/>
      <c r="V576" s="133"/>
      <c r="W576" s="133"/>
      <c r="AF576" s="1"/>
      <c r="AN576" s="1"/>
      <c r="AV576" s="1"/>
    </row>
    <row r="577" spans="19:48" s="20" customFormat="1" ht="22.5" customHeight="1" x14ac:dyDescent="0.25">
      <c r="S577" s="1"/>
      <c r="V577" s="133"/>
      <c r="W577" s="133"/>
      <c r="AF577" s="1"/>
      <c r="AN577" s="1"/>
      <c r="AV577" s="1"/>
    </row>
    <row r="578" spans="19:48" s="20" customFormat="1" ht="22.5" customHeight="1" x14ac:dyDescent="0.25">
      <c r="S578" s="1"/>
      <c r="V578" s="133"/>
      <c r="W578" s="133"/>
      <c r="AF578" s="1"/>
      <c r="AN578" s="1"/>
      <c r="AV578" s="1"/>
    </row>
    <row r="579" spans="19:48" s="20" customFormat="1" ht="22.5" customHeight="1" x14ac:dyDescent="0.25">
      <c r="S579" s="1"/>
      <c r="V579" s="133"/>
      <c r="W579" s="133"/>
      <c r="AF579" s="1"/>
      <c r="AN579" s="1"/>
      <c r="AV579" s="1"/>
    </row>
    <row r="580" spans="19:48" s="20" customFormat="1" ht="22.5" customHeight="1" x14ac:dyDescent="0.25">
      <c r="S580" s="1"/>
      <c r="V580" s="133"/>
      <c r="W580" s="133"/>
      <c r="AF580" s="1"/>
      <c r="AN580" s="1"/>
      <c r="AV580" s="1"/>
    </row>
    <row r="581" spans="19:48" s="20" customFormat="1" ht="22.5" customHeight="1" x14ac:dyDescent="0.25">
      <c r="S581" s="1"/>
      <c r="V581" s="133"/>
      <c r="W581" s="133"/>
      <c r="AF581" s="1"/>
      <c r="AN581" s="1"/>
      <c r="AV581" s="1"/>
    </row>
    <row r="582" spans="19:48" s="20" customFormat="1" ht="22.5" customHeight="1" x14ac:dyDescent="0.25">
      <c r="S582" s="1"/>
      <c r="V582" s="133"/>
      <c r="W582" s="133"/>
      <c r="AF582" s="1"/>
      <c r="AN582" s="1"/>
      <c r="AV582" s="1"/>
    </row>
    <row r="583" spans="19:48" s="20" customFormat="1" ht="22.5" customHeight="1" x14ac:dyDescent="0.25">
      <c r="S583" s="1"/>
      <c r="V583" s="133"/>
      <c r="W583" s="133"/>
      <c r="AF583" s="1"/>
      <c r="AN583" s="1"/>
      <c r="AV583" s="1"/>
    </row>
  </sheetData>
  <sheetProtection algorithmName="SHA-512" hashValue="bSAed9ubsHutTeFKSqtZPNm+hfkl+beKqi8ryIpd/tW6Wkxpqpo6DuJuJOXMdrDGjjR5TCZH9faLU/ZbAWGcaQ==" saltValue="lwneMEa9x+OJbjZjV8PqSg==" spinCount="100000" sheet="1" objects="1" scenarios="1" selectLockedCells="1" selectUnlockedCells="1"/>
  <mergeCells count="267">
    <mergeCell ref="C1:X3"/>
    <mergeCell ref="A4:K4"/>
    <mergeCell ref="L4:P5"/>
    <mergeCell ref="Q4:U5"/>
    <mergeCell ref="V4:W5"/>
    <mergeCell ref="X4:X5"/>
    <mergeCell ref="V11:V13"/>
    <mergeCell ref="V7:V9"/>
    <mergeCell ref="V29:V31"/>
    <mergeCell ref="W7:W40"/>
    <mergeCell ref="Y4:AF4"/>
    <mergeCell ref="AG4:AN4"/>
    <mergeCell ref="AO4:AV4"/>
    <mergeCell ref="A5:C5"/>
    <mergeCell ref="E5:F5"/>
    <mergeCell ref="G5:I5"/>
    <mergeCell ref="J5:J6"/>
    <mergeCell ref="K5:K6"/>
    <mergeCell ref="Y5:AB5"/>
    <mergeCell ref="AC5:AF5"/>
    <mergeCell ref="AG5:AJ5"/>
    <mergeCell ref="AK5:AN5"/>
    <mergeCell ref="AO5:AR5"/>
    <mergeCell ref="AS5:AV5"/>
    <mergeCell ref="A7:A9"/>
    <mergeCell ref="B7:B9"/>
    <mergeCell ref="C7:C9"/>
    <mergeCell ref="D7:D9"/>
    <mergeCell ref="E7:E9"/>
    <mergeCell ref="F7:F9"/>
    <mergeCell ref="M7:M9"/>
    <mergeCell ref="N7:N9"/>
    <mergeCell ref="O7:O9"/>
    <mergeCell ref="P7:P9"/>
    <mergeCell ref="Y7:Y9"/>
    <mergeCell ref="G7:G9"/>
    <mergeCell ref="H7:H9"/>
    <mergeCell ref="I7:I9"/>
    <mergeCell ref="J7:J9"/>
    <mergeCell ref="K7:K9"/>
    <mergeCell ref="L7:L9"/>
    <mergeCell ref="AJ7:AJ9"/>
    <mergeCell ref="AO7:AO9"/>
    <mergeCell ref="AP7:AP9"/>
    <mergeCell ref="AQ7:AQ9"/>
    <mergeCell ref="AR7:AR9"/>
    <mergeCell ref="Y10:Z10"/>
    <mergeCell ref="AC10:AD10"/>
    <mergeCell ref="AG10:AH10"/>
    <mergeCell ref="AK10:AL10"/>
    <mergeCell ref="AO10:AP10"/>
    <mergeCell ref="Z7:Z9"/>
    <mergeCell ref="AA7:AA9"/>
    <mergeCell ref="AB7:AB9"/>
    <mergeCell ref="AG7:AG9"/>
    <mergeCell ref="AH7:AH9"/>
    <mergeCell ref="AI7:AI9"/>
    <mergeCell ref="AS10:AT10"/>
    <mergeCell ref="A11:A13"/>
    <mergeCell ref="B11:B13"/>
    <mergeCell ref="C11:C13"/>
    <mergeCell ref="D11:D13"/>
    <mergeCell ref="E11:E13"/>
    <mergeCell ref="F11:F13"/>
    <mergeCell ref="G11:G13"/>
    <mergeCell ref="H11:H13"/>
    <mergeCell ref="I11:I13"/>
    <mergeCell ref="P11:P13"/>
    <mergeCell ref="Y11:Y13"/>
    <mergeCell ref="Z11:Z13"/>
    <mergeCell ref="AA11:AA13"/>
    <mergeCell ref="AB11:AB13"/>
    <mergeCell ref="J11:J13"/>
    <mergeCell ref="K11:K13"/>
    <mergeCell ref="L11:L13"/>
    <mergeCell ref="M11:M13"/>
    <mergeCell ref="N11:N13"/>
    <mergeCell ref="O11:O13"/>
    <mergeCell ref="AQ11:AQ13"/>
    <mergeCell ref="AR11:AR13"/>
    <mergeCell ref="Y14:Z14"/>
    <mergeCell ref="AC14:AD14"/>
    <mergeCell ref="AG14:AH14"/>
    <mergeCell ref="AK14:AL14"/>
    <mergeCell ref="AO14:AP14"/>
    <mergeCell ref="AG11:AG13"/>
    <mergeCell ref="AH11:AH13"/>
    <mergeCell ref="AI11:AI13"/>
    <mergeCell ref="AJ11:AJ13"/>
    <mergeCell ref="AO11:AO13"/>
    <mergeCell ref="AP11:AP13"/>
    <mergeCell ref="AS14:AT14"/>
    <mergeCell ref="A15:A17"/>
    <mergeCell ref="B15:B17"/>
    <mergeCell ref="C15:C17"/>
    <mergeCell ref="D15:D17"/>
    <mergeCell ref="E15:E17"/>
    <mergeCell ref="F15:F17"/>
    <mergeCell ref="G15:G17"/>
    <mergeCell ref="H15:H17"/>
    <mergeCell ref="I15:I17"/>
    <mergeCell ref="P15:P17"/>
    <mergeCell ref="V15:V17"/>
    <mergeCell ref="Y15:Y17"/>
    <mergeCell ref="Z15:Z17"/>
    <mergeCell ref="AA15:AA17"/>
    <mergeCell ref="J15:J17"/>
    <mergeCell ref="K15:K17"/>
    <mergeCell ref="L15:L17"/>
    <mergeCell ref="M15:M17"/>
    <mergeCell ref="N15:N17"/>
    <mergeCell ref="O15:O17"/>
    <mergeCell ref="AP15:AP17"/>
    <mergeCell ref="AQ15:AQ17"/>
    <mergeCell ref="AR15:AR17"/>
    <mergeCell ref="Y18:Z18"/>
    <mergeCell ref="AC18:AD18"/>
    <mergeCell ref="AG18:AH18"/>
    <mergeCell ref="AK18:AL18"/>
    <mergeCell ref="AO18:AP18"/>
    <mergeCell ref="AB15:AB17"/>
    <mergeCell ref="AG15:AG17"/>
    <mergeCell ref="AH15:AH17"/>
    <mergeCell ref="AI15:AI17"/>
    <mergeCell ref="AJ15:AJ17"/>
    <mergeCell ref="AO15:AO17"/>
    <mergeCell ref="AS18:AT18"/>
    <mergeCell ref="A19:A21"/>
    <mergeCell ref="B19:B21"/>
    <mergeCell ref="C19:C21"/>
    <mergeCell ref="D19:D21"/>
    <mergeCell ref="E19:E21"/>
    <mergeCell ref="F19:F21"/>
    <mergeCell ref="G19:G21"/>
    <mergeCell ref="H19:H21"/>
    <mergeCell ref="I19:I21"/>
    <mergeCell ref="P19:P21"/>
    <mergeCell ref="V19:V21"/>
    <mergeCell ref="Y19:Y21"/>
    <mergeCell ref="Z19:Z21"/>
    <mergeCell ref="AA19:AA21"/>
    <mergeCell ref="J19:J21"/>
    <mergeCell ref="K19:K21"/>
    <mergeCell ref="L19:L21"/>
    <mergeCell ref="M19:M21"/>
    <mergeCell ref="N19:N21"/>
    <mergeCell ref="O19:O21"/>
    <mergeCell ref="AP19:AP21"/>
    <mergeCell ref="AQ19:AQ21"/>
    <mergeCell ref="AR19:AR21"/>
    <mergeCell ref="Y22:Z22"/>
    <mergeCell ref="AC22:AD22"/>
    <mergeCell ref="AG22:AH22"/>
    <mergeCell ref="AK22:AL22"/>
    <mergeCell ref="AO22:AP22"/>
    <mergeCell ref="AB19:AB21"/>
    <mergeCell ref="AG19:AG21"/>
    <mergeCell ref="AH19:AH21"/>
    <mergeCell ref="AI19:AI21"/>
    <mergeCell ref="AJ19:AJ21"/>
    <mergeCell ref="AO19:AO21"/>
    <mergeCell ref="AS22:AT22"/>
    <mergeCell ref="A23:A25"/>
    <mergeCell ref="B23:B25"/>
    <mergeCell ref="C23:C25"/>
    <mergeCell ref="D23:D25"/>
    <mergeCell ref="E23:E25"/>
    <mergeCell ref="F23:F25"/>
    <mergeCell ref="G23:G25"/>
    <mergeCell ref="H23:H25"/>
    <mergeCell ref="I23:I25"/>
    <mergeCell ref="P23:P25"/>
    <mergeCell ref="V23:V25"/>
    <mergeCell ref="Y23:Y25"/>
    <mergeCell ref="Z23:Z25"/>
    <mergeCell ref="AA23:AA25"/>
    <mergeCell ref="J23:J25"/>
    <mergeCell ref="K23:K25"/>
    <mergeCell ref="L23:L25"/>
    <mergeCell ref="M23:M25"/>
    <mergeCell ref="N23:N25"/>
    <mergeCell ref="O23:O25"/>
    <mergeCell ref="AS26:AT26"/>
    <mergeCell ref="Y28:Z28"/>
    <mergeCell ref="AC28:AD28"/>
    <mergeCell ref="AG28:AH28"/>
    <mergeCell ref="AK28:AL28"/>
    <mergeCell ref="AO28:AP28"/>
    <mergeCell ref="AS28:AT28"/>
    <mergeCell ref="AP23:AP25"/>
    <mergeCell ref="AQ23:AQ25"/>
    <mergeCell ref="AR23:AR25"/>
    <mergeCell ref="Y26:Z26"/>
    <mergeCell ref="AC26:AD26"/>
    <mergeCell ref="AG26:AH26"/>
    <mergeCell ref="AK26:AL26"/>
    <mergeCell ref="AO26:AP26"/>
    <mergeCell ref="AB23:AB25"/>
    <mergeCell ref="AG23:AG25"/>
    <mergeCell ref="AH23:AH25"/>
    <mergeCell ref="AI23:AI25"/>
    <mergeCell ref="AJ23:AJ25"/>
    <mergeCell ref="AO23:AO25"/>
    <mergeCell ref="Q29:U29"/>
    <mergeCell ref="AC29:AF29"/>
    <mergeCell ref="AK29:AN29"/>
    <mergeCell ref="AS29:AV29"/>
    <mergeCell ref="Q30:U30"/>
    <mergeCell ref="AC30:AF30"/>
    <mergeCell ref="AK30:AN30"/>
    <mergeCell ref="AS30:AV30"/>
    <mergeCell ref="Q31:U31"/>
    <mergeCell ref="AC31:AF31"/>
    <mergeCell ref="AK31:AN31"/>
    <mergeCell ref="AS31:AV31"/>
    <mergeCell ref="Y32:Z32"/>
    <mergeCell ref="AC32:AD32"/>
    <mergeCell ref="AG32:AH32"/>
    <mergeCell ref="AK32:AL32"/>
    <mergeCell ref="AO32:AP32"/>
    <mergeCell ref="AS32:AT32"/>
    <mergeCell ref="Q34:U34"/>
    <mergeCell ref="AC34:AF34"/>
    <mergeCell ref="AK34:AN34"/>
    <mergeCell ref="AS34:AV34"/>
    <mergeCell ref="Y35:Z35"/>
    <mergeCell ref="AC35:AD35"/>
    <mergeCell ref="AG35:AH35"/>
    <mergeCell ref="AK35:AL35"/>
    <mergeCell ref="AO35:AP35"/>
    <mergeCell ref="V33:V34"/>
    <mergeCell ref="AS35:AT35"/>
    <mergeCell ref="Q36:U36"/>
    <mergeCell ref="AC36:AF36"/>
    <mergeCell ref="AK36:AN36"/>
    <mergeCell ref="AS36:AV36"/>
    <mergeCell ref="Q37:U37"/>
    <mergeCell ref="AC37:AF37"/>
    <mergeCell ref="AK37:AN37"/>
    <mergeCell ref="AS37:AV37"/>
    <mergeCell ref="V36:V38"/>
    <mergeCell ref="Q38:U38"/>
    <mergeCell ref="AC38:AF38"/>
    <mergeCell ref="AK38:AN38"/>
    <mergeCell ref="AS38:AV38"/>
    <mergeCell ref="Y39:Z39"/>
    <mergeCell ref="AC39:AD39"/>
    <mergeCell ref="AG39:AH39"/>
    <mergeCell ref="AK39:AL39"/>
    <mergeCell ref="AO39:AP39"/>
    <mergeCell ref="AS39:AT39"/>
    <mergeCell ref="Y44:Z44"/>
    <mergeCell ref="AC44:AD44"/>
    <mergeCell ref="AG44:AH44"/>
    <mergeCell ref="AK44:AL44"/>
    <mergeCell ref="AO44:AP44"/>
    <mergeCell ref="AS44:AT44"/>
    <mergeCell ref="Q40:U40"/>
    <mergeCell ref="AC40:AF40"/>
    <mergeCell ref="AK40:AN40"/>
    <mergeCell ref="AS40:AV40"/>
    <mergeCell ref="Y41:Z41"/>
    <mergeCell ref="AC41:AD41"/>
    <mergeCell ref="AG41:AH41"/>
    <mergeCell ref="AK41:AL41"/>
    <mergeCell ref="AO41:AP41"/>
    <mergeCell ref="AS41:AT4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Consolidado 2020 I TRIM</vt:lpstr>
      <vt:lpstr>Consolidado 2020 II TRIM</vt:lpstr>
      <vt:lpstr>Sub de Evaluación y Seguimiento</vt:lpstr>
      <vt:lpstr>OTI</vt:lpstr>
      <vt:lpstr>Oficina Asesora Planeación</vt:lpstr>
      <vt:lpstr>Comunicaciones</vt:lpstr>
      <vt:lpstr>SMPC</vt:lpstr>
      <vt:lpstr>Sub.Evaluación LA</vt:lpstr>
      <vt:lpstr>Sub.Seguimiento LA</vt:lpstr>
      <vt:lpstr>SIPTA</vt:lpstr>
      <vt:lpstr>Oficina Asesora Jurídica</vt:lpstr>
      <vt:lpstr>SAF</vt:lpstr>
      <vt:lpstr>Control Disciplinario</vt:lpstr>
      <vt:lpstr>Control Interno</vt:lpstr>
      <vt:lpstr>PAI REGALÍAS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Edith Jazmin Torres Rodríguez</dc:creator>
  <cp:lastModifiedBy>EDITH JAZMIN TORRES RODRIGUEZ</cp:lastModifiedBy>
  <dcterms:created xsi:type="dcterms:W3CDTF">2020-04-23T16:18:23Z</dcterms:created>
  <dcterms:modified xsi:type="dcterms:W3CDTF">2020-07-28T22:53:28Z</dcterms:modified>
</cp:coreProperties>
</file>