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hris\Desktop\"/>
    </mc:Choice>
  </mc:AlternateContent>
  <xr:revisionPtr revIDLastSave="0" documentId="8_{0D0C0C9D-1832-4694-BF05-4ED5E7936D3F}" xr6:coauthVersionLast="44" xr6:coauthVersionMax="44" xr10:uidLastSave="{00000000-0000-0000-0000-000000000000}"/>
  <bookViews>
    <workbookView xWindow="-120" yWindow="-120" windowWidth="20730" windowHeight="11160" tabRatio="929" xr2:uid="{2796FA2D-81F5-48B6-8712-E0C46835E350}"/>
  </bookViews>
  <sheets>
    <sheet name="Consolidado 2020" sheetId="13" r:id="rId1"/>
    <sheet name="TIC" sheetId="11" r:id="rId2"/>
    <sheet name="Comunicaciones" sheetId="4" r:id="rId3"/>
    <sheet name="Oficina Asesora Planeación" sheetId="2" r:id="rId4"/>
    <sheet name="PAI SES" sheetId="1" r:id="rId5"/>
    <sheet name="SIPTA" sheetId="3" r:id="rId6"/>
    <sheet name="SAF" sheetId="12" r:id="rId7"/>
    <sheet name="Oficina Asesora Jurídica" sheetId="6" r:id="rId8"/>
    <sheet name="Control Disciplinario" sheetId="10" r:id="rId9"/>
    <sheet name="Control Interno" sheetId="5" r:id="rId10"/>
    <sheet name="PAI REGALÍAS" sheetId="1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4" hidden="1">'PAI SES'!$A$6:$AAF$76</definedName>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4" i="14" l="1"/>
  <c r="AO14" i="14"/>
  <c r="AG14" i="14"/>
  <c r="AI14" i="14" s="1"/>
  <c r="AA14" i="14"/>
  <c r="Y14" i="14"/>
  <c r="AQ13" i="14"/>
  <c r="AI13" i="14"/>
  <c r="AA13" i="14"/>
  <c r="AQ12" i="14"/>
  <c r="AI12" i="14"/>
  <c r="AA12" i="14"/>
  <c r="AQ11" i="14"/>
  <c r="AI11" i="14"/>
  <c r="AA11" i="14"/>
  <c r="AQ10" i="14"/>
  <c r="AI10" i="14"/>
  <c r="AA10" i="14"/>
  <c r="AQ9" i="14"/>
  <c r="AI9" i="14"/>
  <c r="AA9" i="14"/>
  <c r="AQ8" i="14"/>
  <c r="AI8" i="14"/>
  <c r="AA8" i="14"/>
  <c r="AA15" i="14" s="1"/>
  <c r="AQ7" i="14"/>
  <c r="AQ15" i="14" s="1"/>
  <c r="AI7" i="14"/>
  <c r="AA7" i="14"/>
  <c r="AI15" i="14" l="1"/>
  <c r="H31" i="13"/>
  <c r="G31" i="13"/>
  <c r="F31" i="13"/>
  <c r="E31" i="13"/>
  <c r="D31" i="13"/>
  <c r="C31" i="13"/>
  <c r="H28" i="13"/>
  <c r="G28" i="13"/>
  <c r="G32" i="13" s="1"/>
  <c r="F28" i="13"/>
  <c r="E28" i="13"/>
  <c r="D28" i="13"/>
  <c r="C28" i="13"/>
  <c r="C32" i="13" s="1"/>
  <c r="H17" i="13"/>
  <c r="G17" i="13"/>
  <c r="F17" i="13"/>
  <c r="E17" i="13"/>
  <c r="D17" i="13"/>
  <c r="C17" i="13"/>
  <c r="F14" i="13"/>
  <c r="E14" i="13"/>
  <c r="E32" i="13" s="1"/>
  <c r="D14" i="13"/>
  <c r="C14" i="13"/>
  <c r="H32" i="13" l="1"/>
  <c r="F32" i="13"/>
  <c r="D32" i="13"/>
  <c r="AA19" i="2" l="1"/>
  <c r="AU15" i="4"/>
  <c r="AQ15" i="4"/>
  <c r="AM15" i="4"/>
  <c r="AI15" i="4"/>
  <c r="AE15" i="4"/>
  <c r="AA15" i="4"/>
  <c r="AA11" i="5"/>
  <c r="AE11" i="5"/>
  <c r="AE16" i="6" l="1"/>
  <c r="AA16" i="6"/>
  <c r="AM16" i="6"/>
  <c r="AI16" i="6"/>
  <c r="AQ16" i="6"/>
  <c r="AU16" i="6"/>
  <c r="AU10" i="6"/>
  <c r="AA10" i="6"/>
  <c r="AE10" i="6"/>
  <c r="AI10" i="6"/>
  <c r="AM10" i="6"/>
  <c r="AQ10" i="6"/>
  <c r="AQ36" i="12"/>
  <c r="AU35" i="12"/>
  <c r="AU36" i="12" s="1"/>
  <c r="AM35" i="12"/>
  <c r="AM36" i="12" s="1"/>
  <c r="AQ34" i="12"/>
  <c r="AI34" i="12"/>
  <c r="AA34" i="12"/>
  <c r="AA36" i="12" s="1"/>
  <c r="AQ33" i="12"/>
  <c r="AI33" i="12"/>
  <c r="AI36" i="12" s="1"/>
  <c r="AQ32" i="12"/>
  <c r="AI32" i="12"/>
  <c r="AG30" i="12"/>
  <c r="Y30" i="12"/>
  <c r="AA30" i="12" s="1"/>
  <c r="AA29" i="12"/>
  <c r="AQ28" i="12"/>
  <c r="AI28" i="12"/>
  <c r="AU27" i="12"/>
  <c r="AU26" i="12"/>
  <c r="AU24" i="12"/>
  <c r="AU28" i="12" s="1"/>
  <c r="AM24" i="12"/>
  <c r="AQ21" i="12"/>
  <c r="AI21" i="12"/>
  <c r="AA21" i="12"/>
  <c r="AQ20" i="12"/>
  <c r="AI20" i="12"/>
  <c r="AA20" i="12"/>
  <c r="AU18" i="12"/>
  <c r="AU22" i="12" s="1"/>
  <c r="AU38" i="12" s="1"/>
  <c r="AQ18" i="12"/>
  <c r="AQ22" i="12" s="1"/>
  <c r="AM18" i="12"/>
  <c r="AM22" i="12" s="1"/>
  <c r="AM28" i="12" s="1"/>
  <c r="AI18" i="12"/>
  <c r="AI22" i="12" s="1"/>
  <c r="AE18" i="12"/>
  <c r="AE22" i="12" s="1"/>
  <c r="AA18" i="12"/>
  <c r="AA22" i="12" s="1"/>
  <c r="AQ17" i="12"/>
  <c r="AQ38" i="12" s="1"/>
  <c r="AI17" i="12"/>
  <c r="AA17" i="12"/>
  <c r="AQ14" i="12"/>
  <c r="AU13" i="12"/>
  <c r="AQ13" i="12"/>
  <c r="AE13" i="12"/>
  <c r="AE38" i="12" s="1"/>
  <c r="AA13" i="12"/>
  <c r="AQ12" i="12"/>
  <c r="AG12" i="12"/>
  <c r="AI12" i="12" s="1"/>
  <c r="AI13" i="12" s="1"/>
  <c r="AU9" i="12"/>
  <c r="AM9" i="12"/>
  <c r="AM13" i="12" s="1"/>
  <c r="AE9" i="12"/>
  <c r="AQ13" i="11"/>
  <c r="AM13" i="11"/>
  <c r="AM15" i="11" s="1"/>
  <c r="AE13" i="11"/>
  <c r="AE15" i="11" s="1"/>
  <c r="AQ10" i="11"/>
  <c r="AI10" i="11"/>
  <c r="AA10" i="11"/>
  <c r="AA15" i="11" s="1"/>
  <c r="AU9" i="11"/>
  <c r="AU15" i="11" s="1"/>
  <c r="AQ9" i="11"/>
  <c r="AQ15" i="11" s="1"/>
  <c r="AM9" i="11"/>
  <c r="AI9" i="11"/>
  <c r="AI15" i="11" s="1"/>
  <c r="AE9" i="11"/>
  <c r="AU7" i="11"/>
  <c r="AQ10" i="10"/>
  <c r="AI10" i="10"/>
  <c r="AA10" i="10"/>
  <c r="AM38" i="12" l="1"/>
  <c r="AI38" i="12"/>
  <c r="AA32" i="12"/>
  <c r="AA38" i="12" s="1"/>
  <c r="AT14" i="6"/>
  <c r="AS14" i="6"/>
  <c r="AM14" i="6"/>
  <c r="AL13" i="6"/>
  <c r="AT13" i="6" s="1"/>
  <c r="AK13" i="6"/>
  <c r="AS13" i="6" s="1"/>
  <c r="AE13" i="6"/>
  <c r="Z13" i="6"/>
  <c r="Y13" i="6"/>
  <c r="AA13" i="6" s="1"/>
  <c r="AQ12" i="6"/>
  <c r="AI12" i="6"/>
  <c r="AA12" i="6"/>
  <c r="AQ11" i="6"/>
  <c r="AI11" i="6"/>
  <c r="AA11" i="6"/>
  <c r="AU9" i="6"/>
  <c r="AM9" i="6"/>
  <c r="AE9" i="6"/>
  <c r="AU8" i="6"/>
  <c r="AM8" i="6"/>
  <c r="AU7" i="6"/>
  <c r="AM7" i="6"/>
  <c r="AE7" i="6"/>
  <c r="Z7" i="6"/>
  <c r="Y7" i="6"/>
  <c r="AG7" i="6" s="1"/>
  <c r="AP13" i="6" l="1"/>
  <c r="AU14" i="6"/>
  <c r="AG13" i="6"/>
  <c r="AI7" i="6"/>
  <c r="AO7" i="6"/>
  <c r="AQ7" i="6" s="1"/>
  <c r="AU13" i="6"/>
  <c r="AO13" i="6"/>
  <c r="AA7" i="6"/>
  <c r="AH13" i="6"/>
  <c r="AM13" i="6"/>
  <c r="AQ13" i="6" l="1"/>
  <c r="AI13" i="6"/>
  <c r="AE8" i="5"/>
  <c r="AE7" i="5"/>
  <c r="AA7" i="5"/>
  <c r="AU12" i="4" l="1"/>
  <c r="AQ12" i="4"/>
  <c r="AM12" i="4"/>
  <c r="AI12" i="4"/>
  <c r="AE12" i="4"/>
  <c r="AA12" i="4"/>
  <c r="AU11" i="4"/>
  <c r="AQ11" i="4"/>
  <c r="AK11" i="4"/>
  <c r="AM11" i="4" s="1"/>
  <c r="AG11" i="4"/>
  <c r="AI11" i="4" s="1"/>
  <c r="AE11" i="4"/>
  <c r="AA11" i="4"/>
  <c r="AE10" i="4"/>
  <c r="AU9" i="4"/>
  <c r="AK9" i="4"/>
  <c r="AM9" i="4" s="1"/>
  <c r="AE9" i="4"/>
  <c r="AU8" i="4"/>
  <c r="AK8" i="4"/>
  <c r="AM8" i="4" s="1"/>
  <c r="AE8" i="4"/>
  <c r="AU7" i="4"/>
  <c r="AQ7" i="4"/>
  <c r="AM7" i="4"/>
  <c r="AI7" i="4"/>
  <c r="AE7" i="4"/>
  <c r="AA7" i="4"/>
  <c r="AE20" i="3" l="1"/>
  <c r="AI19" i="3"/>
  <c r="AA19" i="3"/>
  <c r="AU10" i="3"/>
  <c r="AM10" i="3"/>
  <c r="AE10" i="3"/>
  <c r="AU9" i="3"/>
  <c r="AQ9" i="3"/>
  <c r="AM9" i="3"/>
  <c r="AI9" i="3"/>
  <c r="AE9" i="3"/>
  <c r="AA9" i="3"/>
  <c r="AU8" i="3"/>
  <c r="AM8" i="3"/>
  <c r="AE8" i="3"/>
  <c r="AU7" i="3"/>
  <c r="AQ7" i="3"/>
  <c r="AM7" i="3"/>
  <c r="AI7" i="3"/>
  <c r="AE7" i="3"/>
  <c r="AA7" i="3"/>
  <c r="AU19" i="2"/>
  <c r="AM19" i="2"/>
  <c r="AE19" i="2"/>
  <c r="AI16" i="2"/>
  <c r="AI13" i="2"/>
  <c r="AQ7" i="2"/>
  <c r="AQ19" i="2" s="1"/>
  <c r="AI7" i="2"/>
  <c r="AI19" i="2" l="1"/>
  <c r="AQ75" i="1"/>
  <c r="AO75" i="1"/>
  <c r="AA75" i="1"/>
  <c r="Z75" i="1"/>
  <c r="Y75" i="1"/>
  <c r="AO74" i="1"/>
  <c r="AQ74" i="1" s="1"/>
  <c r="AQ76" i="1" s="1"/>
  <c r="Z74" i="1"/>
  <c r="Y74" i="1"/>
  <c r="AA74" i="1" s="1"/>
  <c r="AA76" i="1" s="1"/>
  <c r="AQ72" i="1"/>
  <c r="AP72" i="1"/>
  <c r="AA72" i="1"/>
  <c r="Z72" i="1"/>
  <c r="Y72" i="1"/>
  <c r="AP71" i="1"/>
  <c r="AQ71" i="1" s="1"/>
  <c r="AA71" i="1"/>
  <c r="Z71" i="1"/>
  <c r="Y71" i="1"/>
  <c r="AQ70" i="1"/>
  <c r="AP70" i="1"/>
  <c r="Z70" i="1"/>
  <c r="AA70" i="1" s="1"/>
  <c r="AQ69" i="1"/>
  <c r="AP69" i="1"/>
  <c r="AA69" i="1"/>
  <c r="Z69" i="1"/>
  <c r="AQ68" i="1"/>
  <c r="AP68" i="1"/>
  <c r="Z68" i="1"/>
  <c r="Y68" i="1"/>
  <c r="AA68" i="1" s="1"/>
  <c r="AP67" i="1"/>
  <c r="AQ67" i="1" s="1"/>
  <c r="AQ73" i="1" s="1"/>
  <c r="Z67" i="1"/>
  <c r="Y67" i="1"/>
  <c r="AA67" i="1" s="1"/>
  <c r="AQ65" i="1"/>
  <c r="AP65" i="1"/>
  <c r="Z65" i="1"/>
  <c r="AA65" i="1" s="1"/>
  <c r="AQ64" i="1"/>
  <c r="AP64" i="1"/>
  <c r="Z64" i="1"/>
  <c r="AA64" i="1" s="1"/>
  <c r="AQ63" i="1"/>
  <c r="AP63" i="1"/>
  <c r="Z63" i="1"/>
  <c r="AA63" i="1" s="1"/>
  <c r="AQ62" i="1"/>
  <c r="AQ66" i="1" s="1"/>
  <c r="AP62" i="1"/>
  <c r="Z62" i="1"/>
  <c r="AA62" i="1" s="1"/>
  <c r="AQ60" i="1"/>
  <c r="AP60" i="1"/>
  <c r="Z60" i="1"/>
  <c r="AA60" i="1" s="1"/>
  <c r="AQ59" i="1"/>
  <c r="AP59" i="1"/>
  <c r="AO59" i="1"/>
  <c r="Z59" i="1"/>
  <c r="AA59" i="1" s="1"/>
  <c r="Y59" i="1"/>
  <c r="AT58" i="1"/>
  <c r="AU58" i="1" s="1"/>
  <c r="AU61" i="1" s="1"/>
  <c r="AQ58" i="1"/>
  <c r="AQ61" i="1" s="1"/>
  <c r="AP58" i="1"/>
  <c r="AD58" i="1"/>
  <c r="AE58" i="1" s="1"/>
  <c r="AE61" i="1" s="1"/>
  <c r="AA58" i="1"/>
  <c r="AA61" i="1" s="1"/>
  <c r="Z58" i="1"/>
  <c r="AQ56" i="1"/>
  <c r="AP56" i="1"/>
  <c r="AA56" i="1"/>
  <c r="Z56" i="1"/>
  <c r="AQ55" i="1"/>
  <c r="AP55" i="1"/>
  <c r="AO55" i="1"/>
  <c r="Z55" i="1"/>
  <c r="AA55" i="1" s="1"/>
  <c r="Y55" i="1"/>
  <c r="AP54" i="1"/>
  <c r="AO54" i="1"/>
  <c r="AQ54" i="1" s="1"/>
  <c r="AQ57" i="1" s="1"/>
  <c r="Z54" i="1"/>
  <c r="AA54" i="1" s="1"/>
  <c r="AA57" i="1" s="1"/>
  <c r="AT52" i="1"/>
  <c r="AU52" i="1" s="1"/>
  <c r="AD52" i="1"/>
  <c r="AE52" i="1" s="1"/>
  <c r="AT51" i="1"/>
  <c r="AU51" i="1" s="1"/>
  <c r="AD51" i="1"/>
  <c r="AE51" i="1" s="1"/>
  <c r="AT50" i="1"/>
  <c r="AU50" i="1" s="1"/>
  <c r="AP50" i="1"/>
  <c r="AQ50" i="1" s="1"/>
  <c r="AD50" i="1"/>
  <c r="AE50" i="1" s="1"/>
  <c r="Z50" i="1"/>
  <c r="AA50" i="1" s="1"/>
  <c r="AT49" i="1"/>
  <c r="AU49" i="1" s="1"/>
  <c r="AS49" i="1"/>
  <c r="AD49" i="1"/>
  <c r="AC49" i="1"/>
  <c r="AE49" i="1" s="1"/>
  <c r="AT48" i="1"/>
  <c r="AS48" i="1"/>
  <c r="AU48" i="1" s="1"/>
  <c r="AQ48" i="1"/>
  <c r="AP48" i="1"/>
  <c r="AO48" i="1"/>
  <c r="AD48" i="1"/>
  <c r="AE48" i="1" s="1"/>
  <c r="AC48" i="1"/>
  <c r="Z48" i="1"/>
  <c r="Y48" i="1"/>
  <c r="AA48" i="1" s="1"/>
  <c r="AT47" i="1"/>
  <c r="AU47" i="1" s="1"/>
  <c r="AD47" i="1"/>
  <c r="AE47" i="1" s="1"/>
  <c r="AT46" i="1"/>
  <c r="AU46" i="1" s="1"/>
  <c r="AP46" i="1"/>
  <c r="AQ46" i="1" s="1"/>
  <c r="AD46" i="1"/>
  <c r="AE46" i="1" s="1"/>
  <c r="Z46" i="1"/>
  <c r="AA46" i="1" s="1"/>
  <c r="AA53" i="1" s="1"/>
  <c r="AT44" i="1"/>
  <c r="AU44" i="1" s="1"/>
  <c r="AD44" i="1"/>
  <c r="AE44" i="1" s="1"/>
  <c r="AT43" i="1"/>
  <c r="AU43" i="1" s="1"/>
  <c r="AD43" i="1"/>
  <c r="AE43" i="1" s="1"/>
  <c r="AT42" i="1"/>
  <c r="AU42" i="1" s="1"/>
  <c r="AP42" i="1"/>
  <c r="AQ42" i="1" s="1"/>
  <c r="AD42" i="1"/>
  <c r="AE42" i="1" s="1"/>
  <c r="Z42" i="1"/>
  <c r="AA42" i="1" s="1"/>
  <c r="AT41" i="1"/>
  <c r="AS41" i="1"/>
  <c r="AU41" i="1" s="1"/>
  <c r="AE41" i="1"/>
  <c r="AD41" i="1"/>
  <c r="AC41" i="1"/>
  <c r="AT40" i="1"/>
  <c r="AU40" i="1" s="1"/>
  <c r="AS40" i="1"/>
  <c r="AP40" i="1"/>
  <c r="AO40" i="1"/>
  <c r="AQ40" i="1" s="1"/>
  <c r="AD40" i="1"/>
  <c r="AE40" i="1" s="1"/>
  <c r="Z40" i="1"/>
  <c r="AA40" i="1" s="1"/>
  <c r="Y40" i="1"/>
  <c r="AT39" i="1"/>
  <c r="AU39" i="1" s="1"/>
  <c r="AE39" i="1"/>
  <c r="AD39" i="1"/>
  <c r="AT38" i="1"/>
  <c r="AU38" i="1" s="1"/>
  <c r="AU45" i="1" s="1"/>
  <c r="AQ38" i="1"/>
  <c r="AQ45" i="1" s="1"/>
  <c r="AP38" i="1"/>
  <c r="AD38" i="1"/>
  <c r="AE38" i="1" s="1"/>
  <c r="AA38" i="1"/>
  <c r="AA45" i="1" s="1"/>
  <c r="Z38" i="1"/>
  <c r="AT36" i="1"/>
  <c r="AU36" i="1" s="1"/>
  <c r="AE36" i="1"/>
  <c r="AD36" i="1"/>
  <c r="AT35" i="1"/>
  <c r="AU35" i="1" s="1"/>
  <c r="AE35" i="1"/>
  <c r="AD35" i="1"/>
  <c r="AT34" i="1"/>
  <c r="AU34" i="1" s="1"/>
  <c r="AQ34" i="1"/>
  <c r="AP34" i="1"/>
  <c r="AE34" i="1"/>
  <c r="AD34" i="1"/>
  <c r="AA34" i="1"/>
  <c r="Z34" i="1"/>
  <c r="AT33" i="1"/>
  <c r="AS33" i="1"/>
  <c r="AU33" i="1" s="1"/>
  <c r="AD33" i="1"/>
  <c r="AC33" i="1"/>
  <c r="AE33" i="1" s="1"/>
  <c r="AU32" i="1"/>
  <c r="AT32" i="1"/>
  <c r="AS32" i="1"/>
  <c r="AP32" i="1"/>
  <c r="AO32" i="1"/>
  <c r="AQ32" i="1" s="1"/>
  <c r="AD32" i="1"/>
  <c r="AE32" i="1" s="1"/>
  <c r="AA32" i="1"/>
  <c r="Z32" i="1"/>
  <c r="Y32" i="1"/>
  <c r="AT31" i="1"/>
  <c r="AU31" i="1" s="1"/>
  <c r="AD31" i="1"/>
  <c r="AE31" i="1" s="1"/>
  <c r="AT30" i="1"/>
  <c r="AU30" i="1" s="1"/>
  <c r="AP30" i="1"/>
  <c r="AQ30" i="1" s="1"/>
  <c r="AQ37" i="1" s="1"/>
  <c r="AD30" i="1"/>
  <c r="AE30" i="1" s="1"/>
  <c r="AE37" i="1" s="1"/>
  <c r="Z30" i="1"/>
  <c r="AA30" i="1" s="1"/>
  <c r="AA37" i="1" s="1"/>
  <c r="AT28" i="1"/>
  <c r="AU28" i="1" s="1"/>
  <c r="AD28" i="1"/>
  <c r="AE28" i="1" s="1"/>
  <c r="AT27" i="1"/>
  <c r="AU27" i="1" s="1"/>
  <c r="AD27" i="1"/>
  <c r="AE27" i="1" s="1"/>
  <c r="AT26" i="1"/>
  <c r="AU26" i="1" s="1"/>
  <c r="AP26" i="1"/>
  <c r="AQ26" i="1" s="1"/>
  <c r="AD26" i="1"/>
  <c r="AE26" i="1" s="1"/>
  <c r="Z26" i="1"/>
  <c r="AA26" i="1" s="1"/>
  <c r="AT25" i="1"/>
  <c r="AU25" i="1" s="1"/>
  <c r="AS25" i="1"/>
  <c r="AD25" i="1"/>
  <c r="AC25" i="1"/>
  <c r="AE25" i="1" s="1"/>
  <c r="AT24" i="1"/>
  <c r="AS24" i="1"/>
  <c r="AU24" i="1" s="1"/>
  <c r="AQ24" i="1"/>
  <c r="AP24" i="1"/>
  <c r="AO24" i="1"/>
  <c r="AD24" i="1"/>
  <c r="AE24" i="1" s="1"/>
  <c r="AC24" i="1"/>
  <c r="Z24" i="1"/>
  <c r="Y24" i="1"/>
  <c r="AA24" i="1" s="1"/>
  <c r="AT23" i="1"/>
  <c r="AU23" i="1" s="1"/>
  <c r="AD23" i="1"/>
  <c r="AE23" i="1" s="1"/>
  <c r="AT22" i="1"/>
  <c r="AU22" i="1" s="1"/>
  <c r="AP22" i="1"/>
  <c r="AQ22" i="1" s="1"/>
  <c r="AD22" i="1"/>
  <c r="AE22" i="1" s="1"/>
  <c r="Z22" i="1"/>
  <c r="AA22" i="1" s="1"/>
  <c r="AA29" i="1" s="1"/>
  <c r="AT20" i="1"/>
  <c r="AU20" i="1" s="1"/>
  <c r="AD20" i="1"/>
  <c r="AE20" i="1" s="1"/>
  <c r="AT19" i="1"/>
  <c r="AU19" i="1" s="1"/>
  <c r="AD19" i="1"/>
  <c r="AE19" i="1" s="1"/>
  <c r="AT18" i="1"/>
  <c r="AU18" i="1" s="1"/>
  <c r="AP18" i="1"/>
  <c r="AQ18" i="1" s="1"/>
  <c r="AD18" i="1"/>
  <c r="AE18" i="1" s="1"/>
  <c r="Z18" i="1"/>
  <c r="AA18" i="1" s="1"/>
  <c r="AT17" i="1"/>
  <c r="AS17" i="1"/>
  <c r="AU17" i="1" s="1"/>
  <c r="AE17" i="1"/>
  <c r="AD17" i="1"/>
  <c r="AC17" i="1"/>
  <c r="AT16" i="1"/>
  <c r="AU16" i="1" s="1"/>
  <c r="AS16" i="1"/>
  <c r="AP16" i="1"/>
  <c r="AO16" i="1"/>
  <c r="AQ16" i="1" s="1"/>
  <c r="AD16" i="1"/>
  <c r="AC16" i="1"/>
  <c r="AE16" i="1" s="1"/>
  <c r="AA16" i="1"/>
  <c r="Z16" i="1"/>
  <c r="Y16" i="1"/>
  <c r="AT15" i="1"/>
  <c r="AU15" i="1" s="1"/>
  <c r="AD15" i="1"/>
  <c r="AE15" i="1" s="1"/>
  <c r="AT14" i="1"/>
  <c r="AU14" i="1" s="1"/>
  <c r="AP14" i="1"/>
  <c r="AQ14" i="1" s="1"/>
  <c r="AD14" i="1"/>
  <c r="AE14" i="1" s="1"/>
  <c r="Z14" i="1"/>
  <c r="AA14" i="1" s="1"/>
  <c r="AA21" i="1" s="1"/>
  <c r="AT12" i="1"/>
  <c r="AU12" i="1" s="1"/>
  <c r="AS12" i="1"/>
  <c r="AD12" i="1"/>
  <c r="AC12" i="1"/>
  <c r="AE12" i="1" s="1"/>
  <c r="AT11" i="1"/>
  <c r="AS11" i="1"/>
  <c r="AU11" i="1" s="1"/>
  <c r="AE11" i="1"/>
  <c r="AD11" i="1"/>
  <c r="AC11" i="1"/>
  <c r="AT10" i="1"/>
  <c r="AU10" i="1" s="1"/>
  <c r="AS10" i="1"/>
  <c r="AP10" i="1"/>
  <c r="AO10" i="1"/>
  <c r="AQ10" i="1" s="1"/>
  <c r="AD10" i="1"/>
  <c r="AC10" i="1"/>
  <c r="AE10" i="1" s="1"/>
  <c r="AA10" i="1"/>
  <c r="Z10" i="1"/>
  <c r="Y10" i="1"/>
  <c r="AP9" i="1"/>
  <c r="AQ9" i="1" s="1"/>
  <c r="AO9" i="1"/>
  <c r="Z9" i="1"/>
  <c r="Y9" i="1"/>
  <c r="AA9" i="1" s="1"/>
  <c r="AT8" i="1"/>
  <c r="AU8" i="1" s="1"/>
  <c r="AD8" i="1"/>
  <c r="AE8" i="1" s="1"/>
  <c r="AT7" i="1"/>
  <c r="AU7" i="1" s="1"/>
  <c r="AP7" i="1"/>
  <c r="AQ7" i="1" s="1"/>
  <c r="AD7" i="1"/>
  <c r="AE7" i="1" s="1"/>
  <c r="Z7" i="1"/>
  <c r="AA7" i="1" s="1"/>
  <c r="AA13" i="1" s="1"/>
  <c r="AE21" i="1" l="1"/>
  <c r="AE29" i="1"/>
  <c r="AE53" i="1"/>
  <c r="AA66" i="1"/>
  <c r="AA79" i="1" s="1"/>
  <c r="AA73" i="1"/>
  <c r="AQ13" i="1"/>
  <c r="AQ21" i="1"/>
  <c r="AQ29" i="1"/>
  <c r="AU37" i="1"/>
  <c r="AQ53" i="1"/>
  <c r="AE13" i="1"/>
  <c r="AE79" i="1" s="1"/>
  <c r="AE45" i="1"/>
  <c r="AU13" i="1"/>
  <c r="AU21" i="1"/>
  <c r="AU29" i="1"/>
  <c r="AU53" i="1"/>
  <c r="AQ79" i="1" l="1"/>
  <c r="AU79" i="1"/>
</calcChain>
</file>

<file path=xl/sharedStrings.xml><?xml version="1.0" encoding="utf-8"?>
<sst xmlns="http://schemas.openxmlformats.org/spreadsheetml/2006/main" count="2824" uniqueCount="927">
  <si>
    <t>FORMULACIÓN Y SEGUIMIENTO DEL PLAN DE ACCIÓN INSTITUCIONAL 2020</t>
  </si>
  <si>
    <t>Fecha:</t>
  </si>
  <si>
    <t>Versión:</t>
  </si>
  <si>
    <t>Código:</t>
  </si>
  <si>
    <t>PE-F-1</t>
  </si>
  <si>
    <t>ARTICULACIÓN</t>
  </si>
  <si>
    <t>INDICADOR DE PRODUCTO</t>
  </si>
  <si>
    <t>INDICADOR DE GESTIÓN</t>
  </si>
  <si>
    <t>RECURSOS</t>
  </si>
  <si>
    <t>RESPONSABLE</t>
  </si>
  <si>
    <t>REPORTE AVANCE MENSUAL ENERO</t>
  </si>
  <si>
    <t>REPORTE AVANCE MENSUAL FEBRERO</t>
  </si>
  <si>
    <t>REPORTE AVANCE MENSUAL MARZO</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</si>
  <si>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</si>
  <si>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</si>
  <si>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</si>
  <si>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</si>
  <si>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</si>
  <si>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</si>
  <si>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</si>
  <si>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</si>
  <si>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</si>
  <si>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</si>
  <si>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Objetivo del Capítulo</t>
  </si>
  <si>
    <t>Línea Estratégica</t>
  </si>
  <si>
    <t>Dimensión</t>
  </si>
  <si>
    <t>Política MIPG</t>
  </si>
  <si>
    <t>Macroproceso</t>
  </si>
  <si>
    <t>Proceso</t>
  </si>
  <si>
    <t>Subproceso</t>
  </si>
  <si>
    <t>FÓRMULA INDICADOR DE PRODUCTO</t>
  </si>
  <si>
    <t>UNIDAD DE MEDIDA</t>
  </si>
  <si>
    <t>LÍNEA BASE</t>
  </si>
  <si>
    <t>META DE PRODUCTO</t>
  </si>
  <si>
    <t>FÓRMULA INDICADOR DE GESTIÓN</t>
  </si>
  <si>
    <t>META DE GESTIÓN</t>
  </si>
  <si>
    <t>POR GRUPO</t>
  </si>
  <si>
    <t>POR DEPENDENCIA</t>
  </si>
  <si>
    <t>Responsable</t>
  </si>
  <si>
    <t>Avance mes</t>
  </si>
  <si>
    <t xml:space="preserve">Meta </t>
  </si>
  <si>
    <t>Porcentaje de avance</t>
  </si>
  <si>
    <t>Avance cualitativo</t>
  </si>
  <si>
    <t>Pacto por Colombia Pacto por la equidad</t>
  </si>
  <si>
    <t>IV. Pacto por la sostenibilidad: producir conservando y conservar produciendo</t>
  </si>
  <si>
    <t>Instituciones ambientales modernas, apropiación social de la biodiversidad y manejo efectivo de los conflictos socioambientales</t>
  </si>
  <si>
    <t>Contribuir al desarrollo sostenible ambiental a partir de un efectivo proceso de evaluación y seguimiento.</t>
  </si>
  <si>
    <t>Gestión con valores para resultados</t>
  </si>
  <si>
    <t>Seguimiento y evaluación del desempeño institucional</t>
  </si>
  <si>
    <t>Misional</t>
  </si>
  <si>
    <t>Gestión y licenciamiento ambiental</t>
  </si>
  <si>
    <t>Evaluación</t>
  </si>
  <si>
    <t>SES</t>
  </si>
  <si>
    <t>Subdirección de Evaluación y Seguimiento</t>
  </si>
  <si>
    <t>Actos administrativos expedidos para resolver las solicitudes de evaluación de licenciamiento ambiental</t>
  </si>
  <si>
    <t># de actos administrativos que resuelven solicitudes de evaluación de licenciamiento ambiental</t>
  </si>
  <si>
    <t>Número</t>
  </si>
  <si>
    <t>Visitas técnicas de evaluación de solicitudes de licenciamiento ambiental</t>
  </si>
  <si>
    <t># de visitas técnicas realizadas para el proceso de evaluación de licencias ambientales</t>
  </si>
  <si>
    <t>JOSEFINA HELENA SANCHEZ CUERVO [Subdirector(a) de Evaluación y Seguimiento]</t>
  </si>
  <si>
    <t xml:space="preserve">A corte 31 de enero de 2020 se han expedido 41 actos administrativos para resolver las solicitudes de evaluación de licencias ambientales </t>
  </si>
  <si>
    <t>A corte 31 de enero de 2020 se han realizado 6 visitas tecnicas  para el proceso de evaluación de licencias ambientales</t>
  </si>
  <si>
    <t xml:space="preserve">A corte 29 de febrero de 2020 se han expedido 77 actos administrativos para resolver las solicitudes de evaluación de licencias ambientales </t>
  </si>
  <si>
    <t>A corte 29 de febrero de 2020 se han realizado 17 visitas tecnicas  para el proceso de evaluación de licencias ambientales</t>
  </si>
  <si>
    <t xml:space="preserve">A corte 31 de marzo de  2020 se han expedido 108 actos administrativos para resolver las solicitudes de evaluación de licencias ambientales </t>
  </si>
  <si>
    <t>A corte 31 de marzo de 2020 se han realizado 20 visitas tecnicas  para el proceso de evaluación de licencias ambientales</t>
  </si>
  <si>
    <t>Conceptos técnicos emitidos para resolver las solicitudes de evaluación de licenciamiento ambiental</t>
  </si>
  <si>
    <t># de conceptos técnicos realizados para resolver las solicitudes de evaluación de licenciamiento ambiental</t>
  </si>
  <si>
    <t>A corte 31 de enero de 2020 se han elaborado 24 conceptos técnicos para resolver las solicitudes de evaluación de licencias ambientales</t>
  </si>
  <si>
    <t>A corte 29 de febrero de 2020 se han elaborado 52 conceptos técnicos para resolver las solicitudes de evaluación de licencias ambientales</t>
  </si>
  <si>
    <t>A corte 31 de marzo de  2020 se han elaborado 77 conceptos técnicos para resolver las solicitudes de evaluación de licencias ambientales</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</si>
  <si>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</si>
  <si>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</si>
  <si>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</si>
  <si>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</si>
  <si>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A corte 31 de enero de 2002 la ANLA debía resolver 16 solicitudes de licenciamiento ambiental; (5) Nuevas, (11) Modificaciones, las cuales fueron resueltas  oportunamente.</t>
  </si>
  <si>
    <t>A corte 29 de  febrero de 2020  la ANLA debía resolver 28 solicitudes de licenciamiento ambiental;  (13) Nuevas, (15) Modificaciones las cuales se resolvieron oportunamente.</t>
  </si>
  <si>
    <t>A corte 31 de marzo de  2020  la ANLA debía resolver 39 solicitudes de licenciamiento ambiental;  (20) Nuevas, (19) Modificaciones las cuales se resolvieron oportunamente.</t>
  </si>
  <si>
    <t>Seguimiento</t>
  </si>
  <si>
    <t>Actos administrativos expedidos para resolver el seguimiento a proyectos licenciados.</t>
  </si>
  <si>
    <t># de actos administrativos que acogen el seguimiento realizado a los proyectos licenciados.</t>
  </si>
  <si>
    <t>Visitas técnicas de seguimiento a proyectos con licenciamiento ambiental</t>
  </si>
  <si>
    <t># de Visitas técnicas de seguimiento a proyectos con licenciamiento ambiental</t>
  </si>
  <si>
    <t>A corte 31 de enero de 2020 se han expedido 49 actos administrativos que acogen el seguimiento a proyectos licenciados, de los cuales 41 son de vigencias anteriores (rezago) y 8 de vigencia actual.</t>
  </si>
  <si>
    <t>A corte 31 de enero de 2020 se han realizado 87 visitas técnicas de seguimiento de licenciamiento ambiental</t>
  </si>
  <si>
    <t>A corte 29 de febrero de 2020 se han expedido 190 actos administrativos que acogen el seguimiento a proyectos licenciados, de los cuales 65 son de vigencias anteriores (rezago) y 125 de vigencia actual.</t>
  </si>
  <si>
    <t>A corte 29 de febrero de 2020 se han realizado 192 visitas técnicas de seguimiento de licenciamiento ambiental</t>
  </si>
  <si>
    <t>A corte 31 de marzo de 2020 se han expedido 340 actos administrativos que acogen el seguimiento a proyectos licenciados, de los cuales 77 son de vigencias anteriores (rezago) y 263 de vigencia actual.</t>
  </si>
  <si>
    <t>A corte 31 de marzo de 2020 se han realizado 274 visitas técnicas de seguimiento de licenciamiento ambiental</t>
  </si>
  <si>
    <t>Conceptos técnicos de seguimiento a licencias ambientales</t>
  </si>
  <si>
    <t># de Conceptos técnicos de seguimiento a licencias ambientales</t>
  </si>
  <si>
    <t>A corte 31 de enero de 2020 se han finalizado 65 Conceptos técnicos de seguimiento a  proyectos licenciados (5 con visita de vigencias anteriores y 60 documentales vigencia actual)</t>
  </si>
  <si>
    <t>A corte 29 de febrero de 2020 se han finalizado 224 Conceptos técnicos de seguimiento a  proyectos licenciados (57 CT con visita y  167 documentales )</t>
  </si>
  <si>
    <t>A corte 31 de marzo de 2020 se han finalizado 450 Conceptos técnicos de seguimiento a  proyectos licenciados (170 CT con visita y  280 documentales )</t>
  </si>
  <si>
    <t>Porcentaje de seguimientos de licenciamiento ambiental con oralidad</t>
  </si>
  <si>
    <t>Número de seguimientos finalizados con oralidad / Número total de seguimientos realizados de licenciamiento ambiental</t>
  </si>
  <si>
    <t>A corte 31 de enero de 2020 se han cuminado 8 seguimientos a  proyectos licenciados de vigencia actual,de los cuales ninguno se finalizò con oralidad</t>
  </si>
  <si>
    <t>A corte 29 de febrero de 2020 se han cuminado 21 seguimientos de vigencia actual, de los cuales 16 fueron finalizados con oralidad. Para este indicador no se incluyen los seguimientos realizados por el sector de  Agroquimicos debido al tipo de poryectos a los cuales se les realiza seguimiento (DTA, Plantas y  Zoocriaderos) y en su mayoria documentales.</t>
  </si>
  <si>
    <t>A corte 31 de marzo de 2020 se han cuminado 48 seguimientos de vigencia actual, de los cuales 27 fueron finalizados con oralidad. Para este indicador no se incluyen los seguimientos realizados por el sector de  Agroquimicos debido al tipo de poryectos a los cuales se les realiza seguimiento (DTA, Plantas y  Zoocriaderos) y en su mayoria documentales.</t>
  </si>
  <si>
    <t>Promedio de avance en metas de Producto</t>
  </si>
  <si>
    <t>Promedio de avance en metas de Gestión</t>
  </si>
  <si>
    <t>Hidrocarburos</t>
  </si>
  <si>
    <t>ANA KATHERINE ARTETA BARRAGAN [Coordinador(a)]</t>
  </si>
  <si>
    <t xml:space="preserve">A corte 31 de enero de 2020 el secto de hidrocarburos ha expedido 3 actos administrativos para resolver las solicitudes de evaluación de licencias ambientales </t>
  </si>
  <si>
    <t>A corte 31 de enero de 2020 se han realizado 3 visitas tecnicas  para el proceso de evaluación de licencias ambientales</t>
  </si>
  <si>
    <t xml:space="preserve">A corte 29 de febrero de 2020 el sector de hidrocarburos ha expedido 8 actos administrativos para resolver las solicitudes de evaluación de licencias ambientales </t>
  </si>
  <si>
    <t>A corte 29 de febrero de 2020 se han realizado 3 visitas tecnicas  para el proceso de evaluación de licencias ambientales</t>
  </si>
  <si>
    <t xml:space="preserve">A corte 31 de marzo de  2020 el sector de hidrocarburos ha expedido 11 actos administrativos para resolver las solicitudes de evaluación de licencias ambientales </t>
  </si>
  <si>
    <t>A corte 31 de marzo de  2020 se han realizado 3 visitas tecnicas  para el proceso de evaluación de licencias ambientales</t>
  </si>
  <si>
    <t>A corte 31 de enero de 2020 se han elaborado 4 conceptos técnicos para resolver las solicitudes de evaluación de licencias ambientales</t>
  </si>
  <si>
    <t>A corte 29 de febrero de 2020 se han elaborado 7 conceptos técnicos para resolver las solicitudes de evaluación de licencias ambientales</t>
  </si>
  <si>
    <t>A corte 31 de marzo de  2020 se han elaborado 9 conceptos técnicos para resolver las solicitudes de evaluación de licencias ambientales</t>
  </si>
  <si>
    <t>(Número de actos administrativos finalizados que resuelven solicitudes de evaluación a licencias ambientales dentro de téminos del decreto 1076 /Número de solicitudes de licenciamiento ambiental a atender con vencimiento de términos) * 100</t>
  </si>
  <si>
    <t>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</si>
  <si>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</si>
  <si>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A corte 31 de enero de 2020 el sector debía resolver 3 solicitudes de licenciamiento ambiental; (2) Nuevas, (1) Modificaciones y  las cuales fueron resueltas  oportunamente.</t>
  </si>
  <si>
    <t>A corte 31 de enero de 2020  el sector de hidrocarburos debia realizar 2 visitas tecnicas, las cuales se realizaron oportunamente.</t>
  </si>
  <si>
    <t>A corte 29 de febrero de 2020 el sector debía resolver 6 solicitudes de licenciamiento ambiental;  (3) Nuevas, (3) Modificaciones, las cuales fueron resueltas  oportunamente.</t>
  </si>
  <si>
    <t>A corte 29 de febrero de 2020 el sector de hidrocarburos debia realizar 3 visitas tecnicas, las cuales se realizaron oportunamente.</t>
  </si>
  <si>
    <t>A corte 31 de marzo de  2020 el sector debía resolver 9 solicitudes de licenciamiento ambiental;  (5) Nuevas, (4) Modificaciones, las cuales fueron resueltas  oportunamente.</t>
  </si>
  <si>
    <t>A corte 31 de marzo de  2020 el sector de hidrocarburos debia realizar 3 visitas tecnicas, las cuales se realizaron oportunamente.</t>
  </si>
  <si>
    <t>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</si>
  <si>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</si>
  <si>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A corte 31 de enero de 2020  el sector de hidrocarburos debia finalizar 3 conceptos tecnicos, los cuales finalizaron fuera de terminos.</t>
  </si>
  <si>
    <t>A corte 29 de febrero de 2020  el sector de hidrocarburos debia finalizar 6 conceptos tecnicos, los cuales finalizaron fuera de terminos.</t>
  </si>
  <si>
    <t>A corte 31 de marzo de  2020  el sector de hidrocarburos debia finalizar 9 conceptos tecnicos, los cuales finalizaron fuera de terminos.</t>
  </si>
  <si>
    <t>GISELA GUIJARRO CARDOZO [Coordinador(a)]</t>
  </si>
  <si>
    <t>A corte 31 de enero de 2020 se han expedido 25 actos administrativos que acogen el seguimiento a proyectos licenciados, los cuales corresponden a rezago vigencia 2019</t>
  </si>
  <si>
    <t>A corte 31 de enero de 2020 se realizaron 36 visitas de seguimiento a los proyectos licenciados por el sector de hidrocarburos</t>
  </si>
  <si>
    <t>A corte 29 de febrero de 2020 se han expedido 40 actos administrativos que acogen el seguimiento a proyectos licenciados, de los cuales 39  corresponden a rezago vigencia 2019 y 1 a vigencia actual.</t>
  </si>
  <si>
    <t>A corte 29 de febrero de 2020 se realizaron 93 visitas de seguimiento a los proyectos licenciados por el sector de hidrocarburos</t>
  </si>
  <si>
    <t>A corte 31 de marzo de 2020 se han expedido 66 actos administrativos que acogen el seguimiento a proyectos licenciados, de los cuales 50  corresponden a rezago vigencia 2019 y 16 a vigencia actual.</t>
  </si>
  <si>
    <t>A corte 31 de marzo de 2020 se realizaron 129 visitas de seguimiento a los proyectos licenciados por el sector de hidrocarburos</t>
  </si>
  <si>
    <t>Conceptos técnicos de seguimiento con visita realizado a proyectos programados en la vigencia actual</t>
  </si>
  <si>
    <t># de conceptos técnicos de seguimiento con visita aprobados en la vigencia actual</t>
  </si>
  <si>
    <t>A corte 31 de enero de 2020 el sector de hidrocarburos  ha expidido 2 CT de rezago con visita</t>
  </si>
  <si>
    <t>A corte 29 de febrero de 2020 el sector de hidrocarburos  ha expidido 17 CT con visita de los cuales 15 corresponden a vigencia actual y 2 a rezagos</t>
  </si>
  <si>
    <t>A corte 31 de marzo de 2020 el sector de hidrocarburos  ha expidido 74 CT con visita de los cuales 71 corresponden a vigencia actual y 3 a rezagos</t>
  </si>
  <si>
    <t>Conceptos técnicos de seguimiento documental de proyectos priorizados en la vigencia actual</t>
  </si>
  <si>
    <t># de conceptos técnicos de seguimiento documental aprobados en la vigencia actual</t>
  </si>
  <si>
    <t>A corte  31 de enero de 2020 el sector de hidrocarburos  ha expidido 2 CT documental vigencia actual</t>
  </si>
  <si>
    <t>A corte  29 de febrero de 2020 el sector de hidrocarburos  ha expidido 4 CT documental vigencia actual</t>
  </si>
  <si>
    <t>A corte  31 de marzo de 2020 el sector de hidrocarburos  ha expidido 6 CT documental vigencia actual</t>
  </si>
  <si>
    <t>Infraestructura</t>
  </si>
  <si>
    <t>DAVID GREGORIO FLOREZ OLAYA [Coordinador(a)]</t>
  </si>
  <si>
    <t xml:space="preserve">A corte 31 de enero de 2020 el sector de infraestructura ha expedido 2 actos administrativos para resolver las solicitudes de evaluación de licencias ambientales </t>
  </si>
  <si>
    <t>A corte 31 de enero de 2020 se han realizado 1 visita tecnica  para el proceso de evaluación de licencias ambientales</t>
  </si>
  <si>
    <t xml:space="preserve">A corte 29 de febrero de 2020 el sector de infraestructura ha expedido 4 actos administrativos para resolver las solicitudes de evaluación de licencias ambientales </t>
  </si>
  <si>
    <t>A corte 29 de febrero de 2020 se han realizado 7 visitas tecnicas  para el proceso de evaluación de licencias ambientales</t>
  </si>
  <si>
    <t xml:space="preserve">A corte 31 de marzo de  2020 el sector de infraestructura ha expedido 7 actos administrativos para resolver las solicitudes de evaluación de licencias ambientales </t>
  </si>
  <si>
    <t>A corte 31 de marzo de  2020 se han realizado 8 visitas tecnicas  para el proceso de evaluación de licencias ambientales</t>
  </si>
  <si>
    <t xml:space="preserve">A corte 31 de enero de 2020 el sector, no ha expedido CT </t>
  </si>
  <si>
    <t>A corte 29 de febrero de 2020 el sector ha elaborado 3  conceptos técnicos para resolver las solicitudes de evaluación de licencias ambientales</t>
  </si>
  <si>
    <t>A corte 31 de marzo de  2020 el sector ha elaborado 6  conceptos técnicos para resolver las solicitudes de evaluación de licencias ambientales</t>
  </si>
  <si>
    <t>A corte 31 de enero de 2020 el sector de infraestructura debía resolver 3 solicitudes de licenciamiento ambiental; (0) Nuevas, (3) Modificaciones, las cuales se resolvieron oportunamente.</t>
  </si>
  <si>
    <t>A corte 31 de enero de 2020  el sector de infraestructura debia realizar 1 visita tecnica, la cual se realizo oportunamente.</t>
  </si>
  <si>
    <t>A corte 29 de febrero de 2020 el sector de infraestructura debía resolver 6 solicitudes de licenciamiento ambiental;  (2) Nuevas, (4) Modificaciones, las cuales se resolvieron oportunamente.</t>
  </si>
  <si>
    <t>A corte 29 de febrero de 2020  el sector de infraestructura debia realizar 7 visitas tecnicas, las cuales se realizaron oportunamente.</t>
  </si>
  <si>
    <t>A corte 31 de marzo de  2020 el sector de infraestructura debía resolver 7 solicitudes de licenciamiento ambiental;  (2) Nuevas, (5) Modificaciones, las cuales se resolvieron oportunamente.</t>
  </si>
  <si>
    <t>A corte 31 de marzo de  2020 el sector de infraestructura debia realizar 8 visitas tecnicas, las cuales se realizaron oportunamente.</t>
  </si>
  <si>
    <t>A corte 31 de enero de 2020  el sector de infraestructura debia finalizar 1 concepto tecnico, el  cual se finalizo fuera de terminos.</t>
  </si>
  <si>
    <t>A corte 29 de febrero de 2020  el sector de infraestructura debia finalizar 4 conceptos tecnicos, de los  cuales finalizo 1 oportunamente</t>
  </si>
  <si>
    <t>A corte 31 de marzo de  2020 el sector de infraestructura debia finalizar 7 conceptos tecnicos, de los  cuales finalizo 1 oportunamente</t>
  </si>
  <si>
    <t>A corte 31 de enero de 2020 se han expedido 9 actos administrativos que acogen el seguimiento a proyectos licenciados, los cuales corresponden al rezago vigencia 2019</t>
  </si>
  <si>
    <t>A corte 31 de enero de 2020 se realizaron 29 visitas de seguimiento a los proyectos licenciados por el sector de infraestructura</t>
  </si>
  <si>
    <t>A corte 29 de febrero de 2020 se han expedido 27 actos administrativos que acogen el seguimiento a proyectos licenciados, de los cuales 15 corresponden a vigencia actual y 12 a rezagos vigencia 2019</t>
  </si>
  <si>
    <t>A corte 29 de febrero de 2020 se realizaron 41 visitas de seguimiento a los proyectos licenciados por el sector de infraestructura</t>
  </si>
  <si>
    <t>A corte 31 de marzo de 2020 se han expedido 35 actos administrativos que acogen el seguimiento a proyectos licenciados, de los cuales 22 corresponden a vigencia actual y 13 a rezagos vigencia 2019</t>
  </si>
  <si>
    <t>A corte 31 de marzo de 2020 se realizaron 65 visitas de seguimiento a los proyectos licenciados por el sector de infraestructura</t>
  </si>
  <si>
    <t>A corte 31 de enero de 2020 el sector ha expidido 1 CT con visita de rezago vigencia 2019</t>
  </si>
  <si>
    <t>A corte 29 de febrero de 2020 el sector ha expidido 17 CT con visita, de los cuales 16 corresponde a vigencia actual y 1 a rezago vigencia 2019</t>
  </si>
  <si>
    <t>A corte 31 de marzo de 2020 el sector ha expidido 44 CT con visita, de los cuales 41 corresponde a vigencia actual y 3 a rezagos vigencia 2019</t>
  </si>
  <si>
    <t>A corte 31 de enero de 2020 el sector ha expidido 1 CT documental</t>
  </si>
  <si>
    <t>A corte 29 de febrero de 2020 el sector ha expidido 6 CT documentales</t>
  </si>
  <si>
    <t>A corte 31 de marzo de 2020 el sector ha expidido 7 CT documentales</t>
  </si>
  <si>
    <t>Energía</t>
  </si>
  <si>
    <t>JOHNATAN RICARDO REYES YUNDA [Coordinador(a)]</t>
  </si>
  <si>
    <t xml:space="preserve">A corte 31 de enero de 2020 el sector de energia ha expedido 3 actos administrativos para resolver las solicitudes de evaluación de licencias ambientales </t>
  </si>
  <si>
    <t>A corte 31 de enero de 2020 el sector no ha realizado ninguna visita tecnica para el proceso de evaluación de licencias ambientales</t>
  </si>
  <si>
    <t xml:space="preserve">A corte 29 de febrero de 2020 el sector de energia ha expedido 7 actos administrativos para resolver las solicitudes de evaluación de licencias ambientales </t>
  </si>
  <si>
    <t>A corte 29 de febrero de 2020 el sector ha realizado 2 visitas tecnicas para el proceso de evaluación de licencias ambientales</t>
  </si>
  <si>
    <t xml:space="preserve">A corte 31 de marzo de  2020 el sector de energia ha expedido 9 actos administrativos para resolver las solicitudes de evaluación de licencias ambientales </t>
  </si>
  <si>
    <t>A corte 31 de marzo de  2020 el sector ha realizado 3 visitas tecnicas para el proceso de evaluación de licencias ambientales</t>
  </si>
  <si>
    <t>A corte 31 de enero de 2020 el sector, ha expedido 3 CT con visita</t>
  </si>
  <si>
    <t>A corte 29 de febrero de 2020 el sector, ha expedido 7 conceptos tecnicos para resolver las solicitudes de evaluación de licencias ambientales</t>
  </si>
  <si>
    <t>A corte 31 de marzo de  2020 el sector, ha expedido 8 conceptos tecnicos para resolver las solicitudes de evaluación de licencias ambientales</t>
  </si>
  <si>
    <t>A corte 31 de enero de 2020 el sector de energia debía resolver 3 solicitudes de licenciamiento ambiental; (0) Nuevas, (3) Modificaciones, las cuales se resolvieron oportunamente.</t>
  </si>
  <si>
    <t>A corte 31 de enero de 2020  el sector de energia no tenia visitas tecnicas de evaluacion con vencimiento de termnos.</t>
  </si>
  <si>
    <t>A corte 29 de febrero de 2020 el sector de energia debía resolver 5 solicitudes de licenciamiento ambiental;  (1) Nuevas, (4) Modificaciones, las cuales se resolvieron oportunamente.</t>
  </si>
  <si>
    <t>A corte 29 de febrero de 2020  el sector de energia tenia que realizar 1 visita tecnica de evaluacion, la cual se adelanto oportunamente.</t>
  </si>
  <si>
    <t>A corte 31 de marzo de  2020 el sector de energia debía resolver 7 solicitudes de licenciamiento ambiental;  (1) Nuevas, (6) Modificaciones, las cuales se resolvieron oportunamente.</t>
  </si>
  <si>
    <t>A corte 31 de marzo de 2020  el sector de energia tenia que realizar 2 visitas tecnicas de evaluacion, la cual se adelanto oportunamente.</t>
  </si>
  <si>
    <t>A corte 31 de enero de 2020  el sector de energia debia finalizar 6 conceptos tecnicos, y se finalizo 1 en terminos.</t>
  </si>
  <si>
    <t>A corte 29 de febrero de 2020  el sector de energia debia finalizar 7 conceptos tecnicos, y se finalizo 1 en terminos.</t>
  </si>
  <si>
    <t>A corte 31 de marzo de  2020  el sector de energia debia finalizar 7 conceptos tecnicos, y ninguno se finalizo en terminos.</t>
  </si>
  <si>
    <t>A corte 31 de enero de 2020 se han expedido 4 actos administrativos que acogen el seguimiento a proyectos licenciados, los cuales corresponden al rezago vigencia 2019</t>
  </si>
  <si>
    <t>A corte 31 de enero de 2020 se realizaron 8 visitas de seguimiento a los proyectos licenciados por el sector de energia</t>
  </si>
  <si>
    <t>A corte 29 de febrero de 2020 se han expedido 11 actos administrativos que acogen el seguimiento a proyectos licenciados, de los cuales 5 corresponden  a vigencia actual y 6 a rezago vigencia 2019</t>
  </si>
  <si>
    <t>A corte 29 de febrero de 2020 se realizaron 22 visitas de seguimiento a los proyectos licenciados por el sector de energia</t>
  </si>
  <si>
    <t>A corte 31 de marzo de 2020 se han expedido 15 actos administrativos que acogen el seguimiento a proyectos licenciados, de los cuales 9 corresponden  a vigencia actual y 6 a rezago vigencia 2019</t>
  </si>
  <si>
    <t>A corte 31 de marzo de 2020 se realizaron 30 visitas de seguimiento a los proyectos licenciados por el sector de energia</t>
  </si>
  <si>
    <t xml:space="preserve">A corte 31 de enero de 2020 el sector ha expidido 2 CT con visita correspondiente a rezago 2019   </t>
  </si>
  <si>
    <t xml:space="preserve">A corte 29 de febrero de 2020 el sector ha expidido 11 CT con visita, de los cuales 8 corresponden a vigencia actual y 3 a rezago 2019   </t>
  </si>
  <si>
    <t xml:space="preserve">A corte 31 de marzo de 2020 el sector ha expidido 24 CT con visita, de los cuales 21 corresponden a vigencia actual y 3 a rezago 2019   </t>
  </si>
  <si>
    <t>A corte 29 de febrero de 2020 el sector ha expidido 2 CT documentales</t>
  </si>
  <si>
    <t>A corte 31 de marzo de 2020 el sector ha expidido 4 CT documentales</t>
  </si>
  <si>
    <t>Minería</t>
  </si>
  <si>
    <t>GABRIEL EDUARDO LOPEZ ULLOA [Coordinador(a)]</t>
  </si>
  <si>
    <t xml:space="preserve">A corte 31 de enero de 2020 el sector de mineria ha expedido 3 actos administrativos para resolver las solicitudes de evaluación de licencias ambientales </t>
  </si>
  <si>
    <t xml:space="preserve">A corte 29 de febrero de 2020 el sector de mineria ha expedido 3 actos administrativos para resolver las solicitudes de evaluación de licencias ambientales </t>
  </si>
  <si>
    <t>A corte 29 de febrero de 2020 el sector ha realizado 3  visitas tecnicas para el proceso de evaluación de licencias ambientales</t>
  </si>
  <si>
    <t xml:space="preserve">A corte 31 de marzo de 2020 el sector de mineria ha expedido 6 actos administrativos para resolver las solicitudes de evaluación de licencias ambientales </t>
  </si>
  <si>
    <t>A corte 31 de marzo de 2020 el sector ha realizado 4  visitas tecnicas para el proceso de evaluación de licencias ambientales</t>
  </si>
  <si>
    <t>A corte 29 de febrero de 2020 el sector ha expedido 3 conceptos tecnicos para resolver las solicitudes de evaluación de licencias ambientales</t>
  </si>
  <si>
    <t>A corte 31 de marzo de 2020 el sector ha expedido 5 conceptos tecnicos para resolver las solicitudes de evaluación de licencias ambientales</t>
  </si>
  <si>
    <t>A corte 31 de enero de 2020 el sector de Mineria debía resolver 3 solicitudes de licenciamiento ambiental; (0) Nuevas, (3) Modificaciones, las cuales fueron resueltas oportunamente.</t>
  </si>
  <si>
    <t>A corte 29 de febrero de 2020 el sector de Mineria debía resolver 3 solicitudes de licenciamiento ambiental; (0) Nuevas, (3) Modificaciones, las cuales fueron resueltas oportunamente.</t>
  </si>
  <si>
    <t>A corte 29 de febrero de 2020  el sector de mineria tenia  que realizar 4 visitas tecnicas de evaluacion, de las cuales se realizaron 3 oportunamente.</t>
  </si>
  <si>
    <t>A corte 31 de marzo de 2020 el sector de Mineria debía resolver 5 solicitudes de licenciamiento ambiental; (2) Nuevas, (3) Modificaciones, las cuales fueron resueltas oportunamente.</t>
  </si>
  <si>
    <t>A corte 31 de marzo de 2020  el sector de mineria tenia  que realizar 4 visitas tecnicas de evaluacion, de las cuales se realizaron 3 oportunamente.</t>
  </si>
  <si>
    <t>A corte 31 de enero de 2020  el sector de energia debia finalizar 2 conceptos tecnicos, los cuales no se culminaron fuera de terminos</t>
  </si>
  <si>
    <t>A corte 29 de febrero de 2020  el sector de mineria debia finalizar 3 conceptos tecnicos, los cuales se culminaron fuera de terminos</t>
  </si>
  <si>
    <t>A corte 31 de marzo de 2020  el sector de mineria debia finalizar 3 conceptos tecnicos, los cuales se culminaron fuera de terminos</t>
  </si>
  <si>
    <t>A corte 31 de enero de 2020 se han expedido 3 actos administrativos que acogen el seguimiento a proyectos licenciados, los cuales corresponden al rezago vigencia 2019</t>
  </si>
  <si>
    <t>A corte 31 de enero de 2020 el sector se ha realizado 1 visita de seguimiento</t>
  </si>
  <si>
    <t>A corte 29 de febrero de 2020 se han expedido 7 actos administrativos que acogen el seguimiento a proyectos licenciados, los cuales corresponden al rezago vigencia 2019</t>
  </si>
  <si>
    <t>A corte 29 de febrero de 2020 el sector se ha realizado 14 visitas de seguimiento</t>
  </si>
  <si>
    <t>A corte 31 de marzo de 2020 se han expedido 8 actos administrativos que acogen el seguimiento a proyectos licenciados, los cuales corresponden 1 a vigencia actual y 7 a rezago vigencia 2019</t>
  </si>
  <si>
    <t>A corte 31 de marzo de 2020 el sector se ha realizado 24 visitas de seguimiento</t>
  </si>
  <si>
    <t xml:space="preserve">A corte 31 de enero de 2020 el sector no ha elaborado CT con visita de seguimiemto    </t>
  </si>
  <si>
    <t>A corte 29 de febrero de 2020 el sector ha elaborado 3 CT con visita, de los cuales 1 corresponde a vigencia actual y 2 a rezago 2019.</t>
  </si>
  <si>
    <t>A corte 31 de marzo de 2020 el sector ha elaborado 5 CT con visita, de los cuales 3 corresponde a vigencia actual y 2 a rezago 2019.</t>
  </si>
  <si>
    <t xml:space="preserve">A corte 31 de enero de 2020 el sector no ha elaborado CT documentales de seguimiemto    </t>
  </si>
  <si>
    <t xml:space="preserve">A corte 29 de febrero de 2020 el sector ha elaborado 1 CT documental de seguimiemto    </t>
  </si>
  <si>
    <t xml:space="preserve">A corte 31 de marzo de 2020 el sector ha elaborado 2 CT documental de seguimiemto    </t>
  </si>
  <si>
    <t>Agroquímicos y Especiales</t>
  </si>
  <si>
    <t>JUAN DAVID HERRERA GOMEZ [Coordinador(a)]</t>
  </si>
  <si>
    <t xml:space="preserve">A corte 31 de enero de 2020 el sector de Agroquimicos ha expedido 30 actos administrativos para resolver las solicitudes de evaluación de licencias ambientales </t>
  </si>
  <si>
    <t>A corte 31 de enero de 2020 el sector realizo 2 visitas tecnicas para el proceso de evaluación de licencias ambientales</t>
  </si>
  <si>
    <t xml:space="preserve">A corte 29 de febrero de 2020 el sector de Agroquimicos ha expedido 55 actos administrativos para resolver las solicitudes de evaluación de licencias ambientales </t>
  </si>
  <si>
    <t>A corte 29 de febrero de 2020 el sector realizo 2 visitas tecnicas para el proceso de evaluación de licencias ambientales</t>
  </si>
  <si>
    <t xml:space="preserve">A corte 31 de marzo de 2020 el sector de Agroquimicos ha expedido 75 actos administrativos para resolver las solicitudes de evaluación de licencias ambientales </t>
  </si>
  <si>
    <t>A corte 31 de marzo de 2020 el sector realizo 2 visitas tecnicas para el proceso de evaluación de licencias ambientales</t>
  </si>
  <si>
    <t xml:space="preserve">A corte 31 de enero de 2020 el sector, ha expedido 14 CT con visita </t>
  </si>
  <si>
    <t xml:space="preserve">A corte 29 de febrero de 2020 el sector, ha expedido 32 CT para resolver las solicitudes de evaluación de licencias ambientales </t>
  </si>
  <si>
    <t xml:space="preserve">A corte 31 de marzo de 2020 el sector, ha expedido 49 CT para resolver las solicitudes de evaluación de licencias ambientales </t>
  </si>
  <si>
    <t>A viernes, 31 de enero de 2020 el sector de Agroquimicos debía resolver 4 solicitudes de licenciamiento ambiental; (3) Nuevas, (1) Modificaciones, las cuales fueron resueltas oportunamente.</t>
  </si>
  <si>
    <t>A corte 31 de enero de 2020  el sector de Agroquimicos 1 visita con vencimiento de terminos, la cual se realizo en terminos</t>
  </si>
  <si>
    <t>A viernes, 29 de febrero de 2020 el sector de Agroquimicos debía resolver 8 solicitudes de licenciamiento ambiental;  (7) Nuevas, (1) Modificaciones, las cuales fueron resueltas oportunamente.</t>
  </si>
  <si>
    <t>A corte 29 de febrero de 2020  el sector de Agroquimicos tenia  1 visita con vencimiento de terminos, la cual se realizo en terminos</t>
  </si>
  <si>
    <t>A corte 31 de marzo de 2020 el sector de Agroquimicos debía resolver 11 solicitudes de licenciamiento ambiental;  (10) Nuevas, (1) Modificaciones, las cuales fueron resueltas oportunamente.</t>
  </si>
  <si>
    <t>A corte 31 de marzo de 2020  el sector de Agroquimicos tenia  1 visita con vencimiento de terminos, la cual se realizo en terminos</t>
  </si>
  <si>
    <t>A corte 31 de enero de 2020  el sector de Agroquimicos debia finalizar 1 concepto tecnico, el cual se culmino en terminos</t>
  </si>
  <si>
    <t>A corte 29 de febrero de 2020  el sector de Agroquimicos debia finalizar 6 conceptos tecnicos, de los cuales finalizo 5 oportunamente.</t>
  </si>
  <si>
    <t>A corte 31 de marzo de 2020  el sector de Agroquimicos debia finalizar 9 conceptos tecnicos, de los cuales finalizo 8 oportunamente.</t>
  </si>
  <si>
    <t>A corte 31 de enero de 2020 se han expedido 8 actos administrativos que acogen el seguimiento a proyectos licenciados, los cuales corresponden a seguimientos vigencia actual</t>
  </si>
  <si>
    <t>A corte 31 de enero de 2020 el sector de Aguoquimicos  ha realizado 13 visitas de seguimiento</t>
  </si>
  <si>
    <t>A corte 29 de febrero de 2020 se han expedido 105 actos administrativos que acogen el seguimiento a proyectos licenciados, de los cuales 104 corresponden a vigencia actual y 1 a rezago 2019.</t>
  </si>
  <si>
    <t>A corte 29 de febrero de 2020 el sector de Aguoquimicos  ha realizado 22 visitas de seguimiento</t>
  </si>
  <si>
    <t>A corte 31 de marzo de 2020 se han expedido 216 actos administrativos que acogen el seguimiento a proyectos licenciados, de los cuales 215 corresponden a vigencia actual y 1 a rezago 2019.</t>
  </si>
  <si>
    <t>A corte 31 de marzo de 2020 el sector de Aguoquimicos  ha realizado 26 visitas de seguimiento</t>
  </si>
  <si>
    <t xml:space="preserve">A corte 29 de febrero de 2020 el sector ha elaborado 9 CT con visita de seguimiemto de los cuales 8 corresponde a vigencia actual y 1 a rezago.    </t>
  </si>
  <si>
    <t xml:space="preserve">A corte 31 de marzo de 2020 el sector ha elaborado 9 CT con visita de seguimiemto de los cuales 23 corresponde a vigencia actual y 1 a rezago.    </t>
  </si>
  <si>
    <t xml:space="preserve">A corte 31 de enero de 2020 el sector no ha elaborado 57 CT documentales de seguimiemto    </t>
  </si>
  <si>
    <t xml:space="preserve">A corte 29 de febrero de 2020 el sector ha elaborado 154 CT documentales de seguimiemto    </t>
  </si>
  <si>
    <t xml:space="preserve">A corte 31 de marzo de 2020 el sector ha elaborado 261 CT documentales de seguimiemto    </t>
  </si>
  <si>
    <t>Compensación y 1%</t>
  </si>
  <si>
    <t>Número de Actos administrativos numerados que incluyen el componente de inversión y 1% en cumplimiento Art. 321 PND</t>
  </si>
  <si>
    <t>Número de actos administrativos que acogen el seguimiento realizado a los expedientes priorizados con la obligación de inversión 1%</t>
  </si>
  <si>
    <t>YESENIA VASQUEZ AGUILERA [Líder]</t>
  </si>
  <si>
    <t xml:space="preserve">Durante el mes de enero de 2020, se adelanto 12 Oficios  de solictud  de información complementaria derivada del análisis de información en virtud del Articulo 321 de la Ley 1955.  De los anteriores 9 son de conceptos emitidos en vigencia 2019 y 3 de conceptos emitidos en vigencia 2020.
Adicionalemente se han expedido 108 Conceptos técnicos de análisis de información en virtud del Articulo 321 de la Ley 1955. </t>
  </si>
  <si>
    <t xml:space="preserve">A corte 29 de  febrero de 2020 se adelantaron 35 Oficios  de solictud  de información complementaria derivada del análisis de información en virtud del Articulo 321 de la Ley 1955 y  tres (3) Resoluciones.  De los anteriores 15 son de conceptos emitidos en vigencia 2019 y 23 de conceptos emitidos en vigencia 2020.
En lo corrido de la vigencia se han expedido 210 Conceptos técnicos de análisis de información en virtud del Articulo 321 de la Ley 1955. </t>
  </si>
  <si>
    <t xml:space="preserve">A corte 31 de marzo de 2020 se adelantaron 55 Oficios  de solictud  de información complementaria derivada del análisis de información en virtud del Articulo 321 de la Ley 1955 y 46 Resoluciones.  
En lo corrido de la vigencia se han expedido 305 Conceptos técnicos de análisis de información en virtud del Articulo 321 de la Ley 1955. </t>
  </si>
  <si>
    <t>Avance estrategia para la inversión del 1% y compensación en territorio</t>
  </si>
  <si>
    <t>Numero de áreas donde se desarrollen acciones de conservación, preservación y restauración con cargo al 1% y a la compensación ambiental/Total de áreas habilitadas por la estrategia para Compensación y 1%</t>
  </si>
  <si>
    <t>A corte 31 de enero de 2020 se ha avanzado en 370 hectareas donde se desarrollan acciones de conservación, preservación y restauración con cargo al 1% y a la compensación ambiental
El denominador del Indicador esta asociado al 10% de la Meta Transformacional de deforestación competencia ANLA que corresponde a 3150 Hectáreas</t>
  </si>
  <si>
    <t>A corte 29 de febrero de 2020 se ha avanzado en 436,58 hectareas donde se desarrollan acciones de conservación, preservación y restauración con cargo al 1% y a la compensación ambiental
El denominador del Indicador esta asociado al 10% de la Meta Transformacional de deforestación de competencia dfe la   ANLA que corresponde a 3150 Hectáreas</t>
  </si>
  <si>
    <t>A corte 31 de marzo de 2020 se ha avanzado en 537,58 hectareas donde se desarrollan acciones de conservación, preservación y restauración con cargo al 1% y a la compensación ambiental
El denominador del Indicador esta asociado al 10% de la Meta Transformacional de deforestación de competencia dfe la   ANLA que corresponde a 3150 Hectáreas</t>
  </si>
  <si>
    <t>Número de actos administrativos que acogen el seguimiento realizado a los expedientes priorizados de Inversión y 1% en licenciamiento ambiental</t>
  </si>
  <si>
    <t>Número de pronunciamientos sobre proyectos que tienen la obligación de compensación, recursos de reposición y sancionatorios</t>
  </si>
  <si>
    <t xml:space="preserve">Durante el mes de enero de 2020 se elaboraron 3 Conceptos técnicos de análisis de información en virtud  de las compensaciones Ambientales, sin embargo no se ha emitido ningun acto administrativo. </t>
  </si>
  <si>
    <t xml:space="preserve">A corte febrero de 2020 se elaboraron 6 Conceptos técnicos de análisis de información en virtud  de las compensaciones Ambientales, de los cuales se expidio 1 acto administrativo. </t>
  </si>
  <si>
    <t xml:space="preserve">A corte 31 de marzo de 2020 se elaboraron 11 Conceptos técnicos de análisis de información en virtud  de las compensaciones Ambientales, de los cuales se expidio 4 actos administrativos </t>
  </si>
  <si>
    <t>N.A</t>
  </si>
  <si>
    <t>Contingencias</t>
  </si>
  <si>
    <t>Número de seguimientos finalizados desde el componente de riesgos y contingencias</t>
  </si>
  <si>
    <t>Número de actos administrativos finalizados desde el componente de riesgos y Contingencias</t>
  </si>
  <si>
    <t>Número de Conceptos técnicos de seguimiento priorizados por los sectores finalizados desde el componente de riesgos y contingencias</t>
  </si>
  <si>
    <t>Número de Conceptos técnicos de seguimiento finalizados desde el componente de Riegos y Contingencias</t>
  </si>
  <si>
    <t>GLADYS PUERTO CASTRO [Líder]</t>
  </si>
  <si>
    <t>A corte 31 de enero de 2020, el indicador no registra avance, la contratacion del profesional revisor juridico y profesional tecnico  que apoyaran esta actividad, esta programada para el mes de marzo de 2020</t>
  </si>
  <si>
    <t>A corte 31 de enero de 2020, el indicador no registra avance, el grupo viene apoyando la finalizacion de los seguimientos pendientes de la vigencia 2019.</t>
  </si>
  <si>
    <t>A corte 29 de febrero de 2020, el indicador no registra avance, la contratacion del profesional revisor juridico y profesional tecnico  que apoyaran esta actividad, esta programada para el mes de marzo de 2020</t>
  </si>
  <si>
    <t>A corte 29 de febrero de 2020, se registran 17 CT finalizados que contienen el componente de Riegos y Contingencias, de los apoyos brindados a los sectores en el seguimiento a  proyectos priorizados en la vigencia.</t>
  </si>
  <si>
    <t>A corte 31 marzo de 2020, el indicador no registra avance, la contratacion del profesional revisor juridico que apoyaran esta actividad, se reprogramo para el mes de abril de 2020.</t>
  </si>
  <si>
    <t>A corte 31 de marzo de 2020, se registran 76 CT finalizados que contienen el componente de Riegos y Contingencias, de los apoyos brindados a los sectores en el seguimiento a  proyectos priorizados en la vigencia.</t>
  </si>
  <si>
    <t>Porcentaje de actos administrativos de evaluación finalizados desde el componente de Riesgos y Contingencias</t>
  </si>
  <si>
    <t>Numero de Actos administrativos de evaluación finalizados con el componente de Riesgos y Contingencias/ Número de solicitudes allegadas de evaluación que deben incluir el componente de Riesgos y Contingencias</t>
  </si>
  <si>
    <t>A corte 31 de enero de 2020, el grupo cuenta con 27 solicitudes de evaluación que debe incluir el componente de Riesgos y Contingencias, a la fecha de corte se han finalizado con AA 2.</t>
  </si>
  <si>
    <t>A corte 29 de febrero de 2020, el grupo ha revisado 18 CT que incluye el componente de Riesgos y Contingencias, de los cuales 11 se han acogido con AA.</t>
  </si>
  <si>
    <t>A corte  31 de marzo de 2020, el grupo ha revisado 23 CT que incluye el componente de Riesgos y Contingencias, de los cuales 16 se han acogido con AA.</t>
  </si>
  <si>
    <t>Seguimiento a expedientes de vigencias anteriores por contingencias recurrentes</t>
  </si>
  <si>
    <t># de actos administrativos que acogen el seguimiento realizado a los expedientes priorizados de contingencias</t>
  </si>
  <si>
    <t>A corte 31 de enero de 2020, el indicador no registra avance, se esta realizando la verificacion con los sectores, para que estos expedientes sean priorizados para su seguimiento.</t>
  </si>
  <si>
    <t>A corte 29 de febrero de 2020, el indicador no registra avance, se esta realizando la verificacion con los sectores, para que estos expedientes sean priorizados para su seguimiento.</t>
  </si>
  <si>
    <t>A corte 31 de marzo de 2020, el indicador no registra avance, se esta realizando la verificacion con los sectores, para que estos expedientes sean priorizados para su seguimiento. Dos expedientes LAM0332 y LAM4409 cuenta con CT pendiente por acoger.</t>
  </si>
  <si>
    <t>Gestionar el conocimiento y la innovación en los procesos de evaluación y seguimiento de las licencias, permisos y trámites ambientales con transparencia</t>
  </si>
  <si>
    <t>Geomática Operativa</t>
  </si>
  <si>
    <t>Documentos de revisión de información geográfica de proyectos de evaluación</t>
  </si>
  <si>
    <t># de documentos de revisión de información geográfica de proyectos de evaluación.</t>
  </si>
  <si>
    <t>A corte 31 de enero de 2020 el grupo de Geomatica ha revisado 23 documentos de información geográfica de los cuales:
*17 corresponden a VPD
* 6 de información adicional</t>
  </si>
  <si>
    <t>A corte 29 de febrero de 2020 el grupo de Geomatica ha revisado 43 documentos de información geográfica de los cuales:
*28 corresponden a VPD
* 15 de información adicional</t>
  </si>
  <si>
    <t>A corte 31 de marzo de 2020 el grupo de Geomatica ha revisado 55 documentos de información geográfica de los cuales:
*38 corresponden a VPD
* 17 de información adicional</t>
  </si>
  <si>
    <t>Documentos de revisión de información geográfica de proyectos de seguimiento</t>
  </si>
  <si>
    <t># de documentos de revisión de información geográfica de proyectos</t>
  </si>
  <si>
    <t>A corte 31 de enero de 2020 el grupo de Geomatica ha revisado 311 ICAs.  
En lo corrido de la vigencia se han allegado 285 ICAs y se tienen 914  rezagos de vigencias anteriores pendientes por revision.</t>
  </si>
  <si>
    <t>A corte 29 de febrero de 2020 el grupo de Geomatica ha revisado 752 ICAs.  
En lo corrido de la vigencia se han allegado 381 ICAs y se tienen 866  rezagos de vigencias anteriores pendientes por revision, para un total 1247.</t>
  </si>
  <si>
    <t xml:space="preserve">A corte  31 de marzo de 2020 el grupo de Geomatica ha revisado 1207 ICAs.  </t>
  </si>
  <si>
    <t>Proyectos licenciados con Indice de Desempeño Ambiental</t>
  </si>
  <si>
    <t>Número de proyectos en seguimiento con aplicación de la metodología del Indice de Desempeño Ambiental</t>
  </si>
  <si>
    <t>Indicador programado para medir a partir del segundo semestre del año 2020</t>
  </si>
  <si>
    <t>Documentos de Seguimiento Documental Espacial de proyectos en etapa de seguimiento</t>
  </si>
  <si>
    <t># de documentos de Seguimiento Documental Espacial de proyectos en etapa de seguimiento</t>
  </si>
  <si>
    <t>A corte 31 de enero de 2020 el grupo de Geomatica ha elaborado 23 documentos de Seguimiento Documental Espacial-SDE de proyectos en etapa de seguimiento</t>
  </si>
  <si>
    <t>A corte 29 de febrero de 2020 el grupo de Geomatica ha elaborado 70 documentos de Seguimiento Documental Espacial-SDE de proyectos en etapa de seguimiento</t>
  </si>
  <si>
    <t>A corte 31 de marzo de 2020 el grupo de Geomatica ha elaborado 109 documentos de Seguimiento Documental Espacial-SDE de proyectos en etapa de seguimiento</t>
  </si>
  <si>
    <t>Fortalecimiento organizacional y simplificación de procesos</t>
  </si>
  <si>
    <t>RASP</t>
  </si>
  <si>
    <t>Porcentaje de cambios menores y giros ordinarios resueltos oportunamente</t>
  </si>
  <si>
    <t>(Número de Cambios menores y giros ordinarios resueltos en términos /Total de Cambios menores y giros ordinarios con vencimiento de términos) * 100</t>
  </si>
  <si>
    <t>ANDREA ESTEBAN TORRES [Coordinador(a)]</t>
  </si>
  <si>
    <t>Durante el mes de Enero de 2020, se tuvieron 53 actividades con vencimiento de terminos, de las cuales 50 Cambios mejores y(o Giros Ordinarios se respondieron oportunamente. Esta gestión arroja una porcentaje de oportunidad del 94%.</t>
  </si>
  <si>
    <t>A corte febrero de 2020, se tuvieron 101 actividades con vencimiento de terminos, de las cuales 98 Cambios mejores y Giros Ordinarios se respondieron oportunamente. Esta gestión arroja una porcentaje de oportunidad del 97%.</t>
  </si>
  <si>
    <t>A corte 31 de marzo de 2020, se tuvieron 141 actividades con vencimiento de terminos, de las cuales 134 Cambios mejores y Giros Ordinarios se respondieron oportunamente. Esta gestión arroja una porcentaje de oportunidad del 97%.</t>
  </si>
  <si>
    <t>Porcentaje de cumplimiento de los términos para la verificación preliminar de los ICA</t>
  </si>
  <si>
    <t>(Número ICAS revisados oportunamente /número de ICAS recibidos con vencimiento de términos) * 100</t>
  </si>
  <si>
    <t>Durante el periodo se tuvieron un total de 182 actividades con vencimiento en el mes de Enero de 2020.  Del total de estas actividades, 115 actividades fueron finalizadas dentro de los términos establecidos</t>
  </si>
  <si>
    <t>A corte febrero de 2020, se tuvieron un total de 413 actividades con vencimiento, de las cuales 274 actividades fueron finalizadas dentro de los términos establecidos</t>
  </si>
  <si>
    <t>A corte marzo de 2020, se tuvieron un total de 613 actividades con vencimiento, de las cuales 449 actividades fueron finalizadas dentro de los términos establecidos</t>
  </si>
  <si>
    <t>Porcentaje de autos de inicio emitidos oportunamente</t>
  </si>
  <si>
    <t>(Número de Autos de inicio emitidos en términos / número de Autos emitidos con vencimiento de términos)*100</t>
  </si>
  <si>
    <t>A corte 31 de enero de 2020, debian emitirse 2  autos de inicio de las VPD ingresadas y aprobadas en el mes, los cuales fueron expedidos oportunamente. Por ser un indicador que se mide por primera vez en la entidad, para su calculo solo se toma informacion a partir de la vigencia 2020.</t>
  </si>
  <si>
    <t>A corte 29 de febrero de 2020 debian emitirse 17 autos de inicio de las VPD ingresadas y aprobadas en el periodo, de los cuales 7 fueron expedidos oportunamente.</t>
  </si>
  <si>
    <t>A corte 31 de marzo de 2020 debian emitirse 24 autos de inicio de las VPD ingresadas y aprobadas en el periodo, de los cuales 13 fueron expedidos oportunamente.</t>
  </si>
  <si>
    <t>Porcentaje de VPD con respuesta oportuna</t>
  </si>
  <si>
    <t>(Numero VPD finalizados en términos / número de VPD con vencimiento de términos)*100</t>
  </si>
  <si>
    <t>A corte 31 de enero de 2020, han ingresado a la entidad 14 VPD, de las cuales 6 tenian vencimiento de teriminos y fueron revisadas oprotunamente. Dando como resultado 2 VPD aprobadas. Por ser un indicador que se mide por primera vez en la entidad, para su calculo solo se toma informacion a partir de la vigencia 2020.</t>
  </si>
  <si>
    <t xml:space="preserve">A corte 29 de febrero de 2020, 44 VPD tenian vencimiento de teriminos de las cuales 33 fueron revisadas oprotunamente. </t>
  </si>
  <si>
    <t xml:space="preserve">A corte 31 de marzo de 2020, 57 VPD tenian vencimiento de teriminos de las cuales 47 fueron revisadas oprotunamente. </t>
  </si>
  <si>
    <t>Contribuir a la implementación de un modelo de gestión pública efectivo, orientado a resultados y a la satisfacción de sus grupos de interés</t>
  </si>
  <si>
    <t>Gestión documental</t>
  </si>
  <si>
    <t>Porcentaje de Derechos de petición a solicitudes prioritarias finalizados oportunamente</t>
  </si>
  <si>
    <t>(Numero de DPE finalizados en términos / Total DPE con vencimiento de terminos)*100</t>
  </si>
  <si>
    <t>Durante el mes de Enero de 2020, se finalizaron 68 derechos de petición dentro de los términos establecidos. De un total de 68 actividades con vencimiento en el mes. Esta gestión arroja una porcentaje de oportunidad del 97,7%.</t>
  </si>
  <si>
    <t>A corte febrero de 2020, se finalizaron 178 derechos de petición dentro de los términos establecidos. De un total de 178 actividades con vencimiento en el periodo. Esta gestión arroja una porcentaje de oportunidad del 100%.</t>
  </si>
  <si>
    <t>A corte marzo de 2020, se finalizaron 305 derechos de petición dentro de los términos establecidos. De un total de 308 actividades con vencimiento en el periodo. Esta gestión arroja una porcentaje de oportunidad del 99%.</t>
  </si>
  <si>
    <t>Porcentaje de Solicitudes prioritarias de entes de control (ECOS) finalizados oportunamente</t>
  </si>
  <si>
    <t>(Número de ECO finalizados en términos / número de ECO con vencimiento de términos)*100</t>
  </si>
  <si>
    <t>Durante el mes de Enero de 2020, se finalizaron 42 derechos de petición dentro de los términos establecidos de un total de 43 actividades con vencimiento en el  periodo evaluado. Esta gestión arroja una porcentaje de oportunidad del 100%.</t>
  </si>
  <si>
    <t>A corte febrero de 2020, se finalizaron 104 ECOS dentro de los términos establecidos de un total de 107 actividades con vencimiento en el  periodo evaluado. Esta gestión arroja una porcentaje de oportunidad del 97,2%.</t>
  </si>
  <si>
    <t>A corte marzo de 2020, se finalizaron 171 ECOS dentro de los términos establecidos de un total de 174 actividades con vencimiento en el  periodo evaluado. Esta gestión arroja una porcentaje de oportunidad del 98.3%.</t>
  </si>
  <si>
    <t>Valoración Económica</t>
  </si>
  <si>
    <t>Porcentaje de Conceptos técnicos de seguimiento finalizados que incluyen el componente de valoración económica en  licenciamiento ambiental</t>
  </si>
  <si>
    <t>(# de conceptos técnicos de seguimiento finalizados que incluyen el componente de valoración económica/Total de conceptos técnicos de seguimiento revisados por profesionales de valoración económica) * 100</t>
  </si>
  <si>
    <t>YOLANDA CASALLAS ABRIL [Líder]</t>
  </si>
  <si>
    <t>Durante el mes de enero fueron asignados un total de 23 expedientes para el seguimiento en valoración económica, de estos trámites fueron finalizados desde valoración económica dos expedientes</t>
  </si>
  <si>
    <t>A corte 29 de febrero de 2020 se han asignado un total de 56  expedientes para el seguimiento del componente de valoración económica, de los cuales 13 han sido revisados por el grupo y  10 de estos conceptos tecnicos finalizados y numerados desde los sectores.</t>
  </si>
  <si>
    <t>A corte 31 de marzo de 2020 se han asignado un total de 78 expedientes para el seguimiento del componente de valoración económica, de los cuales 47 han sido rfinalizados desde el grupo   de valoracion economica  y  35 de estos conceptos tecnicos han sido finalizados y numerados desde los sectores.</t>
  </si>
  <si>
    <t>Porcentaje de Conceptos técnicos de evaluación que incluyen el componente de valoración económica en la etapa de evaluación de licenciamiento ambiental</t>
  </si>
  <si>
    <t>(# de conceptos técnicos de evaluación finalizados que incluyen el componente de valoración económica/Total de conceptos técnicos de evaluación revisados por profesionales de valoración económica) * 100</t>
  </si>
  <si>
    <t>Durante el mes de enero fueron asignados un total de 30 expedientes para la evaluación de DAA, licencia Ambiental, Modificación de licencia en valoración económica , de estos trámites fueron finalizados desde valoración económica 5 expedientes.</t>
  </si>
  <si>
    <t>A corte 29 de febrero de 2020 se han asignado un total de 36  expedientes para la evaluacion del componente de valoración económica, de los cuales 12 han sido revisados por el grupo y  8 de estos conceptos tecnicos finalizados y numerados desde los sectores.</t>
  </si>
  <si>
    <t>A corte 31 de marzo de 2020 se han asignado un total de 37 expedientes para la evaluacion del componente de valoración económica (incluidas nuevas licencias, modificaciones de licencia, modificaciones de PMA, respuesta a recursos de reposicion y evaluacion de DAA) de los cuales 18 han sido revisados por el grupo y  14 de estos conceptos tecnicos han sido finalizados y numerados desde los sectores.</t>
  </si>
  <si>
    <t>Promedio de avance en metas de Producto SES</t>
  </si>
  <si>
    <t>Promedio de avance en metas de Gestión SES</t>
  </si>
  <si>
    <t>Direccionamiento Estratégico y Planeación</t>
  </si>
  <si>
    <t>Planeación Institucional</t>
  </si>
  <si>
    <t>Estratégico</t>
  </si>
  <si>
    <t>Orientación estratégica</t>
  </si>
  <si>
    <t>Planeación estratégica</t>
  </si>
  <si>
    <t>Oficina Asesora de Planeación</t>
  </si>
  <si>
    <t>Número de documentos de planeación realizados</t>
  </si>
  <si>
    <t># de documentos elaborados</t>
  </si>
  <si>
    <t>Porcentaje de avance en la elaboración de los planes de acción de las políticas del MIPG</t>
  </si>
  <si>
    <t xml:space="preserve">
∑= Suma de todas los planes de acción programados desde 1 hasta n (i); \nwi= peso porcentual para cada plan de acción; Xi= Valor del plan de acción</t>
  </si>
  <si>
    <t>Jefe Oficina Asesora de Planeación</t>
  </si>
  <si>
    <t>No se reporta avance para el mes de enero</t>
  </si>
  <si>
    <t>Durante el mes de febrero no se presentan avances para este indicador</t>
  </si>
  <si>
    <t>Se empezó con la planeación para la formulación, por esta razón a 29 de febrero no se cuenta con avance en la formulación de estos siete planes</t>
  </si>
  <si>
    <t>A 31 de marzo se cuenta con 9% de avance en la elaboración de los 11 documentos</t>
  </si>
  <si>
    <t>Al corte de marzo 31 no se ha presentado para aprobación ninguno de los planes priorizados para la vigencia 2020.</t>
  </si>
  <si>
    <t>Porcentaje de avance en la elaboración del Mapa de conocimiento explícito de la entidad</t>
  </si>
  <si>
    <t>No se cuenta con avance para el mes de febrero</t>
  </si>
  <si>
    <t>Se elaboró el plan de trabajo para la elaboración del mapa de conocimiento para la entidad.</t>
  </si>
  <si>
    <t>Porcentaje de avance en la elaboración de la estrategia de seguimiento</t>
  </si>
  <si>
    <t>Se establecieron componentes, ruta de trabajo para la estrategia y se socializo con las dependencias interesadas.</t>
  </si>
  <si>
    <t>6,5%</t>
  </si>
  <si>
    <t>18,5%</t>
  </si>
  <si>
    <t xml:space="preserve">Se estableció la regionalización de los proyectos, se dividió la subdirección de seguimiento por regiones (4 regiones y un sector económico - agroquímicos)
Se ajusto SILA, para la clasificación de los proyectos por región hidrográfica
Se establecieron criterios de definición de proyectos activos, por etapa y subastado.
La periodicidad de los seguimientos se estableció de acuerdo con lo establecido en las resoluciones de otorgamiento del instrumento de control ambiental. </t>
  </si>
  <si>
    <t>Porcentaje de avance en la elaboración de insumos para la misión de licenciamiento ambiental</t>
  </si>
  <si>
    <t>Se estableció el cronograma de trabajo y los hitos principales</t>
  </si>
  <si>
    <t>Porcentaje de avance en la elaboración de la estrategia de evaluación con énfasis en planeación sectorial</t>
  </si>
  <si>
    <t>Se estableció el cronograma de trabajo y los hitos principales
Se tiene propuesta de componentes de diagnostico para ser cuantificados en el mes de abril</t>
  </si>
  <si>
    <t>Porcentaje de ejecución del Plan de Acción Institucional</t>
  </si>
  <si>
    <t>Porcentaje de avance en la ejecución del Plan de Acción Institucional</t>
  </si>
  <si>
    <t>Porcentaje de avance en la elaboración del tablero de control para temas estratégicos</t>
  </si>
  <si>
    <t>A corte 29 de febrero se cuenta con el plan de trabajo para el tablero estratégico y la primera propuesta de indicadores</t>
  </si>
  <si>
    <t>27,9%</t>
  </si>
  <si>
    <t>Se presentó mapa conceptual del tablero de control, se identificaron los posibles indicadores de impacto, asimismo, se ha ido avanzando en la construcción de un indicador lucha contra la corrupción, y las variables macroeconómicas que servirán como insumo al tablero</t>
  </si>
  <si>
    <t>Herramientas para el seguimiento a metas institucionales</t>
  </si>
  <si>
    <t># herramientas diseñadas</t>
  </si>
  <si>
    <t>Porcentaje de implementación de la herramienta de control de términos en seguimiento de licencias ambientales</t>
  </si>
  <si>
    <t>A la fecha se cuenta con un 46% de avance en este indicador, el cual responde al promedio del avance de las tres herramientas programadas (evaluación licencias, seguimiento licencias y permisos y trámites)</t>
  </si>
  <si>
    <t>Se realizaron los siguientes cambios :
    1) Realizar Cambios de Inicio
    2) Realizar Cambios en Hitos Principales
    3) Actualizar Proyectos Activos
    4) Actualizar Filtros
    5) Actualizar Reportes
    6) Integración de OELA
    7) Actualizar Recursos de Reposición
   8) Se implementaron los numeros       telefonicos</t>
  </si>
  <si>
    <t>A 31 de marzo se cuenta con un 60% de avance en los desarrollos de las herramientas institucionales programadas para la vigencia</t>
  </si>
  <si>
    <t>Se realizaron los siguientes cambios :
    1) Realizar Cambios de Inicio
    2) Realizar Cambios en Hitos Principales
    3) Actualizar Proyectos Activos
    4) Actualizar Filtros
    5) Actualizar Reportes
    6) Integración de OELA
    7) Actualizar Recursos de Reposición
   8) Se implementaron los números telefónicos
   9) Elaborar módulo de SDE
   10 Elaborar módulo de VPI
   11) Realizar alertas
   12) Realizar mapeo de proyectos
   13) Realizar trazabilidad anual</t>
  </si>
  <si>
    <t>Porcentaje de implementación de la herramienta de control de términos para permisos y trámites</t>
  </si>
  <si>
    <t>Se realizaron los siguientes cambios :
    1) Entrega de usuarios para validación
    2) Elaborar Módulo VDI
    3) Elaborar Reporte Visitas
    4) Elaborar Reporte Conceptos
    4) Elaborar Reporte Actos</t>
  </si>
  <si>
    <t>Se realizaron los siguientes cambios :
    1) Entrega de usuarios para validación
    2) Elaborar Módulo VDI
    3) Elaborar Reporte Visitas
    4) Elaborar Reporte Conceptos
    4) Elaborar Reporte Actos
    5) Actualización de trámites</t>
  </si>
  <si>
    <t>Porcentaje de implementación de la herramienta de planeación institucional</t>
  </si>
  <si>
    <t>Se realizaron los siguientes cambios :
    1) Elaborar Módulo MIPG
    2) Elaborar Módulo PEI
    3) Elaborar Reporte PAA
    4) Elaborar Reporte PAI
    5) Culminar Módulo de CDP
    6) Módulo de Modificaciones Ver 1.0
    7) Avance en Módulo de Calidad</t>
  </si>
  <si>
    <t xml:space="preserve">	
Se realizaron los siguientes cambios :
    1) Elaborar Módulo MIPG
    2) Elaborar Módulo PEI
    3) Elaborar Reporte PAA
    4) Elaborar Reporte PAI
    5) Culminar Módulo de CDP
    6) Módulo de Modificaciones Ver 1.0
    7) Avance en Módulo de Calidad
    8) Importador SIIF
    9) Actualizar Reportes para ver el valor de los RP y saldos disponibles
10) Actualizar estructura</t>
  </si>
  <si>
    <t>Talento Humano</t>
  </si>
  <si>
    <t>Talleres o actividades de capacitación realizadas</t>
  </si>
  <si>
    <t># de actividades de capacitación/actualización a colaboradores realizadas</t>
  </si>
  <si>
    <t>Se realizó la capacitación de indicadores para las dependencias de la entidad</t>
  </si>
  <si>
    <t>Durante el mes de marzo no se realizó ninguna capacitación</t>
  </si>
  <si>
    <t>Porcentaje de avance en la actualización del mapa de procesos</t>
  </si>
  <si>
    <t>Se presenta un avance del 6% de plan de trabajo establecido para este indicador</t>
  </si>
  <si>
    <t>Gestión de recursos</t>
  </si>
  <si>
    <t>Porcentaje de avance en el ajuste de los proyectos de inversión de la entidad</t>
  </si>
  <si>
    <t>A corte 29 de febrero se cuenta con la propuesta del árbol de problemas</t>
  </si>
  <si>
    <t>De acuerdo al plan de trabajo establecido, este indicador presenta un avance del 55% para el mes de marzo</t>
  </si>
  <si>
    <t>PROMEDIO INDICADORES PRODUCTO</t>
  </si>
  <si>
    <t>PROMEDIO INDICADORES GESTIÓN</t>
  </si>
  <si>
    <t>Evaluación y resultados</t>
  </si>
  <si>
    <t>Gestión de permisos y trámites ambientales</t>
  </si>
  <si>
    <t>Subdirección de Instrumentos, Permisos y Trámites Ambientales</t>
  </si>
  <si>
    <t>Permisos y Trámites Ambientales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</si>
  <si>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</si>
  <si>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</si>
  <si>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</si>
  <si>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</si>
  <si>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Subdirector de Instrumentos, Permisos y Trámites Ambientales</t>
  </si>
  <si>
    <t>Para la vigencia 2020 se estableció como meta la producción de 21.422 AA de evaluación; durante  enero se realizaron 1752 AA que lo corresponde a un avance del 8% frente a la meta.  VUCE participó con el 88.07% de esta producción, seguido de Beneficios Tributrarios con una participación de 4.74% y Prueba Dinámica con 4.22%</t>
  </si>
  <si>
    <t>El indicador de conceptos técnicos para resolver solicitudes de evaluación de permisos y trámites ambientales debe alcanzar 2700 CT gestionados durante 2020; en enero se logró gestionar 140 CT de evaluación, representando un avance en la meta del 5%. Durante este mes el equipo que mayor participación tuvo en la gestión de conceptos tecnicos fue Prueba Dinámica con una participación del 58% del total de la producción del mes, seguido de Diversidad Bilógica con el 20% y Beneficios tributarios con el 19%.</t>
  </si>
  <si>
    <t>Para la vigencia 2020 se estableció como meta la producción de 21.422 AA de evaluación; a corte del mes de febrero, se realizaron 3515 AA que lo corresponde a un avance del 16% frente a la meta.  VUCE participó con el 88.88% de esta producción, seguido de Prueba Dinámica con una participación de 4.75% y Beneficios Tributrarios  con 3.44%</t>
  </si>
  <si>
    <t>El indicador de conceptos técnicos para resolver solicitudes de evaluación de permisos y trámites ambientales debe alcanzar 2700 CT gestionados durante 2020; El avance de gestión para el mes de febrero es de 394 CT de evaluación, representando un avance en la meta del 15%. Durante este mes el equipo que mayor participación tuvo en la gestión de conceptos tecnicos fue Prueba Dinámica con una participación del 60 % del total de la producción del mes, seguido de Diversidad Bilógica con el 18 % y Beneficios tributarios con el 18%.</t>
  </si>
  <si>
    <t>Al 31 de marzo se gestionaron 5.007 AA para resolver solicitudes de evaluación de Permisos y Trámites ambientales. El sector que mayor participación tiene en este avance es VUCE,  88.5%, seguido de Prueba Dinámica con el 5.5% y Beneficios Tributarios con el 3.3%. Durante el primer trimestre del año se logró un avance del  23%, respecto a la meta de 21.422  AA  de evaluación de Permisos y trámites ambientales planteada  la vigencia 2020.</t>
  </si>
  <si>
    <t>El indicador de conceptos técnicos para resolver solicitudes de evaluación de permisos y trámites ambientales, al 31 de marzo alcanzó un avance total  del 24% respecto a la meta de 2.700 CT durante la vigencia 2020, es decir, 647 CT.  Prueba Dinámica es el sector que más ha aportado a este avance, 369 CT de Prueba Dinámica que representan el 57% del avance, seguido de Beneficios Tributarios con 21.6% y Diversidad Biológica con 18.3%.</t>
  </si>
  <si>
    <t>Visitas técnicas de evaluación</t>
  </si>
  <si>
    <t># de visitas de evaluación realizadas</t>
  </si>
  <si>
    <t>Corresponde a permisos fuera de licencia</t>
  </si>
  <si>
    <t>Se registran con corte  a 29 de febrero 6 visitas de evaluación en el área de Permisos Fuera de Licencia</t>
  </si>
  <si>
    <t>Se registran con corte  a 31 de marzo 8 visitas de evaluación. Se realizaron en el área de Permisos Fuera de Licencia</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</si>
  <si>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</si>
  <si>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</si>
  <si>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</si>
  <si>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</si>
  <si>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Durante 2020 de debe alcanzar una producción de 816 AA para resolver segumiento a permisos otorgados, en enero se realizaron 14 AA de segumiento, es decir, se tuvo un avance del 1.72% frente a la meta. Los grupos que participaron en este avance fueron Diversidad Biológica con el 93% y Permisos Fuera de Licencia con el 7%.</t>
  </si>
  <si>
    <t>El indicador de conceptos técnicos para seguimiento a permisos otorgados  debe alcanzar 816 CT gestionados durante 2020; en enero se logró gestionar 27 CT de seguimiento, esto representa un avance en la meta del 3.31%. Durante este mes el equipo que mayor participación tuvo en la gestión de conceptos tecnicos fue Diversidad Biológica con una participación del 94%,  seguido de Permisos fuera de Licencia con el 4%..</t>
  </si>
  <si>
    <t>Durante 2020 de debe alcanzar una producción de 816 AA para resolver segumiento a permisos otorgados, al finalizar el mes de febrero, se realizaron 42 AA de segumiento, es decir, se tuvo un avance del 4.90% frente a la meta. Los grupos que participaron en este avance fueron Diversidad Biológica con el 81% y Permisos Fuera de Licencia con el 8% y Psoconsumo con 7%.</t>
  </si>
  <si>
    <t>El indicador de conceptos técnicos para seguimiento a permisos otorgados  debe alcanzar 816 CT gestionados durante 2020; al corte del mes de febrero se logró gestionar 59 CT de seguimiento, esto representa un avance en la meta del 7.28%. Durante este mes el equipo que mayor participación tuvo en la gestión de conceptos tecnicos fue Diversidad Biológica con una participación del 71%,  seguido de Permisos fuera de Licencia con el 17% y Posconsumo con el 12%.</t>
  </si>
  <si>
    <t>La meta de Actos Administrativos  que acogen el seguimiento a permisos otorgados para la vigencia 2020 se proyectó en 816 AA,  durante el primer trimestre del año se alcanzó un avance del 11.40% respeto a la meta, es decir, que al 31 de marzo se gestionaron 93 AA de seguimiento a permisos.  La participación de los sectores en este avance se dio de la siguiente manera:  Diversidad Biológica 63%, Permisos Fuera de Licencia 19% y Posconsumo 17%.</t>
  </si>
  <si>
    <t>Durante la vigencia 2020 se proyecta realizar 816 CT de seguimiento a permisos otorgados, al 31 de marzo se realizaron 123 CT de seguimiento, de los cuales 73 son del sector Diversidad Biológica,  28 Permisos Fuera de Licencia y 22 Poscosumo, con este avance se llega al 15% de la meta.</t>
  </si>
  <si>
    <t>Visitas técnicas de seguimiento</t>
  </si>
  <si>
    <t># de visitas de seguimiento realizadas</t>
  </si>
  <si>
    <t>Permisos fuera de licencia y posconsumo https://anla-my.sharepoint.com/:x:/r/personal/aromero_anla_gov_co/_layouts/15/Doc.aspx?sourcedoc=%7B555CC33D-3207-48E2-920F-9D96B04A9EDD%7D&amp;file=BASE%20DE%20DATOS%20VISITAS%20PAI%202020.xlsx&amp;action=default&amp;mobileredirect=true</t>
  </si>
  <si>
    <t>A corte del mes de febrero se realizaron 24 visitas de seguimento, reflejado en un avance del 6.6%. 17 visitas realizadas por Posconsumo y 7 por Permisos fuera de Licencia C:\Users\lluna\ANLA - Autoridad Nacional de Licencias Ambientales\Angela Patricia Romero Rodriguez (ANLA) - PAI 2020\Permisos\Febrero</t>
  </si>
  <si>
    <t>A corte de 31de marzo se realizaron 83 visitas de seguimento, reflejado en un avance del 23.12 %. 73 visitas realizadas por Posconsumo y 10 por Permisos fuera de Licencia C:\Users\lluna\ANLA - Autoridad Nacional de Licencias Ambientales\Angela Patricia Romero Rodriguez (ANLA) - PAI 2020\Permisos\Febrero</t>
  </si>
  <si>
    <t>Promedio de la reducción porcentual de los contaminantes emitidos por la flota de vehículos livianos y motocicletas al implementar la normativa vigente (Resolución 910 del 2008, modificada por la Resolución 1111 del 2013, o Resolución 2604 del 2009</t>
  </si>
  <si>
    <t>x ̅=1/n ∑_i^n▒x_i  
Promedio de la reducción en porcentaje de los contaminantes emitidos por la flota de vehículos livianos y motocicletas al implementar la normativa vigente. n: Cantidad de contaminantes x_i: Reducción en porcentaje del contaminante i emitido por la flota de vehículos livianos y motocicletas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</si>
  <si>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P.D</t>
  </si>
  <si>
    <t>Promedio de la reducción porcentual de los contaminantes emitidos por la flota de vehículos pesados al implementar la normativa vigente (Resolución 910 del 2008, modificada por la Resolución 1111 del 2013, o Resolución 2604 del 2009)</t>
  </si>
  <si>
    <t>x ̅=1/n ∑_i^n▒x_i x ̅
Promedio de la reducción en porcentaje de los contaminantes emitidos por la flota de vehículos pesados al implementar la normativa vigente. n: Cantidad de contaminantes x_i: Reducción en porcentaje del contaminante i emitido por la flota de vehículos pesados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</si>
  <si>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Porcentaje de cumplimiento de la meta de gestión de llantas</t>
  </si>
  <si>
    <t>Sumatoria total de llantas validadas/ sumatoria total de llantas de meta de gestión</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</si>
  <si>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</si>
  <si>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</si>
  <si>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</si>
  <si>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</si>
  <si>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pilas y/o acumuladores</t>
  </si>
  <si>
    <t>Sumatoria total de pilas y/o acumuladoras validadas/ sumatoria total de pilas y/o acumuladoras de meta de gestión</t>
  </si>
  <si>
    <t>Porcentaje de cumplimiento de la meta de gestión de computadores y/o perifericos validadas</t>
  </si>
  <si>
    <t>Sumatoria total de computadores y/o perifericos validadas/ sumatoria total de computadores y/o perifericos de meta de gestión</t>
  </si>
  <si>
    <t>Gestión con valores para el resultado</t>
  </si>
  <si>
    <t>Porcentaje de reprocesos por verificación de documentos inicial</t>
  </si>
  <si>
    <t>Número de devoluciones por verificación de documentos inicial /Número total de solicitudes</t>
  </si>
  <si>
    <t>En el mes de enero, las solicitudes de completitud de requisitos de inicio, reflejaron en un 8.1% de las 1992 solicitudes presentadas a corte de 31 de diciembre.</t>
  </si>
  <si>
    <t>Al corte del mes de febrero, las solicitudes de completitud de requisitos de inicio reflejaron un 7.3% de las 3902 solicitudes presentadas hasta 29 d efebrero de 2020</t>
  </si>
  <si>
    <t>Al 31 de marzo se realizaron 440 requerimientos de información información adicional sobre las 5.537 solicitudes recibidas,  esto representa un porcentaje de reproceso del 7.9%.</t>
  </si>
  <si>
    <t>Instrumentos y regionalización</t>
  </si>
  <si>
    <t>Porcentaje de gestión de Instrumentos técnicos de apoyo ambiental externo elaborados.</t>
  </si>
  <si>
    <t>Instrumentos De Gestión Y Control Optimizados.</t>
  </si>
  <si>
    <t>% de propuestas de instrumentos elaborados</t>
  </si>
  <si>
    <t>A 31 de enero se avanza en un 9% de los instrumentos de apoyo ambiental externo</t>
  </si>
  <si>
    <t>En el transcurso del mes de Enero se llevo a cabo el proceso de aseguramiento de los instrumentos de obligaciones mínimas Fase I,Desmantelamiento y Abandono de hidrocarburos y Periodicidad de ICAS(Expedientes: INS0012-00-2019, INS0018-002019, INS0014-00-2019).Con respecto al IDA hubo una priorización con el equipo detecnologías lo que permitió iniciar el proceso de análisis y diseño del tablero de control de este instrumento (Exp. INS-0013-00-2019)</t>
  </si>
  <si>
    <t>A 29 de febrero se avanza en un 14 % de los instrumentos de apoyo ambiental externo: D:\OneDrive - ANLA - Autoridad Nacional de Licencias Ambientales\NO MISIONAL\PAI 2020\Instrumentos</t>
  </si>
  <si>
    <t>A 31 de marzo se avanza en un 22 % de los instrumentos de apoyo ambiental externo: D:\OneDrive - ANLA - Autoridad Nacional de Licencias Ambientales\NO MISIONAL\PAI 2020\Instrumentos</t>
  </si>
  <si>
    <t xml:space="preserve">En el mes de Marzo, se registra un avance promedio de 42%,  se tuvo en cuenta la realización de reuniones de socialización con profesionales de la SES, con el fin de implementar herramientas necesarias para el entendimiento de los instrumentos que por este mes, cumplieron con el 100% en su fase de socialización como lo son: obligaciones mínimas, desmantelamiento y abandono en el sector hidrocarburos y Periodicidad ICA´S. Por tal motivo se da inicio a la implementación del mismo reportando el inicio de esta fase en un 46% para obligaciones mínimas un 100% para desmantelamiento y abandono (hidrocarburos), para el mes de abril se iniciarán estas actividades con periodicidad ICA´S. De otro modo se sigue trabajando con el desarrollo del instrumento Estandarización de fichas que a la fecha sigue en su etapa de desarrollo con un 37%, y el instrumento denominado cierre minería con un desarrollo del 38%. </t>
  </si>
  <si>
    <t>Solicitudes Atendidas</t>
  </si>
  <si>
    <t># de solicitudes de términos de referencia específicos atendidos</t>
  </si>
  <si>
    <t>A corte de 31 de enero se recibieron dos soicitudes que se encuentra en solicitud de conceptos previo al inicio de los hitos de desarrollo.</t>
  </si>
  <si>
    <t>Actualmente se adelanta información secundaria en relación con 3 solicitudes: 
1. Aprovechamiento de biosólidos en el predio Tequendama
2. Solicitud los términos de referencia para la elaboración de los estudios requeridos para la modificación del Plan de Manejo Ambiental, asociado al Expediente LAM-514, con el propósito de conocer los parámetros y condiciones para las actividades de mantenimiento requeridas en la central hidroeléctrica de Chivor
3. Solicitud de terminos de referencia para los tramites ambientales en las etapas de prefactibilidad, factibilidad y diseño con el fin de adelantar el estudio de una pequeña central hidroelectrica en el municipio de Nuqui, departamento del Chocó, que se traslapa con el Parque Nacional Natural Utria</t>
  </si>
  <si>
    <t>Racionalización de trámites</t>
  </si>
  <si>
    <t>Actos administrativos relacionados con la evaluación y/o modificación de Licencias Ambientales en áreas regionalizadas que incluyan condicionantes de análisis regional</t>
  </si>
  <si>
    <t>Número de actos administrativos relacionados con la evaluación de proyectos y/o modificación de Licencias Ambientales que incluyan condicionantes de análisis regional/Número de actos administrativos emitidos en áreas regionalizadas o relacionados con proyectos de alta complejidad</t>
  </si>
  <si>
    <t>Se registra un acto administrativo de otorgamiento emitido durante el mes de enero del proyecto Conconcreto (LAV0050-13), adicional a lo anterior, el equipo de evaluación y  seguimiento se encuentra apoyando la evaluación de 11 proyectos mas que se encuentran en el siguiente estado: 1.LAV033-00-2019 (Verderón) y 2. LAV0038-00-2109 (Bienparado). En revisión por parte de la coordinación de hidrocarburos. 3. LAM3816 (Campo Capella). En revisión por parte de líderes. 4. LAM0793 (PECIG). En espera de información adicional. 5. LAV0002-00-2020 (Cerromatoso), 6. LAV0041-13 (Pendare) y 7. LAM0761 (Reficar). En fase de campo. 8. LAV0012-00-2019. (Soto Norte). En elaboración de concepto. 9. LAV0052-00-2019 (Planeta Rica). En fase de preparación visita de campo. 10. LAV0001-00-2020. (Quebradona) y 11. LAV0004-00-2020 (Dragado de Cartagena). En fase de revisión de información radicada. De acuerdo a lo anterior se registran 12 solicitudes de apoyo en la evaluación, de las cuales 1 cuenta con acto administrativo.</t>
  </si>
  <si>
    <t>Se registra un acto administrativo de otorgamiento emitido durante el mes de enero del proyecto Conconcreto (LAV0050-13) Y y un acto administrativo de modificación de licencia en febrero del proyecto Campo Capella, adicional a lo anterior, el equipo de evaluación y  seguimiento se encuentra apoyando la evaluación de 11 proyectos mas que se encuentran en el siguiente estado: 1.LAV033-00-2019 (Verderón) y 2. LAV0038-00-2109 (Bienparado). Pendiente generación acto administrativo. 3. LAM0793 (PECIG) y 4. LAM0761 (Reficar). En espera de información adicional. 5. LAV0002-00-2020 (Cerromatoso),  6. LAV0052-00-2019 (Planeta Rica  y 7. LAV0004-00-2020 (Dragado de Cartagena) Preparando audiencia de información adicional. 8. LAV0041-13 (Pendare) 9. LAV0012-00-2019. (Soto Norte) y 10. LAV0017-00-2019 (La Virginia)  En elaboración de concepto.  11. LAV0001-00-2020. (Quebradona)En fase de preparación visita de campo. De acuerdo a lo anterior se registran 13 solicitudes de apoyo en la evaluación, de las cuales 2 cuentan con acto administrativo.</t>
  </si>
  <si>
    <t>Se registran dos actos administrativos de otorgamiento de los proyectos Conconcreto (LAV0050-13) y  Verderón (LAV033-00-2019), un acto administrativo de modificación de licencia del proyecto Campo Capella y un acto administrativo de archivo del proyecto Bienparado (LAV0038-00-2109), adicional a lo anterior, el equipo de evaluación y  seguimiento se encuentra apoyando la evaluación de 9 proyectos mas que se encuentran en el siguiente estado: 1. LAV0041-13 (Pendare). En revisión por parte de los jurídicos del sector. 2. LAM0793 (PECIG),3. LAM0761 (Reficar), 4. LAV0002-00-2020 (Cerromatoso) y 5. LAV0004-00-2020 (Dragado de Cartagena)  En espera de información adicional. 6. LAV0052-00-2019 (Planeta Rica) y 7. LAV0001-00-2020. (Quebradona) Preparando audiencia de información adicional. 8. LAV0012-00-2019. (Soto Norte) y 9. LAV0017-00-2019 (La Virginia)  En elaboración de concepto. De acuerdo a lo anterior se registran 13 solicitudes de apoyo en la evaluación, de las cuales 4 cuentan con acto administrativo.</t>
  </si>
  <si>
    <t>Conceptos técnicos de seguimiento de apoyo a la Subdirección de Evaluación y Seguimiento - SES</t>
  </si>
  <si>
    <t>Número de conceptos técnicos realizados / número de apoyos solicitados * 100</t>
  </si>
  <si>
    <t>Se registra solicitud de apoyo para cuatro conceptos de seguimiento (enero-abril) del LAM0209. Aeropuerto del Dorado. Durante la vigencia enero 2019, se elaboró el concepto correspondiente a Enero el cual se encuentra actualmente en revisión. Adicionalmente se realiza solicitud de apoyo para el concepto de seguimiento del expediente LAM1094 (Cerrejón) en el marco de la sentencia T-614. De acuerdo a lo anterior se reportan cinco solicitudes, de las cuales 1 se encuentra en elaboración para la vigencia enero/2020.</t>
  </si>
  <si>
    <t>Se registran dos conceptos técnicos generados para el mes de febrero de los proyectos LAM0209 (Aeropuerto el Dorado-Enero) y PEA0004 (La Francia); adicional a lo anterior, el equipo de evaluación y seguimiento se encuentra apoyando la elaboración de cuatro proyectos mas que se encuentran en el siguiente estado: 1. LAM0209. (Aeropuerto El Dorado - Febrero) 2. LAM1094 (Cerrejón) y 3. LAM2233 (Ituango) En elaboración de concepto.  4. LAM2249 (Lisama). En revisión por parte de líderes. De acuerdo a lo anterior se registran 6 solicitudes de apoyo en el seguimiento, de las cuales 2 cuentan con concepto técnico</t>
  </si>
  <si>
    <t>Se registran cuatro conceptos técnicos generados a la fecha de los proyectos LAM0209 (Aeropuerto el Dorado-Enero), PEA0004 (La Francia) y  LAM2249 (Lisama); adicional a lo anterior, el equipo de evaluación y seguimiento se encuentra apoyando la elaboración de dos proyectos mas que se encuentran en el siguiente estado: 1. LAM1094 (Cerrejón) y  2. LAM2233 (Ituango) En revisión por parte de líderes. De acuerdo a lo anterior se registran 6 solicitudes de apoyo en el seguimiento, de las cuales 4 cuentan con concepto técnico</t>
  </si>
  <si>
    <t>Documentos técnicos de modelación regional de medios biótico, abiótico y social elaborados</t>
  </si>
  <si>
    <t># de documentos técnicos de modelación regional elaborados</t>
  </si>
  <si>
    <t>Espacios de Divulgación de Resultados.</t>
  </si>
  <si>
    <t>% de socializaciones y/o divulgaciones de las Estrategias de redes de monitoreo para las Regiónes priorizadas</t>
  </si>
  <si>
    <t>Para la vigencia de 2020 se tiene programada la elaboración de tres reportes de análisis regional los cuales cuentan seis fases. 
Reporte SZH Río Bogota (primer reporte)
1. Definición del área de estudio: se realizó reunión técnicas para delimitar y definir el área de estudio de este reporte (17-01-2020) y se generaro el shape del área, lo que corresponde al 2% de la actividad.
2. Gestión documental de expedientes: se generó la identificación de expedientes  del área de estudio en AGIL/SLLA, se generó la selección y distribución de los anexos de archivo, y se esta realizando la solicitud y descarga de los mismos. En total se identificaron 1410 radicados a descargar de 68 expedientes. De igual manera se generó la descarga en SILA de resolución y conceptos para el diligenciamiento de la matriz preliminar de permisos. Esto corresponde a un avance del  5,8% de la actividad.
Se lleva un avance del 7,8% del reporte.</t>
  </si>
  <si>
    <t xml:space="preserve">Para la vigencia enero 2020 no se reporta ninguna socialización realizada. </t>
  </si>
  <si>
    <t>Para la vigencia de 2020 se tiene programada la elaboración de tres reportes de análisis regional:
Reporte SZH Río Bogota (primer reporte)
1. Definición del área de estudio: se realizó reunión técnicas para delimitar y definir el área de estudio de este reporte (17-01-2020) y se generaro el shape del área, lo que corresponde al 2% de la actividad.
2. Gestión documental de expedientes: se generó la identificación de expedientes  del área de estudio en AGIL/SILA, la selección y distribución de los anexos de archivo, y se realizó la solicitud y descarga de los mismos. En total se descargó la información de 1410 radicados de 68 expedientes; de igual manera se generó la descarga en SILA de resolución y conceptos para el diligenciamiento de la matriz preliminar de permisos. Con la depuración de la información se estableció que el universo son 64 expedientes a sistematizar.  Esto corresponde al 8% de la actividad.
3.Gestión información secundaria y articulación: se realizó la revisión de la información disponible en la página web de la CAR, SDA, y otras entidades y se proyecto oficio de solitud de información y de una reunión con la CAR para presentar el instrumento y darle alcance a la información solicitada. Se encuentra pendiente la confirmación del CAR del espacio de reunión, esto corresponde a un  3,5% de avance.
4. Sistematización de expedientes: se inicio la sistematización de la información de cada uno de los componentes (flora, fauna, recurso hídrico superficial, recurso hídrico subtéraneo, aire, ruido y socioeconómico) en la base de datos del modelo de almacenamiento de regionalización. De esta actividad se lleva un 7,5% de avance.
Para este reporte se tiene un avance del 21%.</t>
  </si>
  <si>
    <t>Las socializaciones de estrategias de monitoreo se encuentran programadas para el segundo semestre de 2020</t>
  </si>
  <si>
    <t>Para la vigencia de 2020 se tiene programada la elaboración de tres reportes de análisis regional:
Reporte SZH Río Bogota (primer reporte)
1. Definición del área de estudio: se realizó reunión técnicas para delimitar y definir el área de estudio de este reporte (17-01-2020) y se generaro el shape del área, lo que corresponde al 2% de la actividad.
2. Gestión documental de expedientes: se generó la identificación de expedientes  del área de estudio en AGIL/SILA, la selección y distribución de los anexos de archivo, y se realizó la solicitud y descarga de los mismos. En total se descargó la información de 1410 radicados de 68 expedientes; de igual manera se generó la descarga en SILA de resolución y conceptos para el diligenciamiento de la matriz preliminar de permisos. Con la depuración de la información se estableció que el universo son 64 expedientes a sistematizar.  Esto corresponde al 8% de la actividad.
3.Gestión información secundaria y articulación: se realizó la revisión de la información disponible en la página web de la CAR, SDA, y otras entidades y se proyecto oficio de solitud de información y de una reunión con la CAR para presentar el instrumento y darle alcance a la información solicitada. Se encuentra pendiente la confirmación del CAR del espacio de reunión, esto corresponde a un  4% de avance.
4. Sistematización de expedientes: se finalizó la sistematización de la información de cada uno de los componentes (flora, fauna, recurso hídrico superficial, recurso hídrico subtéraneo, aire, ruido y socioeconómico) en la base de datos del modelo de almacenamiento de regionalización. Queda pendiente incorporar la información de las CARs. Esto corresponde a un  25% de avance.
5. Elaboración de documento por componente: Se inicio la estructuración de los documentos de cada uno de los componentes (flora, fauna, recurso hídrico superficial, recurso hídrico subtéraneo, aire, ruido y socioeconómico). Esto corresponde a un 15% de avance. Se tiene programado reunion de integralidad el 6 de abril.
Para este reporte se tiene un avance del 53,6%.</t>
  </si>
  <si>
    <t>Información y Comunicación</t>
  </si>
  <si>
    <t>Transparencia, acceso a la información pública y lucha contra la corrupción</t>
  </si>
  <si>
    <t>Nodo Regional De Información Operando.</t>
  </si>
  <si>
    <t># de reportes de alertas regionales elaborados</t>
  </si>
  <si>
    <t>Documentos de soporte elaborado.</t>
  </si>
  <si>
    <t># de propuestas de Documento de las Estrategias de redes de monitoreo para las Regiones priorizadas.</t>
  </si>
  <si>
    <t>Para la vigencia 2020 se tiene programado obtener productos finales en al menos tres de las estrategias del monitoreo del instrumento para las fases de: Generación de información: Estrategia hídrica superficial cuenca del río Tillavá (en espera de información deriviada de la imposición de obligación para su respectivo análisis). Imposición de actos administrativos para las estrategias de Alto San Jorge, cuenca del río Cusiana y Tillavá hídrica subterráneo (en fase de gestión para la primera y revisión final para la segunda y tercera). Elaboración actos administrativos para las estrategias de Guajira y Antioquia (se cuenta con propuesta de red, pendiente socializar con actores internos y externos e iniciar con la elaboración de conceptos técnicos). Formulación de red para las estrategias de Putumayo, Meta y Buenaventura (no se han iniciado actividades, se proyecta iniciar durante el segundo semestre de 2020). De acuerdo a lo anterior durante la vigencia enero 2020 se avanzó en la gestión y ajuste final de concecptos para la fase de imposición de actos adminsitrativos para las estrategias Cusiana y Tillavá hídrico subterráneo, se espera contar con conceptos finalizados durante el mes de febrero de 2020.</t>
  </si>
  <si>
    <t>ESTRATEGIAS FASE DE IMPOSICIÓN OBLIGACIONES. Estrategia hídrica subterránea cuenca del río Tillavá. 50% Cuatro conceptos. LAM4795. (Concepto técnico 31-12-20), LAM5995 (Concepto técnico 28-02-20), LAM5281 (Concepto en revisión/verificación), LAV0084 (En espera de comentarios por parte de SES). Estrategia Hídrica Superficial y atmosférica Alto San Jorge. 25%. Cuatro conceptos. LAV0051-00-2017 (Sator-Mina BIjao). Se enviaron requerimientos de monitoreo hídricos superficiales y atmosféricos a ser vinculados en el concepto de evaluación de la modificación. LAM4656 (Gecelca). Se enviaron requerimientos  de monitoreo hídricos superficiales y atmosféricos a ser vinculados en el concepto técnico de seguimiento. LAV0045-00-2016 (Termobijao-Sator). En espera de inicio fase de construcción para imposición de obligación. LAV0002-00-2020. (Cerromatoso. Se vincularan requerimientos hídricos superficiales y atmosféricos en el concepto de evaluación de licencia ambiental). Estrategia Hídrica Superficial Cuenca del Río Cusiana. 25%. 7 conceptos. LAV0029-00-2017 (Rumba-Enviado  a SES para comentarios). LAV0061-13 (Chitamena Sur - Enviado  a SES para comentarios), LAM6045 (Casimena- Enviado  a SES para comentarios), LAM0425 (Campo Santiago - En ajuste final concepto), LAM2160 (Entreríos- Enviado  a SES para comentarios), LAM0524 (CPF Cusiana-En ajuste final concepto), LAM0668 (Campo Cupiagua- En elaboración). ESTRATEGIAS FASE DE ELABORACIÓN DE CONCEPTOS: Estrategia componente atmósfera Guajira. 12% 4 Conceptos. LAM1179 (Termoguajira - Priorizado segundo semestre de 2020), LAM2619 (Puerto Brisa - Seguimiento Abril), LAM1094 (Cerrejón - En elaboración de concepto) LAM3491 (Caipa- Pdte definir alcance sector)</t>
  </si>
  <si>
    <t xml:space="preserve">ESTRATEGIAS FASE DE IMPOSICIÓN OBLIGACIONES. Estrategia hídrica subterránea cuenca del río Tillavá. 75% Cuatro conceptos. LAM4795. (Concepto técnico 31-12-20), LAM5995 (Concepto técnico 28-02-20), LAM5281 (Concepto técnico 3-03-20), LAV0084 (En espera de comentarios por parte de SES). Estrategia Hídrica Superficial y atmosférica Alto San Jorge. 50%. Cuatro conceptos. LAV0051-00-2017 (concepto técnico 16-03-20). LAM4656 (concepto técnico 31-03-20). LAV0045-00-2016 (Termobijao-Sator). En espera de inicio fase de construcción para imposición de obligación. LAV0002-00-2020. (Cerromatoso. Se vincularan requerimientos hídricos superficiales y atmosféricos en el concepto de evaluación de licencia ambiental). Estrategia Hídrica Superficial Cuenca del Río Cusiana. 25%. 7 conceptos. LAV0029-00-2017 (Rumba-Enviado  a SES para comentarios). LAV0061-13 (Chitamena Sur - Enviado  a SES para comentarios), LAM6045 (Casimena- Enviado  a SES para comentarios), LAM0425 (Campo Santiago - En ajuste final concepto), LAM2160 (Entreríos- Enviado  a SES para comentarios), LAM0524 (CPF Cusiana-En ajuste final concepto), LAM0668 (Campo Cupiagua- En elaboración). ESTRATEGIAS FASE DE ELABORACIÓN DE CONCEPTOS: Estrategia componente atmósfera Guajira. 12% 4 Conceptos. LAM1179 (Termoguajira - Priorizado segundo semestre de 2020), LAM2619 (Puerto Brisa - Seguimiento Abril), LAM1094 (Cerrejón - concepto en revisión), LAM3491 (Caypa- en fase de revisión). </t>
  </si>
  <si>
    <t>REPORTE AVANCE MENSUAL</t>
  </si>
  <si>
    <t>Avance indicador de producto enero</t>
  </si>
  <si>
    <t>Avance indicador de gestión enero</t>
  </si>
  <si>
    <t>Avance indicador de producto febrero</t>
  </si>
  <si>
    <t>Avance indicador de gestión febrero</t>
  </si>
  <si>
    <t>Avance indicador de producto marzo</t>
  </si>
  <si>
    <t>Avance indicador de gestión marzo</t>
  </si>
  <si>
    <t>Incrementar la credibilidad en la entidad por parte de sus grupos de interés</t>
  </si>
  <si>
    <t>Gestión de tecnologías comunicaciones y seguridad de la información</t>
  </si>
  <si>
    <t>Comunicaciones estratégicas</t>
  </si>
  <si>
    <t>Comunicaciones</t>
  </si>
  <si>
    <t>Productos comunicacionales elaborados</t>
  </si>
  <si>
    <t>Canales de comunicación en servicio</t>
  </si>
  <si>
    <t>No. Canales gestionados en servicio</t>
  </si>
  <si>
    <t>ANDREA LUCIA ARANGO HERNANDEZ [Jefe de Comunicaciones]</t>
  </si>
  <si>
    <t>En el mes de enero se implementó la campaña de comunicaciones logros ANLA, la cual fue socializada a través de canales como el correo electrónico, ronda e Intranet. Igualmente, fueron apoyadas las solicitudes internas remitidas por la Oficina de Tecnología, Talento Humano., entre otros. Igualmente, las actividades del Equipo de Comunicaciones se centraron en la planeación, la generación de contenidos internos principalmente, con el fin socializar los logros de la entidad. Por lo anterior, se presentó una baja producción de gestión con medios de comunicación y generación de contenidos en redes sociales.</t>
  </si>
  <si>
    <t>En el mes de enero, los canales de comunicación que se emplearon fueron: el correo electrónico, la ronda semanal, la Intranet, El Director nos cuenta, Facebook, Twitter, LinkedIn y la página web.</t>
  </si>
  <si>
    <t>En el mes de febrero se generaron contenidos internos y externos relacionados con los logros de la ANLA en 2019 como contar con sus procesos de seguimiento y control ambiental al 100%, y el diseño de herramientas de control que le permitieron a la entidad comprender lo que pasaba en los territorios.</t>
  </si>
  <si>
    <t>En el mes de febrero, los canales de comunicación que se emplearon fueron: el correo electrónico, la ronda semanal, la Intranet, El Director nos cuenta, la cartelera, el fondo de escritorio, Facebook, Twitter, LinkedIn, YouTube y la página web.</t>
  </si>
  <si>
    <t>En el mes de marzo se generaron contenidos internos y externos relacionados con las medidas adoptadas por la entidad frente al COVID-19 y la reestructuración, entre otros. A su vez,en materia de comunicaciones internas se generaron diferentes comunicaciones y piezas gráficas sobre el trabajo en casa.</t>
  </si>
  <si>
    <t>En el mes de marzo, los canales de comunicación que se emplearon fueron: el correo electrónico, la ronda semanal, la Intranet, El Director nos cuenta, la cartelera, el fondo de escritorio, Facebook, Twitter, LinkedIn, YouTube, la página web y correos externos a periodistas de medios de comunicación.</t>
  </si>
  <si>
    <t>Contenidos publicados en canales de comunicación interno en servicio</t>
  </si>
  <si>
    <t>No. De contenidos publicados en canales de comunicación internos</t>
  </si>
  <si>
    <t>En el mes de enero se implementó la campaña de comunicaciones logros ANLA, la cual fue socializada a través de canales como el correo electrónico, ronda e Intranet. Igualmente, fueron apoyadas las solicitudes internas remitidas por la Oficina de Tecnología, Talento Humano., entre otros.</t>
  </si>
  <si>
    <t>En este mes, se generaron contenidos relacionados con las campañas internas de logros ANLA, la aplicación ANLA y la nueva sede. A su vez, se replicaron contenidos solicitados por la Subdirección Administrativa y Financiera y sus subgrupos (Talento humano, Tecnología, Administrativa, salud y seguridad en el trabajo, entre otros).</t>
  </si>
  <si>
    <t xml:space="preserve">En este mes, se generaron contenidos relacionados con las campañas internas de  reestructuración,coronavirus y trabajo desde casa,  A su vez, se replicaron contenidos solicitados por la Subdirección Administrativa y Financiera y sus subgrupos (Talento humano, Tecnología y Financiera, entre otros). </t>
  </si>
  <si>
    <t>Contenidos publicados en canales de comunicación externo en servicio</t>
  </si>
  <si>
    <t>No. De contenidos publicados realizadas en canales de comunicación externos</t>
  </si>
  <si>
    <t>En este mes, las actividades del Equipo de Comunicaciones se centraron en la planeación, la generación de contenidos internos principalmente, con el fin socializar los logros de la entidad. Por lo anterior, se presentó una baja producción de gestión con medios de comunicación y generación de contenidos en redes sociales. Igualmente, el community manager se integró al equipo el 21 de enero.</t>
  </si>
  <si>
    <t xml:space="preserve">En este mes, se generaron contenidos para redes sociales y página web relacionados con los logros de la entidad en 2019, el seguimiento al Plan Piloto del Aeropuerto El Dorado y Sembrar nos Une, entre otros. </t>
  </si>
  <si>
    <t xml:space="preserve">En este mes, se generaron contenidos para redes sociales y página web relacionados con el coronavirus, la reestructuración de la entidad y el seguimiento al Plan Piloto del Aeropuerto El Dorado, entre otros. </t>
  </si>
  <si>
    <t>Espacio principal de rendición de cuentas realizada</t>
  </si>
  <si>
    <t>No. De rendiciones de cuentas realizadas</t>
  </si>
  <si>
    <t>Si bien el espacio de la rendición de cuentas no está previsto para este período,  cabe destacar que se realizaron actividades relacionadas con el tema como la publicación del Informe de Gestión en la página web de la entidad, la socialización del mismo a través de la ronda.</t>
  </si>
  <si>
    <t>Si bien el espacio de la rendición de cuentas no está previsto para este período, se adelantaron reuniones preparatorias de la rendición de cuentas y los espacios con los grupos de interés. Así mismo, cabe destacar que se realizaron actividades relacionadas con el tema como la publicación del comunicado de prensa, la columna de opinión del director de la ANLA (que fue publicada en la edición online e impresa de Portafolio y la Infografía de logros de la ANLA.</t>
  </si>
  <si>
    <t>En este mes, las gestiones de comunicaciones estuvieron enfocadas en informar sobre las medidades adoptadas por la entidad frente al COVID-19,la reestructuración y el trabajo desde casa,entre otros.</t>
  </si>
  <si>
    <t>Posicionamiento de la ANLA a nivel externo</t>
  </si>
  <si>
    <t>Noticias con valoración positiva de la ANLA / Total de noticias en las que ANLA aparece</t>
  </si>
  <si>
    <t>Gestión de información de la ANLA para medios de comunicación</t>
  </si>
  <si>
    <t>No. De solicitudes de los medios de comunicación gestionadas</t>
  </si>
  <si>
    <t xml:space="preserve">En el mes de enero, la gestión de Comunicaciones estuvo centrada en labores de planeación, así como en la generación de contenidos relacionados con la campaña de comunicación interna de logros ANLA. Los avances en la gestión con medios de comunicación se reflejarán más en el reporte correspondiente al mes de febrero reportarán avances  la gestión con medios de comunicación se reportarán avances en el mes de febrero </t>
  </si>
  <si>
    <t xml:space="preserve">En el mes de enero, la gestión de Comunicaciones estuvo centrada en labores de planeación. Igualmente, se realizaron acercamientos con peridistas de Semana, El Tiempo, El Espectador, La República, Colombiano, Portafolio, EL Heraldo, La FM, RCN Radio, Valor Analitik y Radio Nacional, medios de comunicación que registraron la sanción a Ecopetrol por Lisama. En este mes los esfuerzos se concentraron también en la generación de contenidos relacionados con la campaña de comunicación interna de logros ANLA. A su vez, los avances en la gestión con medios de comunicación se reflejarán más en el reporte correspondiente al mes de febrero. </t>
  </si>
  <si>
    <t>En el mes de febrero, se generaron comunicados de prensa relacionados con los logros de la ANLA en 2019, la  aprobación de la licencia ambiental al proyecto de energía eólica en La Guajira y con los trámites de licenciamiento ambiental que impliquen intervención de especies en veda, entre otros . De estas noticias la más registrada por los medios de comunicación nacionales y regionales fue la relacionada con la aprobación del proyecto eólico en la Guajira con aproximadamente 25 noticias.</t>
  </si>
  <si>
    <t xml:space="preserve">En el mes de marzo se generaron comunicados de prensa relacionados  la reestructuración de la entidad , las medidas de prevención y contención del coronavirus adoptadas por la entidad, la racionalización de trámites y  la aclaración en el sentido de que la  ANLA no emitió pronunciamiento facultando a EPM para avanzar con las obras que permitan la generación de energía de Hidroituango, entre otros. </t>
  </si>
  <si>
    <t xml:space="preserve">En el mes de marzo se generaron comunicados de prensa relacionados  la reestructuración de la entidad , las medidas de prevención y contención delcoronavirus adoptadas por la entidad, la racionalización de trámites y  la aclaración en el sentido de que la  ANLA no emitió pronunciamiento facultando a EPM para avanzar con las obras que permitan la generación de energía de Hidroituango, entre otros. </t>
  </si>
  <si>
    <t>Efectividad de la comunicación interna</t>
  </si>
  <si>
    <t>Videos de apropiación publicados/campañas priorizadas\n</t>
  </si>
  <si>
    <t>Campañas priorizadas</t>
  </si>
  <si>
    <t>Número de campañas priorizadas publicadas</t>
  </si>
  <si>
    <t>En el mes de enero se produjeron 4 videos en los que se destacaron los logros de la Subdirección Administrativa y Financiera, la Subdirección de Evaluación y Seguimiento, la Subdirección de Instrumentos, Permisos y Trámites, la Oficina Jurídica, los cuales hacen parte de la campaña interna de logros ANLA.</t>
  </si>
  <si>
    <t>En el mes de enero se implementó la campaña de logros de la ANLA, la cual se ha socializado a través de correo electrónico, Intranet, El Director nos Cuenta y el boletín semanal de la ronda.</t>
  </si>
  <si>
    <t>En el mes de febrero se publicó en la Intranet, se envío por correo masivo y se socializaron a través del boletín electrónico de la ronda los logros de la Oficina Asesora de Planeación, con el fin de dar continuidad a la campaña de logros implementada en enero. Igualmente, se grabó y publicó un video en la Intranet relacionado con el aporte de la ANLA a la iniciativa liderada por el MInisterio de Ambiente y Desarrollo Sostenible de "Sembrar nos Une".</t>
  </si>
  <si>
    <t>En el mes de febrero, las campañas internas implementadas fueron logros ANLA, la aplicación ANLA y la nueva sede.</t>
  </si>
  <si>
    <t xml:space="preserve">En el mes de marzo se publicaron en la Intranet y se socializaron por correos 8 videos relacionados con la campaña de  reestructuración de la entidad. </t>
  </si>
  <si>
    <t>En el mes de marzo, las campañas internas implementadas fueron: reestructuración, coronavirus y trabajo desde casa.</t>
  </si>
  <si>
    <t>Control Interno</t>
  </si>
  <si>
    <t>Control a la Gestión</t>
  </si>
  <si>
    <t>N/A</t>
  </si>
  <si>
    <t>Nivel de efectividad de las acciones de mejoramiento definidas por la entidad</t>
  </si>
  <si>
    <t>Número de acciones efectivas (PM interno + PM CGR) / Total de acciones evaluadas (PM interno + PM CGR)</t>
  </si>
  <si>
    <t>Efectividad de las acciones del plan de mejoramiento interno</t>
  </si>
  <si>
    <t>No. Total de acciones con concepto positivo /No. Total de acciones evaluadas del plan de mejoramineto interno</t>
  </si>
  <si>
    <t>Jefe de Oficina Control Interno o quien haga sus veces</t>
  </si>
  <si>
    <t>Evaluadas en total 178 de las cuales se cerraron 161</t>
  </si>
  <si>
    <r>
      <rPr>
        <b/>
        <sz val="11"/>
        <color theme="1"/>
        <rFont val="Calibri"/>
        <family val="2"/>
        <scheme val="minor"/>
      </rPr>
      <t>Febrero</t>
    </r>
    <r>
      <rPr>
        <sz val="11"/>
        <color theme="1"/>
        <rFont val="Calibri"/>
        <family val="2"/>
        <scheme val="minor"/>
      </rPr>
      <t xml:space="preserve">: Se realizó la evaluación de 32 acciones de las cuales se cerraron 26, es decir el 81,2%.
</t>
    </r>
    <r>
      <rPr>
        <b/>
        <sz val="11"/>
        <color theme="1"/>
        <rFont val="Calibri"/>
        <family val="2"/>
        <scheme val="minor"/>
      </rPr>
      <t>Marzo:</t>
    </r>
    <r>
      <rPr>
        <sz val="11"/>
        <color theme="1"/>
        <rFont val="Calibri"/>
        <family val="2"/>
        <scheme val="minor"/>
      </rPr>
      <t xml:space="preserve"> Se realizó la evaluación de 28 acciones de las cuales se cerraron 27, es decir el 96%.
El porcentaje acumulado se calcula sumando la totalidad de acciones evaluadas en la vigencia (60 acciones) sobre las cerradas (53 acciones); esto arroja un avance acumulado de 88%</t>
    </r>
  </si>
  <si>
    <t>Cumplimiento de las acciones formuladas en el Plan de Mejoramiento suscrito con la CGR (50%)</t>
  </si>
  <si>
    <t>No. Total de acciones cerradas /No. Total de acciones evaluadas del plan de mejoramiento CGR.</t>
  </si>
  <si>
    <r>
      <rPr>
        <b/>
        <sz val="11"/>
        <color theme="1"/>
        <rFont val="Calibri"/>
        <family val="2"/>
        <scheme val="minor"/>
      </rPr>
      <t xml:space="preserve">Enero: </t>
    </r>
    <r>
      <rPr>
        <sz val="11"/>
        <color theme="1"/>
        <rFont val="Calibri"/>
        <family val="2"/>
        <scheme val="minor"/>
      </rPr>
      <t xml:space="preserve">Se evaluaron 56 acciones de las cuales se cerraron 50, es decir el 89,2%
</t>
    </r>
    <r>
      <rPr>
        <b/>
        <sz val="11"/>
        <color theme="1"/>
        <rFont val="Calibri"/>
        <family val="2"/>
        <scheme val="minor"/>
      </rPr>
      <t>Febrero:</t>
    </r>
    <r>
      <rPr>
        <sz val="11"/>
        <color theme="1"/>
        <rFont val="Calibri"/>
        <family val="2"/>
        <scheme val="minor"/>
      </rPr>
      <t xml:space="preserve"> Se evaluaron en el mes 26 acciones de las cuales se cerraron 22, es decir el 84,6%. 
</t>
    </r>
    <r>
      <rPr>
        <b/>
        <sz val="11"/>
        <color theme="1"/>
        <rFont val="Calibri"/>
        <family val="2"/>
        <scheme val="minor"/>
      </rPr>
      <t xml:space="preserve">
Marzo</t>
    </r>
    <r>
      <rPr>
        <sz val="11"/>
        <color theme="1"/>
        <rFont val="Calibri"/>
        <family val="2"/>
        <scheme val="minor"/>
      </rPr>
      <t>: Se evaluaron en el mes 36 acciones de las cuales se cerraron 36, es decir el 100%.
El porcentaje acumulado se calcula sumando la totalidad de acciones evaluadas en la vigencia (118 acciones) sobre las cerradas (108 acciones); esto arroja un avance acumulado de 91,5%</t>
    </r>
  </si>
  <si>
    <t>REPORTE AVANCE MENSUAL ENERO_2020</t>
  </si>
  <si>
    <t>REPORTE AVANCE MENSUAL FEBRERO_2020</t>
  </si>
  <si>
    <t>REPORTE AVANCE MENSUAL MARZO_2020</t>
  </si>
  <si>
    <t>Actuaciones sancionatorias</t>
  </si>
  <si>
    <t>Oficina Asesora Jurídica</t>
  </si>
  <si>
    <t>Sancionatorios</t>
  </si>
  <si>
    <t>Unidad de actos administrativos expedidos en procesos sancionatorios ambientales competencia de ANLA</t>
  </si>
  <si>
    <t>No. Actos Administrativos sancionatorios firmados</t>
  </si>
  <si>
    <t>Concepto técnico sancionatorio acogidos</t>
  </si>
  <si>
    <t>No. de actos administrativos firmados en procesos sancionatorios ambientales de competencia de la ANLA acogiendo conceptos técnicos de la etapa correspondiente</t>
  </si>
  <si>
    <t>DANIEL RICARDO PAEZ DELGADO [Jefe de Oficina Asesora Juridica]</t>
  </si>
  <si>
    <t>Se emitieron 60 actos administrativos para el mes de enero vigencia 2020, distribuidos en los dos indicadores medibles en enero, de la siguiente manera: Indicador 1 se emitieron 27 actos administrativos acogiendo CT de inicio y para el indicador 3 se emitieron 33 actos administrativos de gestión entre las etapas del proceso sancionatorio.
E1_SANCIONATORIO_ACTOS ADMINISTRATIVOS FIRMADOS_ENERO_2020</t>
  </si>
  <si>
    <t>Para el primer indicador se emitieron 25 autos de apertura de investigación y 2 autos de indagación preliminar.</t>
  </si>
  <si>
    <t>Se emitieron 60 actos administrativos para el mes de febrero vigencia 2020, distribuidos en los tres indicadores medibles en febrero, de la siguiente manera: Indicador 1 se emitieron 21 actos administrativos acogiendo CT de inicio, indicador 2 se emitieron 4 resoluciones de fondo y para el indicador 3 se emitieron 35 actos administrativos de gestión entre las etapas del proceso sancionatorio.
E1_SANCIONATORIO_ACTOS ADMINISTRATIVOS FIRMADOS_FEBRERO_2020</t>
  </si>
  <si>
    <t>Para el primer indicador se emitieron 21 autos de apertura de investigación y 1 indagación preliminar acogiendo CT.</t>
  </si>
  <si>
    <t>Se emitieron 65 actos administrativos para el mes de marzo vigencia 2020, distribuidos en los tres indicadores medibles en marzo, de la siguiente manera: Indicador 1 se emitieron 27 actos administrativos acogiendo CT de inicio, indicador 2 se emitieron 5 desiciones de fondo y para el indicador 3 se emitieron 33 actos administrativos de gestión entre las etapas del proceso sancionatorio.
E1_SANCIONATORIO_ACTOS ADMINISTRATIVOS FIRMADOS_MARZO_2020</t>
  </si>
  <si>
    <t>Para el primer indicador se emitieron 26 autos de apertura de investigación y 1 resolución que impone medida preventiva acogiendo CT.</t>
  </si>
  <si>
    <t>Decisiones de fondo</t>
  </si>
  <si>
    <t>No. de actos administrativos de decisiones de fondo firmados en procesos sancionatorios ambientales de competencia de la ANLA</t>
  </si>
  <si>
    <t>EL INDICADOR DE GESTIÓN 2 "DECISIONES DE FONDO" SE MIDE A PARTIR DE FEBRERO Y HASTA DICIEMBRE DE 2020</t>
  </si>
  <si>
    <t>Para el segundo indicador se emitieron 2 resoluciones de Cesación del proceso sancionatorio, 1 resolución de Exoneración de responsabilidad y 1 resolución que Impone Sanción.</t>
  </si>
  <si>
    <t>Para el segundo indicador se emitieron 2 resoluciones de Cesación del proceso sancionatorio, 1 auto de archivo de indagación preliminar  y 2 resoluciones que resuelven recurso de reposición a sanción.</t>
  </si>
  <si>
    <t>Impulso procesal en los procesos Sancionatorios Ambientales</t>
  </si>
  <si>
    <t>No. de actos administrativos firmados en procesos sancionatorios ambientales de competencia de la ANLA con avance entre etapas</t>
  </si>
  <si>
    <t>Para el tercer indicador se emitieron 8 autos que decreta, rechaza o niega pruebas, 6 auto de aclaración, 6 autos de formulación de cargos, 5 autos de archivo de proceso sancionatorio, 2 resolución que levanta medida preventiva, 1 auto de cobro sancionatorio, 1 auto de traslado por competencia, 1 auto que ordena diligencia, 1 auto por el que se fija fecha para la práctica de una prueba, 1 auto por el que resuelve recurso y 1 auto que vincula persona a investigación.</t>
  </si>
  <si>
    <t>Para el tercer indicador se emitieron 17 autos que decreta, rechaza o niega pruebas, 13 autos de formulación de cargos, 1 auto de archivo de proceso sancionatorio, 1 resolución que levanta medida preventiva, 2 auto por el que resuelve recurso.</t>
  </si>
  <si>
    <t>Para el tercer indicador se emitieron 27 autos de formulación de cargos, 2 autos que decreta, rechaza o niega pruebas, 1 auto de aclaración, 1 auto de prorroga del periodo probatorio, 1 auto que ordena diligencia dentro de investigación sancionatoria y 1 resolución que niega levantamiento de medida.</t>
  </si>
  <si>
    <t>Defensa jurídica</t>
  </si>
  <si>
    <t>Apoyo</t>
  </si>
  <si>
    <t>Gestión jurídica</t>
  </si>
  <si>
    <t>Procesos judiciales</t>
  </si>
  <si>
    <t>Tasa de éxito procesal</t>
  </si>
  <si>
    <t>Número de procesos en contra de la entidad terminados (ejecutoriado) con fallo favorable / Total numero de procesos en contra de la entidad terminados</t>
  </si>
  <si>
    <t>Para el mes de enero de 2020 se emitieron seis fallos ejecutoriados de los cuales 5 son favorables para la entidad:
E1_JUDICIALES 2014-00071
E2_JUDICIALES 2015-00019
E3_JUDICIALES 2017-00449
E4_JUDICIALES 2017-00606
E5_JUDICIALES 2009-00301
E6_JUDICIALES 2018-704 DESFAVORABLE</t>
  </si>
  <si>
    <t xml:space="preserve">Para el mes de febrero de 2020, se emitieron dos fallos uno  favorable  y  uno desfavorable ejecutoriado.
E1_JUDICIALES 2016-07850 FAVORABLE 1 INST
E2_JUDICIALES 2016-00114 DESFAVORABLE 2 INST
</t>
  </si>
  <si>
    <t xml:space="preserve">Para el mes de marzo de 2020 se emitió un fallo ejecutoriado favorable:
E1_JUDICIALES 2011-00612
</t>
  </si>
  <si>
    <t>Conceptos jurídicos</t>
  </si>
  <si>
    <t>Implementación Plan de Acción de Comité de Conciliación</t>
  </si>
  <si>
    <t>Porcentaje de avance de actividades de acuerdo con el cronograma</t>
  </si>
  <si>
    <t>De acuerdo con el Plan de Acción de Comité de Conciliación estaban programadas 20 actividades que se cumplieron en su totalidad.
E5_JUDICIALES_Plan de Acción Comité de Conciliación 2020</t>
  </si>
  <si>
    <t>De acuerdo con el Plan de Acción de Comité de Conciliación estaban programadas 22 actividades que se cumplieron en su totalidad.
E2_JUDICIALES_Plan de Acción Comité de Conciliación 2020</t>
  </si>
  <si>
    <t>De acuerdo con el Plan de Acción de Comité de Conciliación estaban programadas 24 actividades que se cumplieron en su totalidad.
E2_JUDICIALES_Plan de Acción Comité de Conciliación 2020
E3_JUDICIALES_EVIDENCIAS COMITÉ DE CONCILIACIÓN_MARZO 2020</t>
  </si>
  <si>
    <t>Gestión Presupuestal y eficiencia del gasto público</t>
  </si>
  <si>
    <t>Procesos coactivos</t>
  </si>
  <si>
    <t>Cartera coactiva recuperada hasta la vigencia 2020</t>
  </si>
  <si>
    <t>Total recaudo en banco de cartera coactiva</t>
  </si>
  <si>
    <t>Recaudo en banco cartera coactiva</t>
  </si>
  <si>
    <t>Total recaudo en banco de cartera / meta establecida para la vigencia</t>
  </si>
  <si>
    <t>Durante el periodo de enero de 2020 se recaudo por cobro coactivo $1,807,011,508, representado en  pagos parciales y pagos totales, logrando el 42% de la meta propuesta.
E1_COACTIVO_Base de Datos Financiera_ Ene 2020</t>
  </si>
  <si>
    <t xml:space="preserve">Durante el periodo de enero de 2020 se recaudo por cobro coactivo $1,807,011,508, representado en  pagos parciales y pagos totales, logrando el 42% de la meta propuesta.
</t>
  </si>
  <si>
    <r>
      <rPr>
        <sz val="10"/>
        <rFont val="Calibri"/>
        <family val="2"/>
        <scheme val="minor"/>
      </rPr>
      <t>A febrero de 2020 se recaudo por cobro coactivo y persuasivo $370.606.078, representado en  pagos parciales y pagos totales.</t>
    </r>
    <r>
      <rPr>
        <sz val="10"/>
        <color rgb="FFFF0000"/>
        <rFont val="Calibri"/>
        <family val="2"/>
        <scheme val="minor"/>
      </rPr>
      <t xml:space="preserve">
</t>
    </r>
    <r>
      <rPr>
        <sz val="10"/>
        <rFont val="Calibri"/>
        <family val="2"/>
        <scheme val="minor"/>
      </rPr>
      <t xml:space="preserve">E1_COACTIVO_Base Datos Financiera_ Pagos CC_Feb 2020
E2_COACTIVO_Base Datos Financiera_Pagos CP_Feb 2020
E3_Cuadro Seguimiento Cobro Coactivo
</t>
    </r>
  </si>
  <si>
    <t>Durante el periodo de febrero de 2020 se recaudo por cobro coactivo $216.454.628, representado en  pagos parciales y pagos totales.</t>
  </si>
  <si>
    <r>
      <rPr>
        <sz val="10"/>
        <rFont val="Calibri"/>
        <family val="2"/>
        <scheme val="minor"/>
      </rPr>
      <t>A Marzo de 2020 se recaudo por cobro coactivo   $650.170.439, representado en  pagos parciales y pagos totales.</t>
    </r>
    <r>
      <rPr>
        <sz val="10"/>
        <color rgb="FFFF0000"/>
        <rFont val="Calibri"/>
        <family val="2"/>
        <scheme val="minor"/>
      </rPr>
      <t xml:space="preserve">
</t>
    </r>
    <r>
      <rPr>
        <sz val="10"/>
        <rFont val="Calibri"/>
        <family val="2"/>
        <scheme val="minor"/>
      </rPr>
      <t xml:space="preserve">E1_COACTIVO_BASE FINANCIERA_PAGOS CC_Marzo 2020
E2_COACTIVO_BASE FINANCIERA_PAGOS CP_Marzo 2020
E3_Cuadro_S_Cobro_Coactivo_Metas Marzo 2020
</t>
    </r>
  </si>
  <si>
    <t>Durante el periodo de marzo de 2020 se recaudo por cobro coactivo  $205.223.653, representado en  pagos parciales y pagos totales.</t>
  </si>
  <si>
    <t>Recaudo en banco cartera persuasiva</t>
  </si>
  <si>
    <t>Total recaudo en banco de cartera / meta establecida para la vigencia\n</t>
  </si>
  <si>
    <t>En el primer mes del año 2020, no se recibio remisiones de autos de cobro por parte de SAF.</t>
  </si>
  <si>
    <t>Se recibe en el segundo mes del año 2020, 184 remisiones por parte de SAF por cobros de seguimiento y por multas, representadas en $4,816,495,550. 
Se recaudo $154,151,450 de la meta establecida para el 2020.</t>
  </si>
  <si>
    <t xml:space="preserve">
Durante el mes de marzo se recaudo por cobro persuasivo $444,946,786 de la meta establecida para el 2020.</t>
  </si>
  <si>
    <t>Procesos disciplinarios</t>
  </si>
  <si>
    <t>Oficina de Control Disciplinario Interno</t>
  </si>
  <si>
    <t>Control Disciplinario</t>
  </si>
  <si>
    <t>Porcentaje de trámites de actuaciones disciplinarias</t>
  </si>
  <si>
    <t>Número total de procesos impulsados / Número total de procesos</t>
  </si>
  <si>
    <t>NIDIAN CONSTANZA BARRETO CABALLERO [Coordinador(a)]</t>
  </si>
  <si>
    <t>Durante el mes de enero se emitieron 36 Actos administrativos.</t>
  </si>
  <si>
    <t>Durante el mes de febrero se emitieron 60 Actos administrativos.</t>
  </si>
  <si>
    <t>Durante el mes de marzo se emitieron  8 Actos administrativos.</t>
  </si>
  <si>
    <t>Grado de satisfacción en acciones preventivas de los colaboradores capacitados</t>
  </si>
  <si>
    <t>Porcentaje de satisfacción alcanzado por los colaboradores capacitados en acciones preventivas</t>
  </si>
  <si>
    <t>Durante el mes de enero se capacitan 300 Servidores de Anla con alto grado de satisfacción.</t>
  </si>
  <si>
    <t>Durante el mes de febrero se capacitan 43 colaboradores de Anla con alto grado de satisfacción.</t>
  </si>
  <si>
    <t>Durante el mes de marzo se capacitan 17  colaboradores de Anla con alto grado de satisfacción.</t>
  </si>
  <si>
    <t>Procesos (activos a 30 septiembre 2019) en etapa de cargos o finalizada a 31 de diciembre 2020</t>
  </si>
  <si>
    <t>Número de procesos avanzados a la etapa de cargos o finalizados/104 procesos (año 2015 a septiembre 30) terminados</t>
  </si>
  <si>
    <t>Este Indicador tiene el porcentaje de las tareas realizadas durante la vigencia es importante mencionar que se mide anualmenta mide anualmenre.</t>
  </si>
  <si>
    <t>Este Indicador tiene el porcentaje de las tareas realizadas durante la vigencia es importante mencionar que se mide anualmenta mide anualmente, y el porcentaje arrojado es la suma de cada mes.</t>
  </si>
  <si>
    <t>Gobierno Digital, antes Gobierno en Línea</t>
  </si>
  <si>
    <t>Gestión tecnológica y seguridad de la información</t>
  </si>
  <si>
    <t>Oficina de Tecnologías de la Información</t>
  </si>
  <si>
    <t>Tecnologias de Información y Comunicación</t>
  </si>
  <si>
    <t>Sistema de interoperabilidad implementado</t>
  </si>
  <si>
    <t>Número de sistemas integrados</t>
  </si>
  <si>
    <t>Herramientas De Software Adquiridas</t>
  </si>
  <si>
    <t>No. de herramientas de software adquiridas</t>
  </si>
  <si>
    <t>FERNANDO OSPINA MARIN [Líder]</t>
  </si>
  <si>
    <t>Se está definiendo el alcance de la contratación del API GATEWAY que permitirá la interoperabilidad entre sistemas de información y servicios de acuerdo con la meta definida.</t>
  </si>
  <si>
    <t>Actualmente el proceso TIC se encuentra realizando las actividades precontractuales necesarias para la adquisición de los sistemas y las tecnologías planeadas en el Plan de Adquisiciones 2020</t>
  </si>
  <si>
    <t>Se está definiendo el alcance de la contratación del API GATEWAY que permitirá la interoperabilidad entre sistemas de información y servicios de acuerdo con la meta definida.
En el mes de marzo se definió la ficha técnica de APIGATEWAY solicitaron cotizaciones con fines de estudio de mercado a varias empresas colombianas.</t>
  </si>
  <si>
    <t>En el mes de marzo se firmó el contrato correspondiente a la renovación de licencias y servicios geoespaciales PLANET por valor de $1.141.000.0000
Actualmente el proceso TIC se encuentra realizando las actividades precontractuales necesarias para la adquisición de los sistemas y las tecnologías planeadas en el Plan de Adquisiciones 2020</t>
  </si>
  <si>
    <t>Equipos De Hardware Adquiridos</t>
  </si>
  <si>
    <t>No. de unidades de hardware adquiridos</t>
  </si>
  <si>
    <t>Usuarios del sistema</t>
  </si>
  <si>
    <t>Número de usuarios del sistema</t>
  </si>
  <si>
    <t>Módulos Del Sistema De Información Actualizados</t>
  </si>
  <si>
    <t>Número de módulos actualizados/optimizados</t>
  </si>
  <si>
    <t>Aunque se realizó el paso a producción del aplicativo de contingencias en la última semana de enero, aún no se ha registrado una cifra contundente de usuarios impactados con la solución. Se reportará en febrero.</t>
  </si>
  <si>
    <t>Se realizó el análisis, diseño y desarrollo del aplicativo de contingencias en la Ventanilla VITAL.</t>
  </si>
  <si>
    <t xml:space="preserve">Aunque se realizó el paso a producción del aplicativo de contingencias y se reportaron 385 usuarios </t>
  </si>
  <si>
    <t>Se realizó el paso a producción del aplicativo de contingencias y se reportaron 385 usuarios impactados.</t>
  </si>
  <si>
    <t xml:space="preserve">Se realizó el análisis, diseño y desarrollo del aplicativo de contingencias en la Ventanilla VITAL.
Se realizó el análisis, diseño, desarrollo y puesta en producción de la aplicación ANLA en las plataforma IOS de APPLE.
Se realizó el análisis, diseño, desarrollo y puesta en producción del formulario de Sistema de Recolección Selectiva SRS. </t>
  </si>
  <si>
    <t>Procesos del modelo de gestión de seguridad implementado</t>
  </si>
  <si>
    <t># procesos de perfilamiento de herramientas de gestión de seguridad de la información ejecutados</t>
  </si>
  <si>
    <t>Sistemas de seguridad electrónica adquiridos</t>
  </si>
  <si>
    <t># de componentes de seguridad adquiridos o actualizados</t>
  </si>
  <si>
    <t>Se realizó el perfilamiento de la herramienta espacializada de gestion y restauración de copias de respaldo NETBACKUP.</t>
  </si>
  <si>
    <t>Se realizó el perfilamiento de la herramienta espacializada de gestion y restauración de copias de respaldo NETBACKUP.
Se realizó el perfilamiento de VMWARE</t>
  </si>
  <si>
    <t>Implementación del Plan de Tratamiento de Riesgos de Seguridad y Privacidad de la Información 2020 -2024</t>
  </si>
  <si>
    <t># de actividades ejecutadas / # actividades proyectadas para 2021</t>
  </si>
  <si>
    <t>Formulación, presentación, recepción de recomendaciones, realización de ajustes  y aprobación por parte del Comité Directivo al Implementación del Plan de Tratamiento de Riesgos de Seguridad y Privacidad de la Información 2020 -2022</t>
  </si>
  <si>
    <t>5%
Formulación, presentación, recepción de recomendaciones, realización de ajustes  y aprobación por parte del Comité Directivo al Implementación del Plan de Tratamiento de Riesgos de Seguridad y Privacidad de la Información 2020 -2022
25%
Realización de 2 mesas de trabajo con la OAP y Control Interno y consolidación de nueva propuesta de mapa de riesgos de seguridad de la información de acuerdo con las nuevas necesitades y visión de la OTI.</t>
  </si>
  <si>
    <t>Implementación del Plan de Seguridad y Privacidad de la Información 2020 -2024</t>
  </si>
  <si>
    <t># de actividades ejecutadas / # actividades proyectadas para 2020</t>
  </si>
  <si>
    <t>Formulación, presentación, recepción de recomendaciones, realización de ajustes  y aprobación por parte del Comité Directivo al Implementación del Plan de Seguridad y Privacidad de la Información 2020 -2022</t>
  </si>
  <si>
    <t xml:space="preserve">5%
Formulación, presentación, recepción de recomendaciones, realización de ajustes  y aprobación por parte del Comité Directivo al Implementación del Plan de Seguridad y Privacidad de la Información 2020 -2022
15%
-Prueba de concepto Microsoft-GLUP estado de seguridad Office 365.
</t>
  </si>
  <si>
    <t>Implementación del Plan Estratégico de Tecnologías de la Información y las Comunicaciones PETIC 2020 -2024</t>
  </si>
  <si>
    <t>Actividades De Soporte Y Gestión De Procesos Realizadas</t>
  </si>
  <si>
    <t xml:space="preserve">Formulación, presentación, recepción de recomendaciones, realización de ajustes  y aprobación por parte del Comité Directivo al Plan Estratégico de TI 2020-2022 </t>
  </si>
  <si>
    <t>Implementación y despliegue del pool de direcciones de LACNIC, así como la configuración requerida para la puesta en marcha del protocolo IPV6 en la ANLA, como parte del cumplimiento de los plazos y lineamientos de MinTIC.</t>
  </si>
  <si>
    <t xml:space="preserve">5%
-Formulación, presentación, recepción de recomendaciones, realización de ajustes  y aprobación por parte del Comité Directivo al Plan Estratégico de TI 2020-2022 
20%
-Elaboración de tableros de control, reportes e informes de periodicidad mensual para el seguimiento de los proyectos de la OTI.
</t>
  </si>
  <si>
    <t>Datos publicados en el portal Datos abiertos del Gobierno colombiano</t>
  </si>
  <si>
    <t>Conjunto de datos publicados en el portal Datos abiertos del Gobierno colombiano</t>
  </si>
  <si>
    <t>No se estimó publicación de datos abiertos para este mes</t>
  </si>
  <si>
    <t>Servicio al ciudadano</t>
  </si>
  <si>
    <t>Atención al ciudadano</t>
  </si>
  <si>
    <t>SAF</t>
  </si>
  <si>
    <t>Centro de orientación al usuario en implementación</t>
  </si>
  <si>
    <t>Centro de Orientación en implementación</t>
  </si>
  <si>
    <t>JHON COBOS TELLEZ [Coordinador(a)]</t>
  </si>
  <si>
    <t xml:space="preserve">No presenta avance el indicador, teniendo en cuenta que el Plan de trabajo de la implementación del Centro de Orientación se ejecutará una vez se dé el traslado a la nueva sede. </t>
  </si>
  <si>
    <t>No presenta avance el indicador, teniendo en cuenta que el Plan de trabajo de la implementación del Centro de Orientación se ejecutará una vez se dé el traslado a la nueva sede. En el mes de marzo se adelantó reunión con el Grupo de Gestión Administrativa, con el fin de revisar los temas de accesibilidad.</t>
  </si>
  <si>
    <t>-</t>
  </si>
  <si>
    <t>Avance en la caracterización grupos de interés</t>
  </si>
  <si>
    <t>(Actividades realizadas * peso porcentual ) / total de actividades</t>
  </si>
  <si>
    <t>Se definieron un total de 4 actividades, así:
1. Ajuste formulario de caracterización
2. Identificación de Entidades Públicas - Autoridades Ambientales (de acuerdo con la priorización).
3. Aplicación de formulario de caracterización.
4. Tabulación y Resultados</t>
  </si>
  <si>
    <t>Aumentar la Satisfacción de los Usuarios frente a los trámites y Servicios</t>
  </si>
  <si>
    <t>Incrementar en 5 puntos el grado de satisfacción de los usuarios externos frente a los trámites y Servicios</t>
  </si>
  <si>
    <t>Resultados Encuesta de Satisfacción 2019</t>
  </si>
  <si>
    <t>Fortalecimiento de los canales de atención.</t>
  </si>
  <si>
    <t>Implementar 3 nuevos canales de atención a los usuarios y/o ciudadanos</t>
  </si>
  <si>
    <t>No está programado para el mes de enero</t>
  </si>
  <si>
    <t>Se implementaran 3 nuevos canales:
1. Virtual hold
2. Click to call
3. Chatbot</t>
  </si>
  <si>
    <t>Fortalecer la utilización de medios electrónicos en el proceso de notificación de los actos administrativos expedidos por la Entidad</t>
  </si>
  <si>
    <t xml:space="preserve">Notificaciones por medios electrónicos / notificaciones realizadas </t>
  </si>
  <si>
    <t xml:space="preserve">se evidencia que el 73% de las notificaciones realizadas en la vigencia 2019 fueron por medios electrónicos y un 25% por medios físicos, sin embargo, de este número de notificaciones físicas se realizaron 722 notificaciones a la empresa ECOPETROL SA. y 228 a la empresa ADAMA, quienes no aceptan la utilización de medios electrónicos en los procesos de notificación. </t>
  </si>
  <si>
    <t>En el reporte de notificaciones del mes de febrero se evidencia el cumplimiento del 79% en el citado indicador, cuya fuente es la base de datos de la  “Ventanilla Única de Tramites Ambientales - Vital” remitido por el área de tecnología del Grupo de Servicios Administrativos.</t>
  </si>
  <si>
    <t xml:space="preserve">Se evidencia el cumplimiento del 82,47% en el citado indicador, de los 1238 usuarios a notificar en el mes de marzo, 1018 fueron notificados a traves de medios electrónicos y 220 medios físicos. La  fuente de información es la base de datos de la  “Ventanilla Única de Tramites Ambientales - Vital” remitido por el área de Tecnologías de la Información. </t>
  </si>
  <si>
    <t>Caracterización de los conflictos de competencia de la Autoridad Nacional de Licencias Ambiental</t>
  </si>
  <si>
    <t>Número de actividades elaboradas/Número de actividades programadas</t>
  </si>
  <si>
    <t xml:space="preserve">Se llevó a cabo la primera actividad del Plan de Trabajo correspondiente al Análisis de información recolectada en 2019 sobre denuncias ambientales, requerimientos de entes de control  y resultados de las acciones de presencia territorial y, la definición y métodos para la caracterización de los conflictos para la ANLA. </t>
  </si>
  <si>
    <t>Porcentajes de peticiones, quejas, reclamos y sugerencias (PQRS) atendidas de manera oportuna</t>
  </si>
  <si>
    <t>N° de PQRS respondidos por el GAC en los terminos legales durante el periodo / N° de PQRS asignados al GAC</t>
  </si>
  <si>
    <t>Base de datos Control de tiempos DPE 2019</t>
  </si>
  <si>
    <t xml:space="preserve">Recibidos en agosto atendido en enero 1
Recibidos en septiembre atendido en enero 1
Recibidos en octubre atendido en enero 3
Recibidos en noviembre atendido en enero 4
Recibidos en diciembre atendido en enero 84
Recibidos en enero atendido en enero 368
Recibidos en agosto para elaborar auto de desistimiento. 4
Recibidos en septiembre para elaborar auto de desistimiento. 8
Recibidos en octubre para elaborar auto de desistimiento. 3
Recibidos en diciembre para elaborar auto de desistimiento. 1
Recibidos en diciembre se encuentran en trámite dentro del término. 2 
Recibidos en enero se encuentran en trámite dentro del término. 210
Nota 1: se aclara que de los 12 registros de octubre reportados en diciembre pendientes para elaborar auto de desistimiento, en 4 de ellos el profesional a cargo identificó que el usuario cumplió con el requerimiento en el término establecido, y la solicitud fue remitida al expediente, por lo tanto no es necesario elaborar auto de desistimiento.
Nota 2: se aclara que de los 7 registros de noviembre reportados en diciembre pendientes para elaborar auto de desistimiento, en 3 de ellos el profesional a cargo identificó que el usuario cumplió con el requerimiento en el término establecido, y la solicitud fue remitida al expediente, por lo tanto no es necesario elaborar auto de desistimiento.
Nota 3: se aclara que de los 95 registros de diciembre reportados en el mismo mes, 1 de ellos el profesional a cargo identificó que el usuario cumplió con el requerimiento en el término establecido, y la solicitud fue remitida al expediente, 
con 4 registros se evidencia que tenían respuesta en el mes de diciembre (2019203035-1-000, 2019202811-1-000, 2019206508-1-000, 2019202704-1-000), 3 fueron reasignados al expediente (2019200394-1-000, 2019205346-1-000, 2019206837-1-000) 1 fue anulado (2019205064-1-000) y 1 reasignado a la SIPTA ( 2019206726-1-000)
</t>
  </si>
  <si>
    <t>En los meses de Enero y febrero se el Grupo de Atención al Ciudadano respondió en terminos legales 718 PQRS, de un total de recibidos de 724, es decir, se respondieron fuera de termino 6 PQRS.</t>
  </si>
  <si>
    <t>En los meses de Enero, febrero y marzo el Grupo de Participación Ciudadana y Atención al Ciudadano respondió en terminos legales 1341 PQRS, de un total de recibidos de 1351, es decir, se respondieron fuera de termino 10 PQRS.</t>
  </si>
  <si>
    <t>Gestión administrativa, financiera y del talento humano</t>
  </si>
  <si>
    <t>Gestión de contratación</t>
  </si>
  <si>
    <t>Contratos</t>
  </si>
  <si>
    <t>Porcentaje de certificaciones realizadas y enviadas</t>
  </si>
  <si>
    <t>N° de certificaciones enviadas a los contratistas por medio de correo electrónico/ contratos terminados en 2019 y 2020 sin certificación</t>
  </si>
  <si>
    <t>MARIA ELMIRA DIAZ ROJAS [Coordinador(a)]</t>
  </si>
  <si>
    <t>Ente indicador se reportan trimestralmente</t>
  </si>
  <si>
    <t>Este indicador tiene periodicidad de reporte trimestral, por lo que el primer reporte se hará en abril de 2020, incluyendo los meses de enero a marzo.</t>
  </si>
  <si>
    <t xml:space="preserve">En el primer trimestre de 2020 se logró enviar 997 certificaciones de un total de 1623 contratos terminados que se deben certificar. </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</si>
  <si>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</si>
  <si>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</si>
  <si>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En el mes de enero fueron suscritos 566 contratos, de los cuales el 100% fueron firmados dentro de los términos del procedimiento.</t>
  </si>
  <si>
    <t>El mes de febrero se firmaron 135 contratos de Prestación de Servicios Profesionales y/o Apoyo, los cuales se firmaron dentro de los términos en su totalidad.</t>
  </si>
  <si>
    <t>El mes de marzo se firmaron 21 contratos de Prestación de Servicios Profesionales y/o Apoyo, los cuales se firmaron dentro de los términos en su totalidad.</t>
  </si>
  <si>
    <t>Porcentaje de liquidaciones realizadas dentro de los términos de ley.</t>
  </si>
  <si>
    <t>N° de liquidaciones realizadas / Solicitudes de liquidación recibidas en debida forma</t>
  </si>
  <si>
    <t xml:space="preserve">Entre los meses de enero y marzo se recibieron 19 solicitudes de liquidación en debida forma, de las cuales se liquidaron 10 contratos. </t>
  </si>
  <si>
    <t>Gestión financiera</t>
  </si>
  <si>
    <t>Finanzas y presupuesto</t>
  </si>
  <si>
    <t>Porcentaje de recaudo efectivo</t>
  </si>
  <si>
    <t>Valor Recaudo efectivo / (Meta recaudo vigencia 2020)</t>
  </si>
  <si>
    <t>2 Recaudo efectivo servicio de seguimiento</t>
  </si>
  <si>
    <t>Valor efectivo recaudado servicio de seguimiento / (Valor proyectado recaudo por servicio de seguimiento)</t>
  </si>
  <si>
    <t>MARTA PATRICIA CRISTANCHO MEDINA [Coordinador(a)]</t>
  </si>
  <si>
    <t>En el mes de enero se recaudó $6.445.640.723 correspondiente al 4% de la meta  $ 145.132.117.462 esperada para la vigencia 2020.</t>
  </si>
  <si>
    <t>En el mes de enero se recaudó por el servicio de  seguimiento $5.593.386.723 correspondiente al 5% de la meta  $ 104.311.415.646,781 esperada para la vigencia 2020.</t>
  </si>
  <si>
    <t>Al mes de febrero se ha recaudado $11.248.540.381 correspondiente al 8% de la meta  $ 145.132.117.462 esperada para la vigencia 2020.</t>
  </si>
  <si>
    <t>Al mes de febrero se ha recaudado por el servicio de  seguimiento  $ 9.251.994.529 correspondiente al 9% de la meta  $ 104.311.415.646,781 esperada para la vigencia 2020.</t>
  </si>
  <si>
    <t>Al mes de marzo se ha recaudado $22,147,193,124 correspondiente al 15% de la meta  $ 145.132.117.462 esperada para la vigencia 2020.</t>
  </si>
  <si>
    <t>Al mes de marzo se ha recaudado por el servicio de  seguimiento  $19,279,085,420 correspondiente al 19% de la meta  $ 104.311.415.646,781 esperada para la vigencia 2020.</t>
  </si>
  <si>
    <t>Avance en la estrategia de sostenibilidad financiera de ANLA</t>
  </si>
  <si>
    <t>(Avance de las actividades* peso porcentual) / total de actividades</t>
  </si>
  <si>
    <t xml:space="preserve">Actualmente la Subdirección Administrativa y Financiera está adelantando el trámite de contratación de la persona encargada de la estrategia de sostenibilidad financiera de ANLA </t>
  </si>
  <si>
    <t>Avance a la Ejecución presupuestal en obligaciones</t>
  </si>
  <si>
    <t>Valor obligado / valor comprometido</t>
  </si>
  <si>
    <t>El prespuesto vigencia 2020 para el mes de enero registró obligaciones acumulados del 9%; Incluyendo apropiacion vigente de presupuesto de regalias asignada a la ANLA mediante Resolucion 659-2019</t>
  </si>
  <si>
    <t>El prespuesto vigencia 2020 para el mes de febrero registró obligaciones acumulados del 16%; Incluyendo presupuesto comprometido de regalias,apropiacion que fue asignada a la ANLA mediante Resolucion 659-2019</t>
  </si>
  <si>
    <t>El prespuesto vigencia 2020 para el mes de marzo registró obligaciones acumulados del 23%; Incluyendo presupuesto comprometido de regalias,apropiacion que fue asignada a la ANLA mediante Resolucion 659-2019</t>
  </si>
  <si>
    <t>Avance a la Ejecución presupuestal en compromisos</t>
  </si>
  <si>
    <t>Valor comprometido / programación presupuestal de las dependencias</t>
  </si>
  <si>
    <t>El prespuesto vigencia 2020 para el mes de enero registró compromisos acumulados del 54%; Incluyendo apropiacion vigente de presupuesto de regalias asignada a la ANLA mediante Resolucion 659-2019</t>
  </si>
  <si>
    <t>El prespuesto vigencia 2020 para el mes de febrero registró compromisos acumulados del 60%; Incluyendo apropiacion vigente de presupuesto de regalias asignada a la ANLA mediante Resolucion 659-2019</t>
  </si>
  <si>
    <t>El prespuesto vigencia 2020 para el mes de marzo registró compromisos acumulados del 69%; Incluyendo apropiacion vigente de presupuesto de regalias asignada a la ANLA mediante Resolucion 659-2019</t>
  </si>
  <si>
    <t>Implementación del Gestor Documental</t>
  </si>
  <si>
    <t>Número de actividades desarrolladas/Número de actividades programadas</t>
  </si>
  <si>
    <t>JOSE RAUL NAVARRETE VALBUENA [Coordinador(a)]</t>
  </si>
  <si>
    <t>Se está elaborando la ficha técnica para el proceso de adquisición del Gestor Documental, la cual se encuentra en borrador.</t>
  </si>
  <si>
    <t>Se ajusto la ficha técnica en conjunto con el área de técnologias y se envio a los oferentes para dar inicio al proceso de Estudio de Mercados. Se anexa correo electrónico como evidencia.</t>
  </si>
  <si>
    <t>Plan Institucional de Archivos PINAR diseñado y en implementación</t>
  </si>
  <si>
    <t>Tablas de Retención Documental implementadas</t>
  </si>
  <si>
    <t>Tablas de retención documental implementadas</t>
  </si>
  <si>
    <t>Para el mes de enero no se programó proceso de implementación de TRD según cronograma</t>
  </si>
  <si>
    <t>De acuerdo con las actividades planteadas en los cronogramas definidos en el PINAR, se ejecutó la totalidad como se describe en el avance del indicador.</t>
  </si>
  <si>
    <t>Se llevó a cabo el proceso de implementación de TRD en la Oficina de Control Interno.</t>
  </si>
  <si>
    <t>Número de metros lineales digitalizados</t>
  </si>
  <si>
    <t>No. de metros lineales de archivo organizados y digitalizados</t>
  </si>
  <si>
    <t>Para el mes de enero no se programó proceso de implementación de Metros lineales digitalizados según cronograma</t>
  </si>
  <si>
    <t>El proceso de digitalización está asociado al proyecto de implementación del gestor Documental, por lo que durante el mes de febrero no hay avance.</t>
  </si>
  <si>
    <t>El proceso de digitalización está asociado al proyecto de implementación del gestor Documental, por lo que durante el mes de Marzo no hay avance.</t>
  </si>
  <si>
    <t>Número de transferencias documentales formalizadas</t>
  </si>
  <si>
    <t>Transferencias documentales formalizadas/Transferencias Documentales por Formalizar</t>
  </si>
  <si>
    <t>El proceso de digitalización está asociado al proyecto de implementación del gestor Documental, por lo que durante el mes de enero no hay avance.</t>
  </si>
  <si>
    <t>Se llevó a cabo el proceso correspondiente en el Grupo de Atención al Ciudadano</t>
  </si>
  <si>
    <t>Se llevó a cabo la Transferencia Documental correspondiente en el Grupo de Atención al Ciudadano.</t>
  </si>
  <si>
    <t>Tablas de Retención Documental actualizadas</t>
  </si>
  <si>
    <t># Total de Tablas de Retención Documental actualizadas / # Total de Tablas de Retención Documental por Actualizar</t>
  </si>
  <si>
    <t>De acuerdo con el cronograma, para el mes de enero no se programó proceso de formalización de transferencias, sin embargo se llevó a cabo transferencia de 131 cajas de archivo correspondientes al Grupo de Finanzas y Presupuesto.</t>
  </si>
  <si>
    <t>No se realizó actualización de las TRD, debido a que este proceso está asociado al cambio de la estructura organizacional de la entidad.</t>
  </si>
  <si>
    <t>Se dio inicio al proceso de la actualización de las TRD a partir de la nueva estructura organizacional, se realizo cuadro comparativo de las dependencias actuales frente a las TRDS convalidadas en el año 2018.</t>
  </si>
  <si>
    <t>Gestión administrativa</t>
  </si>
  <si>
    <t>Servicios administrativos</t>
  </si>
  <si>
    <t>Uso adecuado sobre el consumo del recurso papel</t>
  </si>
  <si>
    <t>(Promedio mensual (peso hoja) histórico - Consumo mensual (peso hoja))) / (Promedio anual historico (peso hoja)</t>
  </si>
  <si>
    <t>En el mes de enero, el consumo total fue de 269.496 número de hojas, para un ahorro del 14%, comparado con el promedio anual histórico que es de 313.518 número de hojas.</t>
  </si>
  <si>
    <t>En el mes de febrero, el consumo total fue de 167.213 número de hojas, para un ahorro del 35%, comparado con el promedio anual histórico que es de 313.518 número de hojas.</t>
  </si>
  <si>
    <t xml:space="preserve">En el mes de marzo, el consumo total fue de 103.640 número de hojas, para un ahorro del 60%, comparado con el promedio anual histórico que es de 313.518 número de hojas.
(la meta se supera teniendo en cuenta la contingencia por el COVID-19 y la ausencia de usuarios internos en la entidad) </t>
  </si>
  <si>
    <t>Grado de satisfacción en casos mesa de ayuda</t>
  </si>
  <si>
    <t>Porcentaje de satisfaccIón en mesa de ayuda</t>
  </si>
  <si>
    <t>Se calificaron en el mes de enero un total de 92 casos, de los cuales 67 fueron de calificación excelente (100/100), 23 casos de calificación bueno (70/100) y 2 casos de calificación regular (30/100) para un total de 91% de satisfacción.</t>
  </si>
  <si>
    <t>Se calificaron en el mes de enero un total de 58 casos, de los cuales 40 fueron de calificación excelente (100/100), 18 casos de calificación bueno (70/100) y 3 casos de calificación regular (30/100) para un total de 94% de satisfacción.</t>
  </si>
  <si>
    <t>Se calificaron en el mes de marzo un total de 41 casos, de los cuales 26 fueron de calificación excelente (100/100), 13 casos de calificación bueno (70/100) y 2 casos de calificación regular (30/100) para un total de 89% de satisfacción.</t>
  </si>
  <si>
    <t>Porcentaje de cumplimiento del cronograma para el traslado</t>
  </si>
  <si>
    <t>Actividades del cronograma de trabajo realizadas / Actividades del cronograma de trabajo planeadas</t>
  </si>
  <si>
    <t xml:space="preserve">Se programaron en el cronograma de traslado de la sede un total de 8 Macroactividades para el periodo, las cuales se cumplieron en su totalidad 4 de ellas </t>
  </si>
  <si>
    <t xml:space="preserve">Se programaron en el cronograma de traslado de la sede un total de 8 Macroactividades para el periodo, las cuales se cumplieron en su totalidad 5 de ellas </t>
  </si>
  <si>
    <t>Gestión del Talento humano</t>
  </si>
  <si>
    <t>Talento humano</t>
  </si>
  <si>
    <t>Porcentaje de impacto de los eventos de bienestar</t>
  </si>
  <si>
    <t>Calificación actividad 1 + Calificación actividad 2+ Calificación actividad (n)/ # de actividades calificadas</t>
  </si>
  <si>
    <t>Participación del núcleo familiar de los funcionarios en las actividades de bienestar.</t>
  </si>
  <si>
    <t># servidores que asisten con su núcleo familiar/# Servidores Asistentes total</t>
  </si>
  <si>
    <t>JOHN MAURICIO ARDILA SANTOS [Coordinador(a)]</t>
  </si>
  <si>
    <t>Durante el mes de ENERO realizaron las actividades respectivas para publicación del Programa de bienestar e incentivos, se hace referencia que el cronograma esta para ser realizado con el proceso contractual, en cual se esta trabajando para contratar dicho proceso.</t>
  </si>
  <si>
    <t>Durante el mes de ENERO se realizaron las actividades respectivas para publicación del Programa de bienestar e incentivos, se hace referencia que el cronograma está para ser ejecutado con el proceso contractual, en cual se esta trabajando para contratar dicho proceso.</t>
  </si>
  <si>
    <t>Durante el mes de FEBRERO se evaluó una actividad “Evaluación actividad del programa de bienestar social: Primera Jornada Laboral Continua”  que se realizó en dicho mes, la cual da como puntaje final obtuvo un total de 97,92% cumpliendo así con la meta mensual.</t>
  </si>
  <si>
    <t>Durante el mes de MARZO se evaluaron 6 actividades obtuvo un total de 84% de cumplimiento, a continuación, se listan las actividades:
1.	Jornada de atención y servicios del Teatro Nacional: 91%.
2.	Jornada de atención y servicios de Mary Kay en el marco de la conmemoración del Día Internacional de la Mujer: 80%.
3.	Jornada de atención y servicios de CAFAM: 93%.
4.	Capacitación Planeación Financiera en el marco de la Escuela de Desarrollo Personal y Familiar: 67%.
5.	Jornada de atención y servicios de AGROMIEL: 82%.
6.	Jornada de atención y servicios de FAVI: 90%</t>
  </si>
  <si>
    <t>Tasa de calidad de capacitaciones iguales o superiores a 2 horas</t>
  </si>
  <si>
    <t>Durante el mes de ENERO realizaron las siguientes actividades (los porcentajes correspondientes de las actividades son de la evaluación que se les practica a los asistentes frente a la capacitación recibida):
1.	ACUERDOS DE GESTIÓN ENERO CALIFICACIÓN: 96.881%
2.	CONOCIENDO LA ANLA ENERO CALIFICACIÓN: 95.394%
3.	SILA-VITAL-ULISES ENERO CALIFICACIÓN: 92.003%
4.	SIGPRO ENERO CALIFICACIÓN: 93.573%
5.	ACTUALIZACIÓN EN LEGISLACION AMBIENTAL ENERO CALIFICACIÓN: 97.096%
Utilizando la formula del indicador se obtiene un promedio del 94,9894% de calificación (excelente- bueno) del evento cumpliendo con la meta mensual de pasar del 90% de porcentaje positivo en los eventos.</t>
  </si>
  <si>
    <t>Durante el mes de FEBRERO realizaron las siguientes actividades (los porcentajes correspondientes de las actividades son de la evaluación que se les practica a los asistentes frente a la capacitación recibida):
1.	SENSIBILIZACION GESTION DOCUMENTAL ENERO 99,0208333333333%
2.	CONTROL DISCIPLINARIO INTERNO ENERO 95,3303571428572%
3.	CONOCIENDO LA ANLA FEBRERO 98,2447916666667%
4.	SIGPRO FEBRERO 96,9891975308642%
5.	NEGOCIACION COLECTIVA FEBRERO 91,6458333333333%
6.	GESTION DOCUMENTAL FEBRERO 99,0416666666667%
7.	CADENAS PRODUCTIVAS FEBRERO 95,9904513888889%
8.	SECOP II FEBRERO 96,2878787878788%
9.	SILA VITAL ULISES FEBRERO 96,9285714285714%
10.	AGIL FEBRERO 97,8802083333333%
11.	DEFENSA JUDICIAL Y CONCILIACION EN LA ANLA 96,6845238095238%
12.	FORMULACION Y MEDICION DE INDICADORES 93,3%
Utilizando la formula del indicador se obtiene un promedio del 96,45% de calificación (excelente- bueno) del evento cumpliendo con la meta mensual de pasar del 90% de porcentaje positivo en los eventos.
Nota: durante el mes de febrero para el promedio reportado se tuvo en cuenta dos actividades del mes de enero que no se habían reportado.</t>
  </si>
  <si>
    <t>Durante el mes de MARZO realizaron las siguientes actividades (los porcentajes correspondientes de las actividades son de la evaluación que se les practica a los asistentes frente a la capacitación recibida):
AGIL MARZO	96,88%
LA FUNCIÓN ECOLÓGICA DE LA PROPIEDAD Y DE LA EMPRESA MARZO	93,00%
Utilizando la formula del indicador se obtiene un promedio del 94,4% de calificación (excelente- bueno) del evento cumpliendo con la meta mensual de pasar del 90% de porcentaje positivo en los eventos.</t>
  </si>
  <si>
    <t>Disminuir en un 5% el nivel de estrés de funcionarios que puntuaron muy alto en la Batería de Riesgo Psico-social.</t>
  </si>
  <si>
    <t>Resultado de la Batería de riesgo Psicosocial 2019 en la variable \\\"muy alto en estrés” (-) Resultado de la Batería de riesgo Psicosocial en la variable\\\"muy alto en estrés” 2020</t>
  </si>
  <si>
    <t>Acciones para la disminución de la variable\\muy alto en estrés</t>
  </si>
  <si>
    <t>Acciones realizadas para reducir el nivel de estrés en los funcionarios/ Acciones Programadas para reducir el nivel de estrés en los funcionarios</t>
  </si>
  <si>
    <t>En el mes de enero del presente se aplicó la batería  a los funcionarios que no habían contestado en el mes de diciembre de 2019, se realizó la tabulación de 598 baterías, las acciones encaminadas a disminuir en un 5% los funcionarios con nivel  de estrés alto y muy alto se programaran una vez se cuente con el informe diagnóstico de riesgo psicosocial, está programado para el mes de febrero.</t>
  </si>
  <si>
    <t>En la evaluación de factores de riesgo psicosocial realizada en diciembre de 2019  se evaluaron 597  personas de las cuales 141 puntuaron alto y muy alto en el nivel de estrés, es decir el 23% de la población evaluada, el indicador de calidad de vida pretende que se disminuya en un 5% esta población, por lo cual se programaron 65 actividades en el Plan de Trabajo año 2020 de SST con el objetivo de disminuir esta población con estrés alto y muy alto.</t>
  </si>
  <si>
    <t>Durante el mes de FEBRERO se logró un avance del 7,69230769230769% correspondiente a las actividades que a continuación se describen:
A la fecha de hoy hemos realizado 5 actividades 1 de enero y 4 de febrero así:
Enero 
•	Programación y realización de actividades físicas para colaboradores - Hábitos de Vida Saludable: Pausas Activas 65 personas
Febrero 
•	Intervención en promoción y prevención -personal asintomático y riesgo bajo: Cobertura de 219 personas 
•	Intervención población en riesgo medio y alto - Escuela terapéutica Psicosocial: Cobertura de 28 personas en jornada integral de salud 
•	Revisión y Actualización del documento de Programa de Vigilancia Psicosocial
•	Revisión y Actualización del documento de Programa de Prevención de Riesgo Cardiovascular</t>
  </si>
  <si>
    <t>Durante el mes de MARZO se logró un avance del 12,3076923076923% correspondiente a las actividades que a continuación se describen:
1.	Intervención en promoción y prevención -personal asintomático y riesgo bajo - Pausas Activas
2.	Intervención población en riesgo medio y alto - Escuela terapéutica Psicosocial 
3.	Revisión y Actualización del documento de Programa de Vigilancia Psicosocial
4.	Retroalimentación  Individual a trabajadores que puntuaron  niveles  alto y muy alto en la  edición subjetiva de Factores de riesgo psicosocial.
5.	Realizar plan de capacitación 2020 sobre intervención Psicosocial 
6.	Jornadas de manejo de fatiga y carga mental (pausas cognitivas)  
7.	Capacitación  en prevención de riesgo psicosocial 
8.	Realización de envió de comunicados masivos sobre TIPs de prevención de riesgo cardiovascular.</t>
  </si>
  <si>
    <t>Promedio Indicadores de Producto</t>
  </si>
  <si>
    <t>Promedio de avance en metas de gestión</t>
  </si>
  <si>
    <t>No está programado para el mes</t>
  </si>
  <si>
    <t>Promedio de avance en metas de Producto SAF</t>
  </si>
  <si>
    <t>Promedio de avance en metas de gestión SAF</t>
  </si>
  <si>
    <t>Promedio Indicadores de Producto SAF</t>
  </si>
  <si>
    <t>ENERO</t>
  </si>
  <si>
    <t>FEBRERO</t>
  </si>
  <si>
    <t>MARZO</t>
  </si>
  <si>
    <t>Indicadores producto</t>
  </si>
  <si>
    <t>Indicadores de Gestión</t>
  </si>
  <si>
    <t>OAP</t>
  </si>
  <si>
    <t>OAJ</t>
  </si>
  <si>
    <t>TIC</t>
  </si>
  <si>
    <t>Control disciplinario</t>
  </si>
  <si>
    <t>OCI</t>
  </si>
  <si>
    <t>PROMEDIO SAF</t>
  </si>
  <si>
    <t>SMPC</t>
  </si>
  <si>
    <t>PROMEDIO SMPC</t>
  </si>
  <si>
    <t>Geomática</t>
  </si>
  <si>
    <t>PROMEDIO SES</t>
  </si>
  <si>
    <t>SIPTA</t>
  </si>
  <si>
    <t>Permisos y trámites</t>
  </si>
  <si>
    <t>PROMEDIO SIPTA</t>
  </si>
  <si>
    <t>PROMEDIO ENTIDAD</t>
  </si>
  <si>
    <t>* Aquellos indicadores que son constantes (todos los meses deben cumplir la meta propuesta) son normalizados según el tiempo promedio transcurridos, para no inflar el promedio de avance ni de los grupos, ni el de la entidad.</t>
  </si>
  <si>
    <t>Hidrocarburos REGALIAS</t>
  </si>
  <si>
    <t>Porcentaje de solicitudes de licenciamiento ambiental de los sectores hidrocarburos y minería resueltas dentro de tiempos de la normatividad ambiental vigente</t>
  </si>
  <si>
    <t>(Número de actos administrativos de los sectores de hidrocarburos y minería finalizados que resuelven solicitudes de evaluación a licencias ambientales dentro de términos del decreto 1076 / Número de solicitudes de licenciamiento ambiental a atender por los sectores de hidrocarburos y minería con vencimiento de términos) * 100\\n</t>
  </si>
  <si>
    <t>Camilo Alfonso Perez Otero</t>
  </si>
  <si>
    <t>Para el sector hidrocarburos se dio respueta en tèrminos a 3 expedientes de un total de tres a resolver</t>
  </si>
  <si>
    <t>Para el sector hidrocarburos se dio respuesta en tèrminos a 6 expedientes de un total de 6 a resolver. De estos tres corresponden a solicitud de nueva LA y los otros tres a modificación de LA existente</t>
  </si>
  <si>
    <t>Para el sector hidrocarburos se dio respuesta en tèrminos a 9 expedientes de un total de 9 a resolver. De estos 5 corresponden a solicitud de nueva LA y los otros 4 a modificación de LA existente</t>
  </si>
  <si>
    <t>Actos administrativos expedidos para resolver el seguimiento a proyectos licenciados</t>
  </si>
  <si>
    <t>Número de actos administrativos que acogen el seguimiento realizado a los proyectos licenciados</t>
  </si>
  <si>
    <t>En enero no se programaron visitas dado que no se habían incorporado las ternas completas. Se realizó la planeación trimestral de los proyectos sujetos a seguimiento. Se asignaron 40 expedientes para el primer trimestre.</t>
  </si>
  <si>
    <t>Se realizaron 19 visistas de seguimiento cuyos Conceptos Técnicos se encuentran en ejecución.  Se cuenta con un (1) CT numerado tipo documental</t>
  </si>
  <si>
    <t>En el primer trimestre del año se hizo énfasis en las visitas de campo para u total de 27, de estas, se han numerado 11 conceptos técnicos, de los cuáles 1 avanzó hasta la expedición del Acto Administrativo de Seguimiento</t>
  </si>
  <si>
    <t>Porcentaje de acciones de presencia institucional en región (APIR) desarrolladas por ANLA</t>
  </si>
  <si>
    <t>(Número de APIR desarrolladas/ número APIR programadas)* 100</t>
  </si>
  <si>
    <t>Se realizó seguimiento a contingencia de escape de gas en pozo en abandono (MKMS Cruzsur) en el departamento de La Guajira. En enero no se habían vinculado los Inspectores Regionales en los departamentos de vocación productora de hidrocarburos</t>
  </si>
  <si>
    <t>Se realizò un total de 27 acciones de presencia institucional en el territorio, de un total de 19 programadas concentradas en los departamentos de Meta y Caquetá</t>
  </si>
  <si>
    <t>Se realizò un total de 49 acciones de presencia institucional en el territorio, de un total de 74 programadas concentradas en los departamentos de Meta y Caquetá. Las restricciones al desplazamiento intermunicipal dificultó el desarrollo de acciones ya programadas.</t>
  </si>
  <si>
    <t>Minería regalias</t>
  </si>
  <si>
    <t>Para el sector minería se dio se dio respuesta en términos a 3 expedientes de un total de tres a resolver. Todos corresponden a solicitud de modificación a LA</t>
  </si>
  <si>
    <t>Para el sector minería se dio se dio respuesta en términos a 5 expedientes de un total de 5 a resolver. De estos, 3 corresponden a solicitud de modificación a LA y 2 nuevas solicitudes de LA</t>
  </si>
  <si>
    <t>En enero no se programaron visitas de seguimiento dado que no se habían incorporado las ternas completas. Se realizó la planeación de los proyectos sujetos a seguimiento. Con el personal vinculado en enero se avanzó en conceptos técnicos</t>
  </si>
  <si>
    <t>Durante el mes de febrero y primera semana de marzo se planeó la realización de visitas para la elaboración de los Conceptos técnicos. Se expidieron tres actos administrativos de seguimiento de igual número de conceptos técnicos </t>
  </si>
  <si>
    <t>Al periodo de corte se realizaron 10 visitas de seguimiento, con 3 conceptos finalizados e igual número de actos admnistrativos finalizados</t>
  </si>
  <si>
    <t>El 23 de enero se vinculó un Inspector regional para el departamento de La Guajira. Durante el periodo realizó los contactos con las nuevas administraciones municipales y departamental. Actualizó los formatos y presentaciones de conflictividad en territorio y pedagogia institucional</t>
  </si>
  <si>
    <t>Se realizó un total de 23 acciones de un total de 19 programadas. Estas se concentraron en el departamento de La Guajira</t>
  </si>
  <si>
    <t>En el primer trimestre se ejecutaron 28 acciones de presencia institucional de un total de 32 programadas. Estas se desarrollaron 19 en La Guajira y 9 en Antioquia.</t>
  </si>
  <si>
    <t>RASP regalias</t>
  </si>
  <si>
    <t>Durante el mes de enero, el equipo contratado con recursos de regalías resolvió dos solicitudes de giro ordinario en términos, una asociada al sector minería y otra al sector hidrocarburos. Además se dio respuesta a un informe de cambio menosasociado al sector idrocarburos, para un total de tres respuestas CMGO en términos</t>
  </si>
  <si>
    <t>El equipo contratado con recursos de regalías resolvió 9 solicitudes de pronunciamientos en términos de un total de nueve (9). De estos, siete (7) corresponden a Cambio Menor y dos (2) GO. Por sectores, ocho (8) pertenecen a HC y uno a Minería.</t>
  </si>
  <si>
    <t>El equipo contratado con recursos de regalías resolvió 20 solicitudes de pronunciamientos en términos de un total de nueve 20. De estos, 17 corresponden a Cambio Menor y 3 GO. Por sectores, 17 pertenecen a HC y 3 a Minería.</t>
  </si>
  <si>
    <t>Compensación y 1% regalias</t>
  </si>
  <si>
    <t>Porcentaje de Actos administrativos de seguimiento a obligaciones del 1% y compensaciones en los sectores Hidrocarburos y Minería</t>
  </si>
  <si>
    <t>(Número de Actos administrativos de respuesta al seguimiento de obligaciones de 1% y compensaciones de los sectores Hidrocarburos y minería / Total proyectos activos que contemplan la obligación de 1% y compensaciones en los sectores hidrocarburos y minería )*100</t>
  </si>
  <si>
    <t>Se numeraron 26 Actos Administrativos de acogimiento de igual número de conceptos técnicos</t>
  </si>
  <si>
    <t>Se numeraron 69 Actos Administrativos de acogimiento de 104 Conceptos Técnicos numerados. Estos representan la viabilidad de proyectos de inversión por 56,017 millones de pesos. El 100% de la meta corresponden a 747 AA, luego, el 55% asciende a 410 AA</t>
  </si>
  <si>
    <t>Se numeraron 128 Actos Administrativos de acogimiento de 162 Conceptos Técnicos numerados. Estos representan la viabilidad de proyectos de inversión por 59,704 millones de pesos viabilizados por el equipo de profesionales finacieros. El 100% de la meta corresponden a 747 AA, luego, el 55% asciende a 410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</si>
</sst>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0.0%"/>
    <numFmt numFmtId="167" formatCode="_-&quot;$&quot;* #,##0_-;\-&quot;$&quot;* #,##0_-;_-&quot;$&quot;* &quot;-&quot;_-;_-@_-"/>
    <numFmt numFmtId="168" formatCode="_(* #,##0_);_(* \(#,##0\);_(* &quot;-&quot;_);_(@_)"/>
    <numFmt numFmtId="169" formatCode="0.000%"/>
    <numFmt numFmtId="170" formatCode="_-[$$-240A]* #,##0.00_-;\-[$$-240A]* #,##0.00_-;_-[$$-240A]* &quot;-&quot;??_-;_-@_-"/>
    <numFmt numFmtId="171" formatCode="_-&quot;$&quot;\ * #,##0_-;\-&quot;$&quot;\ * #,##0_-;_-&quot;$&quot;\ * &quot;-&quot;??_-;_-@_-"/>
    <numFmt numFmtId="172" formatCode="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12"/>
      <color theme="1"/>
      <name val="Arial Narrow"/>
      <family val="2"/>
    </font>
    <font>
      <sz val="9"/>
      <name val="Calibri"/>
      <family val="2"/>
      <scheme val="minor"/>
    </font>
    <font>
      <b/>
      <sz val="14"/>
      <color theme="1"/>
      <name val="Calibri"/>
      <family val="2"/>
      <scheme val="minor"/>
    </font>
    <font>
      <b/>
      <sz val="12"/>
      <color theme="1"/>
      <name val="Arial Narrow"/>
      <family val="2"/>
    </font>
    <font>
      <b/>
      <sz val="14"/>
      <name val="Calibri"/>
      <family val="2"/>
      <scheme val="minor"/>
    </font>
    <font>
      <b/>
      <sz val="12"/>
      <name val="Arial Narrow"/>
      <family val="2"/>
    </font>
    <font>
      <sz val="9"/>
      <color theme="0"/>
      <name val="Calibri"/>
      <family val="2"/>
      <scheme val="minor"/>
    </font>
    <font>
      <b/>
      <sz val="9"/>
      <color theme="1"/>
      <name val="Calibri"/>
      <family val="2"/>
      <scheme val="minor"/>
    </font>
    <font>
      <sz val="9"/>
      <color theme="9" tint="-0.499984740745262"/>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1"/>
      <name val="Calibri"/>
      <family val="2"/>
      <scheme val="minor"/>
    </font>
    <font>
      <sz val="10"/>
      <color theme="0"/>
      <name val="Calibri"/>
      <family val="2"/>
      <scheme val="minor"/>
    </font>
    <font>
      <b/>
      <sz val="11"/>
      <color rgb="FF000000"/>
      <name val="Calibri"/>
      <family val="2"/>
      <scheme val="minor"/>
    </font>
    <font>
      <sz val="11"/>
      <color rgb="FF000000"/>
      <name val="Calibri"/>
      <family val="2"/>
      <scheme val="minor"/>
    </font>
    <font>
      <b/>
      <sz val="12"/>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9" tint="-0.499984740745262"/>
        <bgColor rgb="FF000000"/>
      </patternFill>
    </fill>
    <fill>
      <patternFill patternType="solid">
        <fgColor theme="0" tint="-0.499984740745262"/>
        <bgColor indexed="64"/>
      </patternFill>
    </fill>
    <fill>
      <patternFill patternType="solid">
        <fgColor rgb="FFA9D08E"/>
        <bgColor rgb="FF000000"/>
      </patternFill>
    </fill>
    <fill>
      <patternFill patternType="solid">
        <fgColor rgb="FFFFFFFF"/>
        <bgColor rgb="FF000000"/>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indexed="64"/>
      </right>
      <top style="thin">
        <color theme="2"/>
      </top>
      <bottom style="thin">
        <color theme="2"/>
      </bottom>
      <diagonal/>
    </border>
    <border>
      <left style="thin">
        <color indexed="64"/>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style="thin">
        <color theme="9" tint="0.79995117038483843"/>
      </right>
      <top style="thin">
        <color theme="9" tint="0.79995117038483843"/>
      </top>
      <bottom/>
      <diagonal/>
    </border>
    <border>
      <left style="thin">
        <color theme="9" tint="0.79995117038483843"/>
      </left>
      <right/>
      <top style="thin">
        <color theme="9" tint="0.79995117038483843"/>
      </top>
      <bottom/>
      <diagonal/>
    </border>
    <border>
      <left style="thin">
        <color theme="9" tint="0.79998168889431442"/>
      </left>
      <right style="thin">
        <color theme="9" tint="0.39997558519241921"/>
      </right>
      <top/>
      <bottom style="thin">
        <color theme="9" tint="0.79998168889431442"/>
      </bottom>
      <diagonal/>
    </border>
    <border>
      <left style="thin">
        <color theme="9" tint="0.39997558519241921"/>
      </left>
      <right style="thin">
        <color theme="9" tint="0.39997558519241921"/>
      </right>
      <top/>
      <bottom style="thin">
        <color theme="9" tint="0.79998168889431442"/>
      </bottom>
      <diagonal/>
    </border>
    <border>
      <left style="thin">
        <color theme="9" tint="0.39997558519241921"/>
      </left>
      <right style="thin">
        <color theme="9" tint="0.39997558519241921"/>
      </right>
      <top/>
      <bottom style="thin">
        <color theme="9" tint="0.39997558519241921"/>
      </bottom>
      <diagonal/>
    </border>
    <border>
      <left style="thin">
        <color theme="9" tint="0.39997558519241921"/>
      </left>
      <right/>
      <top/>
      <bottom/>
      <diagonal/>
    </border>
    <border>
      <left style="thin">
        <color theme="9" tint="0.79995117038483843"/>
      </left>
      <right style="thin">
        <color theme="9" tint="0.79995117038483843"/>
      </right>
      <top/>
      <bottom style="thin">
        <color theme="9" tint="0.79995117038483843"/>
      </bottom>
      <diagonal/>
    </border>
    <border>
      <left style="thin">
        <color theme="9" tint="0.79995117038483843"/>
      </left>
      <right/>
      <top/>
      <bottom style="thin">
        <color theme="9" tint="0.79995117038483843"/>
      </bottom>
      <diagonal/>
    </border>
    <border>
      <left style="thin">
        <color theme="9" tint="0.39997558519241921"/>
      </left>
      <right style="thin">
        <color theme="9" tint="0.39997558519241921"/>
      </right>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2065187536243"/>
      </left>
      <right/>
      <top style="thin">
        <color theme="9" tint="0.79998168889431442"/>
      </top>
      <bottom/>
      <diagonal/>
    </border>
    <border>
      <left style="thin">
        <color theme="9"/>
      </left>
      <right/>
      <top style="thin">
        <color theme="9" tint="0.79998168889431442"/>
      </top>
      <bottom/>
      <diagonal/>
    </border>
    <border>
      <left style="thin">
        <color theme="9" tint="0.79992065187536243"/>
      </left>
      <right/>
      <top/>
      <bottom/>
      <diagonal/>
    </border>
    <border>
      <left style="thin">
        <color theme="9"/>
      </left>
      <right/>
      <top/>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style="thin">
        <color theme="9" tint="0.79992065187536243"/>
      </left>
      <right/>
      <top/>
      <bottom style="thin">
        <color theme="9" tint="0.39997558519241921"/>
      </bottom>
      <diagonal/>
    </border>
    <border>
      <left style="thin">
        <color theme="9"/>
      </left>
      <right/>
      <top/>
      <bottom style="thin">
        <color theme="9" tint="0.39997558519241921"/>
      </bottom>
      <diagonal/>
    </border>
    <border>
      <left style="thin">
        <color theme="2"/>
      </left>
      <right/>
      <top style="thin">
        <color theme="2"/>
      </top>
      <bottom/>
      <diagonal/>
    </border>
    <border>
      <left style="thin">
        <color theme="9" tint="0.79998168889431442"/>
      </left>
      <right/>
      <top style="thin">
        <color theme="9" tint="0.39997558519241921"/>
      </top>
      <bottom/>
      <diagonal/>
    </border>
    <border>
      <left style="thin">
        <color theme="9"/>
      </left>
      <right style="thin">
        <color theme="9"/>
      </right>
      <top style="thin">
        <color theme="9"/>
      </top>
      <bottom style="thin">
        <color theme="9"/>
      </bottom>
      <diagonal/>
    </border>
    <border>
      <left style="thin">
        <color theme="9" tint="0.79998168889431442"/>
      </left>
      <right/>
      <top/>
      <bottom style="thin">
        <color theme="9" tint="0.79998168889431442"/>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9" tint="0.79998168889431442"/>
      </left>
      <right style="thin">
        <color theme="9" tint="0.39997558519241921"/>
      </right>
      <top/>
      <bottom/>
      <diagonal/>
    </border>
    <border>
      <left style="thin">
        <color theme="9" tint="0.79998168889431442"/>
      </left>
      <right/>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tint="0.39997558519241921"/>
      </left>
      <right/>
      <top/>
      <bottom style="thin">
        <color theme="2"/>
      </bottom>
      <diagonal/>
    </border>
    <border>
      <left/>
      <right style="thin">
        <color theme="2"/>
      </right>
      <top style="thin">
        <color theme="2"/>
      </top>
      <bottom/>
      <diagonal/>
    </border>
    <border>
      <left style="thin">
        <color rgb="FF70AD47"/>
      </left>
      <right style="thin">
        <color rgb="FF70AD47"/>
      </right>
      <top style="thin">
        <color rgb="FF70AD47"/>
      </top>
      <bottom style="thin">
        <color rgb="FF70AD47"/>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medium">
        <color indexed="64"/>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tint="0.79998168889431442"/>
      </left>
      <right style="thin">
        <color theme="9" tint="0.79998168889431442"/>
      </right>
      <top/>
      <bottom/>
      <diagonal/>
    </border>
    <border>
      <left style="thin">
        <color theme="9"/>
      </left>
      <right style="thin">
        <color theme="9"/>
      </right>
      <top/>
      <bottom style="thin">
        <color indexed="64"/>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diagonal/>
    </border>
    <border>
      <left style="dotted">
        <color auto="1"/>
      </left>
      <right style="thin">
        <color auto="1"/>
      </right>
      <top style="dotted">
        <color auto="1"/>
      </top>
      <bottom/>
      <diagonal/>
    </border>
    <border>
      <left style="thin">
        <color auto="1"/>
      </left>
      <right style="thin">
        <color auto="1"/>
      </right>
      <top/>
      <bottom style="dotted">
        <color auto="1"/>
      </bottom>
      <diagonal/>
    </border>
    <border>
      <left/>
      <right style="thin">
        <color indexed="64"/>
      </right>
      <top style="dotted">
        <color auto="1"/>
      </top>
      <bottom/>
      <diagonal/>
    </border>
    <border>
      <left style="thin">
        <color auto="1"/>
      </left>
      <right/>
      <top style="dotted">
        <color auto="1"/>
      </top>
      <bottom/>
      <diagonal/>
    </border>
    <border>
      <left/>
      <right style="thin">
        <color indexed="64"/>
      </right>
      <top/>
      <bottom style="dotted">
        <color auto="1"/>
      </bottom>
      <diagonal/>
    </border>
    <border>
      <left style="thin">
        <color auto="1"/>
      </left>
      <right style="dotted">
        <color auto="1"/>
      </right>
      <top style="dotted">
        <color auto="1"/>
      </top>
      <bottom/>
      <diagonal/>
    </border>
    <border>
      <left style="thin">
        <color auto="1"/>
      </left>
      <right style="dotted">
        <color auto="1"/>
      </right>
      <top/>
      <bottom/>
      <diagonal/>
    </border>
    <border>
      <left style="dotted">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9" tint="0.39997558519241921"/>
      </left>
      <right style="thin">
        <color theme="9" tint="0.39997558519241921"/>
      </right>
      <top/>
      <bottom style="thin">
        <color theme="2"/>
      </bottom>
      <diagonal/>
    </border>
  </borders>
  <cellStyleXfs count="9">
    <xf numFmtId="0" fontId="0" fillId="0" borderId="0"/>
    <xf numFmtId="41"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2" fontId="1" fillId="0" borderId="0" applyFont="0" applyFill="0" applyBorder="0" applyAlignment="0" applyProtection="0"/>
  </cellStyleXfs>
  <cellXfs count="687">
    <xf numFmtId="0" fontId="0" fillId="0" borderId="0" xfId="0"/>
    <xf numFmtId="0" fontId="4" fillId="2" borderId="0" xfId="0" applyFont="1" applyFill="1" applyAlignment="1">
      <alignment horizontal="center" vertical="center"/>
    </xf>
    <xf numFmtId="0" fontId="6" fillId="2" borderId="0" xfId="0" applyFont="1" applyFill="1" applyAlignment="1">
      <alignment horizontal="center" vertical="center"/>
    </xf>
    <xf numFmtId="14" fontId="6" fillId="2" borderId="0" xfId="0" applyNumberFormat="1" applyFont="1" applyFill="1" applyAlignment="1">
      <alignment horizontal="center" vertical="center"/>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2" fillId="2" borderId="0" xfId="0" applyFont="1" applyFill="1" applyAlignment="1">
      <alignment horizontal="center" vertical="center"/>
    </xf>
    <xf numFmtId="0" fontId="2" fillId="5" borderId="0" xfId="0" applyFont="1" applyFill="1" applyAlignment="1">
      <alignment horizontal="center" vertical="center"/>
    </xf>
    <xf numFmtId="0" fontId="2" fillId="4" borderId="9" xfId="0" applyFont="1" applyFill="1" applyBorder="1" applyAlignment="1">
      <alignment horizontal="center" vertical="center"/>
    </xf>
    <xf numFmtId="0" fontId="2" fillId="4" borderId="0" xfId="0" applyFont="1" applyFill="1" applyAlignment="1">
      <alignment horizontal="center" vertical="center"/>
    </xf>
    <xf numFmtId="0" fontId="2" fillId="5"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164" fontId="2" fillId="5" borderId="11" xfId="2" applyFont="1" applyFill="1" applyBorder="1" applyAlignment="1">
      <alignment horizontal="center" vertical="center"/>
    </xf>
    <xf numFmtId="0" fontId="4" fillId="7" borderId="19" xfId="0" applyFont="1" applyFill="1" applyBorder="1" applyAlignment="1">
      <alignment vertical="center" wrapText="1"/>
    </xf>
    <xf numFmtId="0" fontId="4" fillId="7" borderId="19" xfId="0" applyFont="1" applyFill="1" applyBorder="1" applyAlignment="1">
      <alignment horizontal="center" vertical="center" wrapText="1"/>
    </xf>
    <xf numFmtId="165" fontId="4" fillId="7" borderId="20" xfId="2" applyNumberFormat="1" applyFont="1" applyFill="1" applyBorder="1" applyAlignment="1">
      <alignment vertical="center" wrapText="1"/>
    </xf>
    <xf numFmtId="0" fontId="4" fillId="7" borderId="21" xfId="0" applyFont="1" applyFill="1" applyBorder="1" applyAlignment="1">
      <alignment horizontal="center" vertical="center" wrapText="1"/>
    </xf>
    <xf numFmtId="9" fontId="4" fillId="7" borderId="19" xfId="4" applyFont="1" applyFill="1" applyBorder="1" applyAlignment="1">
      <alignment horizontal="center" vertical="center" wrapText="1"/>
    </xf>
    <xf numFmtId="0" fontId="7" fillId="7" borderId="19" xfId="0" applyFont="1" applyFill="1" applyBorder="1" applyAlignment="1">
      <alignment horizontal="center" vertical="center" wrapText="1"/>
    </xf>
    <xf numFmtId="9" fontId="7" fillId="7" borderId="19" xfId="4" applyFont="1" applyFill="1" applyBorder="1" applyAlignment="1">
      <alignment horizontal="center" vertical="center" wrapText="1"/>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26" xfId="0" applyFont="1" applyFill="1" applyBorder="1" applyAlignment="1">
      <alignment vertical="center" wrapText="1"/>
    </xf>
    <xf numFmtId="0" fontId="4" fillId="6" borderId="26" xfId="0" applyFont="1" applyFill="1" applyBorder="1" applyAlignment="1">
      <alignment horizontal="center" vertical="center" wrapText="1"/>
    </xf>
    <xf numFmtId="165" fontId="4" fillId="6" borderId="27" xfId="2" applyNumberFormat="1" applyFont="1" applyFill="1" applyBorder="1" applyAlignment="1">
      <alignment vertical="center" wrapText="1"/>
    </xf>
    <xf numFmtId="0" fontId="4" fillId="6" borderId="0" xfId="0" applyFont="1" applyFill="1" applyAlignment="1">
      <alignment horizontal="center" vertical="center" wrapText="1"/>
    </xf>
    <xf numFmtId="0" fontId="4" fillId="6" borderId="30" xfId="0" applyFont="1" applyFill="1" applyBorder="1" applyAlignment="1">
      <alignment horizontal="center" vertical="center"/>
    </xf>
    <xf numFmtId="9" fontId="4" fillId="6" borderId="30" xfId="4" applyFont="1" applyFill="1" applyBorder="1" applyAlignment="1">
      <alignment horizontal="center" vertical="center"/>
    </xf>
    <xf numFmtId="0" fontId="4" fillId="6" borderId="30" xfId="0" applyFont="1" applyFill="1" applyBorder="1" applyAlignment="1">
      <alignment horizontal="center" vertical="center" wrapText="1"/>
    </xf>
    <xf numFmtId="0" fontId="7" fillId="6" borderId="30" xfId="0" applyFont="1" applyFill="1" applyBorder="1" applyAlignment="1">
      <alignment horizontal="center" vertical="center"/>
    </xf>
    <xf numFmtId="9" fontId="7" fillId="6" borderId="30" xfId="4" applyFont="1" applyFill="1" applyBorder="1" applyAlignment="1">
      <alignment horizontal="center" vertical="center"/>
    </xf>
    <xf numFmtId="0" fontId="7" fillId="6" borderId="30" xfId="0" applyFont="1" applyFill="1" applyBorder="1" applyAlignment="1">
      <alignment horizontal="center" vertical="center" wrapText="1"/>
    </xf>
    <xf numFmtId="0" fontId="4" fillId="6" borderId="0" xfId="0" applyFont="1" applyFill="1" applyAlignment="1">
      <alignment horizontal="left" vertical="center"/>
    </xf>
    <xf numFmtId="9" fontId="4" fillId="7" borderId="19" xfId="0" applyNumberFormat="1" applyFont="1" applyFill="1" applyBorder="1" applyAlignment="1">
      <alignment horizontal="center" vertical="center" wrapText="1"/>
    </xf>
    <xf numFmtId="0" fontId="4" fillId="8" borderId="31" xfId="0" applyFont="1" applyFill="1" applyBorder="1" applyAlignment="1">
      <alignment vertical="center" wrapText="1"/>
    </xf>
    <xf numFmtId="0" fontId="4" fillId="8" borderId="32" xfId="0" applyFont="1" applyFill="1" applyBorder="1" applyAlignment="1">
      <alignment vertical="center" wrapText="1"/>
    </xf>
    <xf numFmtId="0" fontId="4" fillId="8" borderId="32" xfId="0" applyFont="1" applyFill="1" applyBorder="1" applyAlignment="1">
      <alignment horizontal="center" vertical="center" wrapText="1"/>
    </xf>
    <xf numFmtId="0" fontId="4" fillId="8" borderId="33" xfId="0" applyFont="1" applyFill="1" applyBorder="1" applyAlignment="1">
      <alignment vertical="center" wrapText="1"/>
    </xf>
    <xf numFmtId="0" fontId="4" fillId="7" borderId="34" xfId="0" applyFont="1" applyFill="1" applyBorder="1" applyAlignment="1">
      <alignment horizontal="center" vertical="center" wrapText="1"/>
    </xf>
    <xf numFmtId="9" fontId="4" fillId="7" borderId="35" xfId="4" applyFont="1" applyFill="1" applyBorder="1" applyAlignment="1">
      <alignment horizontal="center" vertical="center" wrapText="1"/>
    </xf>
    <xf numFmtId="0" fontId="4" fillId="7" borderId="35" xfId="0" applyFont="1" applyFill="1" applyBorder="1" applyAlignment="1">
      <alignment horizontal="center" vertical="center" wrapText="1"/>
    </xf>
    <xf numFmtId="9" fontId="7" fillId="7" borderId="35" xfId="4" applyFont="1" applyFill="1" applyBorder="1" applyAlignment="1">
      <alignment horizontal="center" vertical="center" wrapText="1"/>
    </xf>
    <xf numFmtId="0" fontId="7" fillId="7" borderId="35" xfId="0" applyFont="1" applyFill="1" applyBorder="1" applyAlignment="1">
      <alignment horizontal="center" vertical="center" wrapText="1"/>
    </xf>
    <xf numFmtId="0" fontId="4" fillId="6" borderId="18" xfId="0" applyFont="1" applyFill="1" applyBorder="1" applyAlignment="1">
      <alignment vertical="center" wrapText="1"/>
    </xf>
    <xf numFmtId="0" fontId="4" fillId="6" borderId="18" xfId="0" applyFont="1" applyFill="1" applyBorder="1" applyAlignment="1">
      <alignment horizontal="center" vertical="center" wrapText="1"/>
    </xf>
    <xf numFmtId="9" fontId="4" fillId="6" borderId="26" xfId="4" applyFont="1" applyFill="1" applyBorder="1" applyAlignment="1">
      <alignment horizontal="center" vertical="center" wrapText="1"/>
    </xf>
    <xf numFmtId="165" fontId="4" fillId="6" borderId="40" xfId="2" applyNumberFormat="1" applyFont="1" applyFill="1" applyBorder="1" applyAlignment="1">
      <alignment vertical="center" wrapText="1"/>
    </xf>
    <xf numFmtId="0" fontId="4" fillId="6" borderId="41" xfId="0" applyFont="1" applyFill="1" applyBorder="1" applyAlignment="1">
      <alignment horizontal="center" vertical="center" wrapText="1"/>
    </xf>
    <xf numFmtId="0" fontId="4" fillId="6" borderId="26" xfId="0" applyFont="1" applyFill="1" applyBorder="1" applyAlignment="1">
      <alignment horizontal="center" vertical="center"/>
    </xf>
    <xf numFmtId="9" fontId="4" fillId="6" borderId="26" xfId="0" applyNumberFormat="1" applyFont="1" applyFill="1" applyBorder="1" applyAlignment="1">
      <alignment horizontal="center" vertical="center"/>
    </xf>
    <xf numFmtId="9" fontId="4" fillId="6" borderId="26" xfId="4" applyFont="1" applyFill="1" applyBorder="1" applyAlignment="1">
      <alignment horizontal="center" vertical="center"/>
    </xf>
    <xf numFmtId="9" fontId="7" fillId="6" borderId="26" xfId="4" applyFont="1" applyFill="1" applyBorder="1" applyAlignment="1">
      <alignment horizontal="center" vertical="center"/>
    </xf>
    <xf numFmtId="9" fontId="7" fillId="6" borderId="26" xfId="0" applyNumberFormat="1" applyFont="1" applyFill="1" applyBorder="1" applyAlignment="1">
      <alignment horizontal="center" vertical="center"/>
    </xf>
    <xf numFmtId="0" fontId="7" fillId="6" borderId="26"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165" fontId="4" fillId="2" borderId="0" xfId="2" applyNumberFormat="1" applyFont="1" applyFill="1" applyAlignment="1">
      <alignment vertical="center" wrapText="1"/>
    </xf>
    <xf numFmtId="10" fontId="9" fillId="9" borderId="30" xfId="0" applyNumberFormat="1" applyFont="1" applyFill="1" applyBorder="1" applyAlignment="1">
      <alignment horizontal="center" vertical="center" wrapText="1"/>
    </xf>
    <xf numFmtId="0" fontId="4" fillId="2" borderId="30" xfId="0" applyFont="1" applyFill="1" applyBorder="1" applyAlignment="1">
      <alignment horizontal="left" vertical="center" wrapText="1"/>
    </xf>
    <xf numFmtId="10" fontId="9" fillId="9" borderId="2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0" fontId="11" fillId="9" borderId="30" xfId="0" applyNumberFormat="1" applyFont="1" applyFill="1" applyBorder="1" applyAlignment="1">
      <alignment horizontal="center" vertical="center" wrapText="1"/>
    </xf>
    <xf numFmtId="0" fontId="7" fillId="2" borderId="30" xfId="0" applyFont="1" applyFill="1" applyBorder="1" applyAlignment="1">
      <alignment horizontal="left" vertical="center" wrapText="1"/>
    </xf>
    <xf numFmtId="10" fontId="11" fillId="9" borderId="2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6" borderId="46" xfId="0" applyFont="1" applyFill="1" applyBorder="1" applyAlignment="1">
      <alignment vertical="center" wrapText="1"/>
    </xf>
    <xf numFmtId="0" fontId="4" fillId="6" borderId="46" xfId="0" applyFont="1" applyFill="1" applyBorder="1" applyAlignment="1">
      <alignment horizontal="center" vertical="center" wrapText="1"/>
    </xf>
    <xf numFmtId="9" fontId="4" fillId="6" borderId="46" xfId="4" applyFont="1" applyFill="1" applyBorder="1" applyAlignment="1">
      <alignment horizontal="center" vertical="center" wrapText="1"/>
    </xf>
    <xf numFmtId="0" fontId="7" fillId="6" borderId="46" xfId="0" applyFont="1" applyFill="1" applyBorder="1" applyAlignment="1">
      <alignment horizontal="center" vertical="center" wrapText="1"/>
    </xf>
    <xf numFmtId="9" fontId="7" fillId="6" borderId="46" xfId="4" applyFont="1" applyFill="1" applyBorder="1" applyAlignment="1">
      <alignment horizontal="center" vertical="center" wrapText="1"/>
    </xf>
    <xf numFmtId="0" fontId="4" fillId="2" borderId="0" xfId="0" applyFont="1" applyFill="1" applyAlignment="1">
      <alignment horizontal="left" vertical="center" wrapText="1"/>
    </xf>
    <xf numFmtId="0" fontId="4" fillId="6" borderId="0" xfId="0" applyFont="1" applyFill="1" applyAlignment="1">
      <alignment horizontal="left" vertical="center" wrapText="1"/>
    </xf>
    <xf numFmtId="0" fontId="4" fillId="7" borderId="46" xfId="0" applyFont="1" applyFill="1" applyBorder="1" applyAlignment="1">
      <alignment vertical="center" wrapText="1"/>
    </xf>
    <xf numFmtId="0" fontId="4" fillId="7" borderId="46" xfId="0" applyFont="1" applyFill="1" applyBorder="1" applyAlignment="1">
      <alignment horizontal="center" vertical="center" wrapText="1"/>
    </xf>
    <xf numFmtId="0" fontId="4" fillId="7" borderId="16" xfId="0" applyFont="1" applyFill="1" applyBorder="1" applyAlignment="1">
      <alignment horizontal="center" vertical="center" wrapText="1"/>
    </xf>
    <xf numFmtId="9" fontId="4" fillId="7" borderId="46" xfId="4" applyFont="1" applyFill="1" applyBorder="1" applyAlignment="1">
      <alignment horizontal="center" vertical="center" wrapText="1"/>
    </xf>
    <xf numFmtId="0" fontId="7" fillId="7" borderId="46" xfId="0" applyFont="1" applyFill="1" applyBorder="1" applyAlignment="1">
      <alignment horizontal="center" vertical="center" wrapText="1"/>
    </xf>
    <xf numFmtId="9" fontId="7" fillId="7" borderId="46" xfId="4" applyFont="1" applyFill="1" applyBorder="1" applyAlignment="1">
      <alignment horizontal="center" vertical="center" wrapText="1"/>
    </xf>
    <xf numFmtId="0" fontId="4" fillId="7" borderId="0" xfId="0" applyFont="1" applyFill="1" applyAlignment="1">
      <alignment horizontal="left" vertical="center" wrapText="1"/>
    </xf>
    <xf numFmtId="0" fontId="4" fillId="7" borderId="46" xfId="0" applyFont="1" applyFill="1" applyBorder="1" applyAlignment="1">
      <alignment horizontal="center" vertical="center" wrapText="1"/>
    </xf>
    <xf numFmtId="9" fontId="4" fillId="7" borderId="46" xfId="4" applyFont="1" applyFill="1" applyBorder="1" applyAlignment="1">
      <alignment horizontal="center" vertical="center" wrapText="1"/>
    </xf>
    <xf numFmtId="9" fontId="4" fillId="6" borderId="46" xfId="0" applyNumberFormat="1" applyFont="1" applyFill="1" applyBorder="1" applyAlignment="1">
      <alignment horizontal="center" vertical="center" wrapText="1"/>
    </xf>
    <xf numFmtId="9" fontId="4" fillId="6" borderId="46" xfId="0" applyNumberFormat="1" applyFont="1" applyFill="1" applyBorder="1" applyAlignment="1">
      <alignment horizontal="center" vertical="center" wrapText="1"/>
    </xf>
    <xf numFmtId="9" fontId="7" fillId="6" borderId="46" xfId="0" applyNumberFormat="1" applyFont="1" applyFill="1" applyBorder="1" applyAlignment="1">
      <alignment horizontal="center" vertical="center" wrapText="1"/>
    </xf>
    <xf numFmtId="9" fontId="4" fillId="7" borderId="46" xfId="0" applyNumberFormat="1" applyFont="1" applyFill="1" applyBorder="1" applyAlignment="1">
      <alignment horizontal="center" vertical="center" wrapText="1"/>
    </xf>
    <xf numFmtId="9" fontId="7" fillId="7" borderId="46" xfId="0" applyNumberFormat="1" applyFont="1" applyFill="1" applyBorder="1" applyAlignment="1">
      <alignment horizontal="center" vertical="center" wrapText="1"/>
    </xf>
    <xf numFmtId="0" fontId="4" fillId="6" borderId="46" xfId="0" applyFont="1" applyFill="1" applyBorder="1" applyAlignment="1">
      <alignment horizontal="center" vertical="center"/>
    </xf>
    <xf numFmtId="0" fontId="4" fillId="6" borderId="46" xfId="0" applyFont="1" applyFill="1" applyBorder="1" applyAlignment="1">
      <alignment vertical="center"/>
    </xf>
    <xf numFmtId="165" fontId="4" fillId="6" borderId="0" xfId="2" applyNumberFormat="1" applyFont="1" applyFill="1" applyAlignment="1">
      <alignment vertical="center"/>
    </xf>
    <xf numFmtId="9" fontId="4" fillId="6" borderId="46" xfId="4" applyFont="1" applyFill="1" applyBorder="1" applyAlignment="1">
      <alignment horizontal="center" vertical="center"/>
    </xf>
    <xf numFmtId="0" fontId="7" fillId="6" borderId="46" xfId="0" applyFont="1" applyFill="1" applyBorder="1" applyAlignment="1">
      <alignment horizontal="center" vertical="center"/>
    </xf>
    <xf numFmtId="9" fontId="7" fillId="6" borderId="46" xfId="4" applyFont="1" applyFill="1" applyBorder="1" applyAlignment="1">
      <alignment horizontal="center" vertical="center"/>
    </xf>
    <xf numFmtId="165" fontId="4" fillId="7" borderId="16" xfId="2" applyNumberFormat="1" applyFont="1" applyFill="1" applyBorder="1" applyAlignment="1">
      <alignment vertical="center" wrapText="1"/>
    </xf>
    <xf numFmtId="0" fontId="4" fillId="0" borderId="0" xfId="0" applyFont="1" applyAlignment="1">
      <alignment horizontal="left" vertical="center"/>
    </xf>
    <xf numFmtId="164" fontId="4" fillId="2" borderId="0" xfId="2" applyFont="1" applyFill="1" applyAlignment="1">
      <alignment vertical="center" wrapText="1"/>
    </xf>
    <xf numFmtId="0" fontId="4" fillId="6" borderId="27" xfId="0" applyFont="1" applyFill="1" applyBorder="1" applyAlignment="1">
      <alignment horizontal="center" vertical="center" wrapText="1"/>
    </xf>
    <xf numFmtId="165" fontId="4" fillId="6" borderId="46" xfId="2" applyNumberFormat="1" applyFont="1" applyFill="1" applyBorder="1" applyAlignment="1">
      <alignment horizontal="center" vertical="center" wrapText="1"/>
    </xf>
    <xf numFmtId="0" fontId="7" fillId="6" borderId="46" xfId="0" applyFont="1" applyFill="1" applyBorder="1" applyAlignment="1">
      <alignment vertical="center" wrapText="1"/>
    </xf>
    <xf numFmtId="0" fontId="4" fillId="7" borderId="11" xfId="0" applyFont="1" applyFill="1" applyBorder="1" applyAlignment="1">
      <alignment horizontal="center" vertical="center" wrapText="1"/>
    </xf>
    <xf numFmtId="0" fontId="4" fillId="7" borderId="44" xfId="0" applyFont="1" applyFill="1" applyBorder="1" applyAlignment="1">
      <alignment horizontal="center" vertical="center" wrapText="1"/>
    </xf>
    <xf numFmtId="165" fontId="4" fillId="7" borderId="46" xfId="2" applyNumberFormat="1" applyFont="1" applyFill="1" applyBorder="1" applyAlignment="1">
      <alignment horizontal="center" vertical="center" wrapText="1"/>
    </xf>
    <xf numFmtId="10" fontId="4" fillId="7" borderId="46" xfId="4" applyNumberFormat="1" applyFont="1" applyFill="1" applyBorder="1" applyAlignment="1">
      <alignment horizontal="center" vertical="center" wrapText="1"/>
    </xf>
    <xf numFmtId="0" fontId="7" fillId="7" borderId="46" xfId="0" applyFont="1" applyFill="1" applyBorder="1" applyAlignment="1">
      <alignment vertical="center" wrapText="1"/>
    </xf>
    <xf numFmtId="0" fontId="4" fillId="2" borderId="26" xfId="0" applyFont="1" applyFill="1" applyBorder="1" applyAlignment="1">
      <alignment horizontal="left" vertical="center" wrapText="1"/>
    </xf>
    <xf numFmtId="0" fontId="7" fillId="2" borderId="26" xfId="0" applyFont="1" applyFill="1" applyBorder="1" applyAlignment="1">
      <alignment horizontal="left" vertical="center" wrapText="1"/>
    </xf>
    <xf numFmtId="165" fontId="4" fillId="7" borderId="11" xfId="2" applyNumberFormat="1" applyFont="1" applyFill="1" applyBorder="1" applyAlignment="1">
      <alignment horizontal="center" vertical="center" wrapText="1"/>
    </xf>
    <xf numFmtId="0" fontId="4" fillId="7" borderId="11" xfId="0" applyFont="1" applyFill="1" applyBorder="1" applyAlignment="1">
      <alignment vertical="center" wrapText="1"/>
    </xf>
    <xf numFmtId="9" fontId="4" fillId="7" borderId="11" xfId="4" applyFont="1" applyFill="1" applyBorder="1" applyAlignment="1">
      <alignment horizontal="center" vertical="center" wrapText="1"/>
    </xf>
    <xf numFmtId="0" fontId="7" fillId="7" borderId="11" xfId="0" applyFont="1" applyFill="1" applyBorder="1" applyAlignment="1">
      <alignment horizontal="center" vertical="center" wrapText="1"/>
    </xf>
    <xf numFmtId="9" fontId="7" fillId="7" borderId="11" xfId="4" applyFont="1" applyFill="1" applyBorder="1" applyAlignment="1">
      <alignment horizontal="center" vertical="center" wrapText="1"/>
    </xf>
    <xf numFmtId="0" fontId="7" fillId="7" borderId="11" xfId="0" applyFont="1" applyFill="1" applyBorder="1" applyAlignment="1">
      <alignment vertical="center" wrapText="1"/>
    </xf>
    <xf numFmtId="9" fontId="4" fillId="6" borderId="27" xfId="0" applyNumberFormat="1" applyFont="1" applyFill="1" applyBorder="1" applyAlignment="1">
      <alignment horizontal="center" vertical="center" wrapText="1"/>
    </xf>
    <xf numFmtId="165" fontId="4" fillId="6" borderId="27" xfId="2" applyNumberFormat="1" applyFont="1" applyFill="1" applyBorder="1" applyAlignment="1">
      <alignment horizontal="center" vertical="center" wrapText="1"/>
    </xf>
    <xf numFmtId="9" fontId="4" fillId="6" borderId="27" xfId="4" applyFont="1" applyFill="1" applyBorder="1" applyAlignment="1">
      <alignment horizontal="center" vertical="center"/>
    </xf>
    <xf numFmtId="9" fontId="4" fillId="6" borderId="27" xfId="0" applyNumberFormat="1" applyFont="1" applyFill="1" applyBorder="1" applyAlignment="1">
      <alignment horizontal="center" vertical="center"/>
    </xf>
    <xf numFmtId="0" fontId="4" fillId="6" borderId="30" xfId="0" applyFont="1" applyFill="1" applyBorder="1" applyAlignment="1">
      <alignment vertical="center" wrapText="1"/>
    </xf>
    <xf numFmtId="9" fontId="7" fillId="6" borderId="27" xfId="4" applyFont="1" applyFill="1" applyBorder="1" applyAlignment="1">
      <alignment horizontal="center" vertical="center"/>
    </xf>
    <xf numFmtId="9" fontId="7" fillId="6" borderId="27" xfId="0" applyNumberFormat="1" applyFont="1" applyFill="1" applyBorder="1" applyAlignment="1">
      <alignment horizontal="center" vertical="center"/>
    </xf>
    <xf numFmtId="0" fontId="7" fillId="6" borderId="30" xfId="0" applyFont="1" applyFill="1" applyBorder="1" applyAlignment="1">
      <alignment vertical="center" wrapText="1"/>
    </xf>
    <xf numFmtId="0" fontId="12" fillId="3" borderId="46" xfId="0" applyFont="1" applyFill="1" applyBorder="1" applyAlignment="1">
      <alignment horizontal="center" vertical="center" wrapText="1"/>
    </xf>
    <xf numFmtId="9" fontId="12" fillId="3" borderId="46" xfId="0" applyNumberFormat="1" applyFont="1" applyFill="1" applyBorder="1" applyAlignment="1">
      <alignment horizontal="center" vertical="center" wrapText="1"/>
    </xf>
    <xf numFmtId="9" fontId="12" fillId="10" borderId="57" xfId="0" applyNumberFormat="1" applyFont="1" applyFill="1" applyBorder="1" applyAlignment="1">
      <alignment horizontal="center" vertical="center" wrapText="1"/>
    </xf>
    <xf numFmtId="9" fontId="12" fillId="3" borderId="46" xfId="4" applyFont="1" applyFill="1" applyBorder="1" applyAlignment="1">
      <alignment horizontal="center" vertical="center" wrapText="1"/>
    </xf>
    <xf numFmtId="0" fontId="12" fillId="10" borderId="57" xfId="0" applyFont="1" applyFill="1" applyBorder="1" applyAlignment="1">
      <alignment horizontal="center" vertical="center" wrapText="1"/>
    </xf>
    <xf numFmtId="9" fontId="4" fillId="6" borderId="46" xfId="0" applyNumberFormat="1" applyFont="1" applyFill="1" applyBorder="1" applyAlignment="1">
      <alignment horizontal="center" vertical="center"/>
    </xf>
    <xf numFmtId="9" fontId="7" fillId="6" borderId="46" xfId="0" applyNumberFormat="1" applyFont="1" applyFill="1" applyBorder="1" applyAlignment="1">
      <alignment horizontal="center" vertical="center"/>
    </xf>
    <xf numFmtId="9" fontId="12" fillId="10" borderId="57" xfId="0" applyNumberFormat="1" applyFont="1" applyFill="1" applyBorder="1" applyAlignment="1">
      <alignment horizontal="center" vertical="center"/>
    </xf>
    <xf numFmtId="9" fontId="12" fillId="3" borderId="46" xfId="0" applyNumberFormat="1" applyFont="1" applyFill="1" applyBorder="1" applyAlignment="1">
      <alignment horizontal="center" vertical="center"/>
    </xf>
    <xf numFmtId="9" fontId="12" fillId="3" borderId="46" xfId="4" applyFont="1" applyFill="1" applyBorder="1" applyAlignment="1">
      <alignment horizontal="center" vertical="center"/>
    </xf>
    <xf numFmtId="166" fontId="4" fillId="7" borderId="46" xfId="4" applyNumberFormat="1" applyFont="1" applyFill="1" applyBorder="1" applyAlignment="1">
      <alignment horizontal="center" vertical="center" wrapText="1"/>
    </xf>
    <xf numFmtId="166" fontId="7" fillId="7" borderId="46" xfId="4" applyNumberFormat="1" applyFont="1" applyFill="1" applyBorder="1" applyAlignment="1">
      <alignment horizontal="center" vertical="center" wrapText="1"/>
    </xf>
    <xf numFmtId="10" fontId="12" fillId="10" borderId="57" xfId="0" applyNumberFormat="1" applyFont="1" applyFill="1" applyBorder="1" applyAlignment="1">
      <alignment horizontal="center" vertical="center" wrapText="1"/>
    </xf>
    <xf numFmtId="166" fontId="7" fillId="6" borderId="46" xfId="4" applyNumberFormat="1" applyFont="1" applyFill="1" applyBorder="1" applyAlignment="1">
      <alignment horizontal="center" vertical="center"/>
    </xf>
    <xf numFmtId="0" fontId="4" fillId="2" borderId="46" xfId="0" applyFont="1" applyFill="1" applyBorder="1" applyAlignment="1">
      <alignment horizontal="left" vertical="center"/>
    </xf>
    <xf numFmtId="0" fontId="7" fillId="2" borderId="0" xfId="0" applyFont="1" applyFill="1" applyAlignment="1">
      <alignment horizontal="center" vertical="center"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164" fontId="12" fillId="2" borderId="0" xfId="2"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164" fontId="4" fillId="2" borderId="0" xfId="2" applyFont="1" applyFill="1" applyAlignment="1">
      <alignment horizontal="lef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164" fontId="4" fillId="0" borderId="0" xfId="2" applyFont="1" applyAlignment="1">
      <alignment horizontal="left" vertical="center"/>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2" fillId="0" borderId="0" xfId="0" applyFont="1" applyAlignment="1">
      <alignment horizontal="center" vertical="center"/>
    </xf>
    <xf numFmtId="44" fontId="2" fillId="5" borderId="15" xfId="5" applyFont="1" applyFill="1" applyBorder="1" applyAlignment="1">
      <alignment horizontal="center" vertical="center"/>
    </xf>
    <xf numFmtId="0" fontId="4" fillId="7" borderId="15" xfId="0" applyFont="1" applyFill="1" applyBorder="1" applyAlignment="1">
      <alignment horizontal="left" vertical="center" wrapText="1"/>
    </xf>
    <xf numFmtId="0" fontId="4" fillId="7" borderId="15" xfId="0" applyFont="1" applyFill="1" applyBorder="1" applyAlignment="1">
      <alignment horizontal="left" vertical="center"/>
    </xf>
    <xf numFmtId="0" fontId="4" fillId="7" borderId="15" xfId="0" applyFont="1" applyFill="1" applyBorder="1" applyAlignment="1">
      <alignment horizontal="center" vertical="center"/>
    </xf>
    <xf numFmtId="1" fontId="4" fillId="7" borderId="15" xfId="4" applyNumberFormat="1" applyFont="1" applyFill="1" applyBorder="1" applyAlignment="1">
      <alignment horizontal="center" vertical="center"/>
    </xf>
    <xf numFmtId="9" fontId="4" fillId="7" borderId="15" xfId="4" applyFont="1" applyFill="1" applyBorder="1" applyAlignment="1">
      <alignment horizontal="center" vertical="center"/>
    </xf>
    <xf numFmtId="0" fontId="4" fillId="6" borderId="15" xfId="0" applyFont="1" applyFill="1" applyBorder="1" applyAlignment="1">
      <alignment horizontal="left" vertical="center"/>
    </xf>
    <xf numFmtId="0" fontId="4" fillId="6" borderId="15" xfId="0" applyFont="1" applyFill="1" applyBorder="1" applyAlignment="1">
      <alignment horizontal="left" vertical="center" wrapText="1"/>
    </xf>
    <xf numFmtId="0" fontId="4" fillId="6" borderId="15" xfId="0" applyFont="1" applyFill="1" applyBorder="1" applyAlignment="1">
      <alignment horizontal="center" vertical="center"/>
    </xf>
    <xf numFmtId="9" fontId="4" fillId="6" borderId="15" xfId="4" applyFont="1" applyFill="1" applyBorder="1" applyAlignment="1">
      <alignment horizontal="center" vertical="center"/>
    </xf>
    <xf numFmtId="0" fontId="4" fillId="6" borderId="11" xfId="0" applyFont="1" applyFill="1" applyBorder="1" applyAlignment="1">
      <alignment horizontal="center" vertical="center" wrapText="1"/>
    </xf>
    <xf numFmtId="9" fontId="4" fillId="6" borderId="15" xfId="0" applyNumberFormat="1" applyFont="1" applyFill="1" applyBorder="1" applyAlignment="1">
      <alignment horizontal="center" vertical="center"/>
    </xf>
    <xf numFmtId="0" fontId="4" fillId="6" borderId="11" xfId="0" applyFont="1" applyFill="1" applyBorder="1" applyAlignment="1">
      <alignment horizontal="center" vertical="center"/>
    </xf>
    <xf numFmtId="9" fontId="4" fillId="6" borderId="11" xfId="4" applyFont="1" applyFill="1" applyBorder="1" applyAlignment="1">
      <alignment horizontal="center" vertical="center"/>
    </xf>
    <xf numFmtId="0" fontId="4" fillId="6"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1" xfId="0" applyFont="1" applyFill="1" applyBorder="1" applyAlignment="1">
      <alignment horizontal="center" vertical="center"/>
    </xf>
    <xf numFmtId="0" fontId="14" fillId="7" borderId="0" xfId="0" applyFont="1" applyFill="1" applyAlignment="1">
      <alignment horizontal="center" vertical="center"/>
    </xf>
    <xf numFmtId="0" fontId="4" fillId="7" borderId="0" xfId="0" applyFont="1" applyFill="1" applyAlignment="1">
      <alignment horizontal="center" vertical="center"/>
    </xf>
    <xf numFmtId="9" fontId="4" fillId="7" borderId="0" xfId="4" applyFont="1" applyFill="1" applyAlignment="1">
      <alignment horizontal="center" vertical="center"/>
    </xf>
    <xf numFmtId="0" fontId="4" fillId="7" borderId="0" xfId="0" applyFont="1" applyFill="1" applyAlignment="1">
      <alignment horizontal="center" vertical="center" wrapText="1"/>
    </xf>
    <xf numFmtId="1" fontId="4" fillId="6" borderId="15" xfId="0" applyNumberFormat="1" applyFont="1" applyFill="1" applyBorder="1" applyAlignment="1">
      <alignment horizontal="center" vertical="center"/>
    </xf>
    <xf numFmtId="0" fontId="4" fillId="6" borderId="0" xfId="0" applyFont="1" applyFill="1" applyAlignment="1">
      <alignment horizontal="center" vertical="center"/>
    </xf>
    <xf numFmtId="10" fontId="4" fillId="6" borderId="0" xfId="0" applyNumberFormat="1" applyFont="1" applyFill="1" applyAlignment="1">
      <alignment horizontal="center" vertical="center"/>
    </xf>
    <xf numFmtId="1" fontId="4" fillId="7" borderId="15" xfId="0" applyNumberFormat="1" applyFont="1" applyFill="1" applyBorder="1" applyAlignment="1">
      <alignment horizontal="center" vertical="center"/>
    </xf>
    <xf numFmtId="0" fontId="4" fillId="6" borderId="58" xfId="0" applyFont="1" applyFill="1" applyBorder="1" applyAlignment="1">
      <alignment horizontal="center" vertical="center" wrapText="1"/>
    </xf>
    <xf numFmtId="10" fontId="4" fillId="7" borderId="0" xfId="0" applyNumberFormat="1" applyFont="1" applyFill="1" applyAlignment="1">
      <alignment horizontal="center" vertical="center"/>
    </xf>
    <xf numFmtId="0" fontId="4" fillId="7" borderId="58" xfId="0" applyFont="1" applyFill="1" applyBorder="1" applyAlignment="1">
      <alignment horizontal="center" vertical="center"/>
    </xf>
    <xf numFmtId="0" fontId="4" fillId="6" borderId="11" xfId="0" applyFont="1" applyFill="1" applyBorder="1" applyAlignment="1">
      <alignment vertical="center" wrapText="1"/>
    </xf>
    <xf numFmtId="9" fontId="4" fillId="6" borderId="0" xfId="4" applyFont="1" applyFill="1" applyAlignment="1">
      <alignment horizontal="center" vertical="center"/>
    </xf>
    <xf numFmtId="0" fontId="4" fillId="7" borderId="7" xfId="0" applyFont="1" applyFill="1" applyBorder="1" applyAlignment="1">
      <alignment horizontal="left" vertical="center" wrapText="1"/>
    </xf>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9" fontId="4" fillId="7" borderId="7" xfId="4" applyFont="1" applyFill="1" applyBorder="1" applyAlignment="1">
      <alignment horizontal="center" vertical="center"/>
    </xf>
    <xf numFmtId="9" fontId="4" fillId="7" borderId="15" xfId="0" applyNumberFormat="1" applyFont="1" applyFill="1" applyBorder="1" applyAlignment="1">
      <alignment horizontal="center" vertical="center"/>
    </xf>
    <xf numFmtId="9" fontId="4" fillId="7" borderId="0" xfId="0" applyNumberFormat="1" applyFont="1" applyFill="1" applyAlignment="1">
      <alignment horizontal="center" vertical="center"/>
    </xf>
    <xf numFmtId="9" fontId="4" fillId="6" borderId="0" xfId="0" applyNumberFormat="1" applyFont="1" applyFill="1" applyAlignment="1">
      <alignment horizontal="center" vertical="center"/>
    </xf>
    <xf numFmtId="0" fontId="4" fillId="6" borderId="58" xfId="0" applyFont="1" applyFill="1" applyBorder="1" applyAlignment="1">
      <alignment horizontal="center" vertical="center"/>
    </xf>
    <xf numFmtId="0" fontId="4" fillId="7" borderId="12" xfId="0" applyFont="1" applyFill="1" applyBorder="1" applyAlignment="1">
      <alignment horizontal="center" vertical="center"/>
    </xf>
    <xf numFmtId="9" fontId="4" fillId="7" borderId="12" xfId="4" applyFont="1" applyFill="1" applyBorder="1" applyAlignment="1">
      <alignment horizontal="center" vertical="center"/>
    </xf>
    <xf numFmtId="9" fontId="4" fillId="6" borderId="0" xfId="4" applyFont="1" applyFill="1" applyAlignment="1">
      <alignment horizontal="left" vertical="center"/>
    </xf>
    <xf numFmtId="0" fontId="4" fillId="6" borderId="58" xfId="0" applyFont="1" applyFill="1" applyBorder="1" applyAlignment="1">
      <alignment horizontal="left" vertical="center" wrapText="1"/>
    </xf>
    <xf numFmtId="166" fontId="4" fillId="7" borderId="0" xfId="0" applyNumberFormat="1" applyFont="1" applyFill="1" applyAlignment="1">
      <alignment horizontal="center" vertical="center"/>
    </xf>
    <xf numFmtId="0" fontId="4" fillId="7" borderId="58" xfId="0" applyFont="1" applyFill="1" applyBorder="1" applyAlignment="1">
      <alignment horizontal="left" vertical="center" wrapText="1"/>
    </xf>
    <xf numFmtId="168" fontId="4" fillId="6" borderId="0" xfId="7" applyFont="1" applyFill="1" applyAlignment="1">
      <alignment horizontal="center" vertical="center"/>
    </xf>
    <xf numFmtId="9" fontId="4" fillId="6" borderId="0" xfId="7" applyNumberFormat="1" applyFont="1" applyFill="1" applyAlignment="1">
      <alignment horizontal="center" vertical="center"/>
    </xf>
    <xf numFmtId="9" fontId="4" fillId="6" borderId="59" xfId="7" applyNumberFormat="1" applyFont="1" applyFill="1" applyBorder="1" applyAlignment="1">
      <alignment horizontal="center" vertical="center"/>
    </xf>
    <xf numFmtId="0" fontId="4" fillId="6" borderId="11" xfId="0" applyFont="1" applyFill="1" applyBorder="1" applyAlignment="1">
      <alignment vertical="center"/>
    </xf>
    <xf numFmtId="9" fontId="4" fillId="6" borderId="0" xfId="7" applyNumberFormat="1" applyFont="1" applyFill="1" applyAlignment="1">
      <alignment horizontal="center" vertical="center" wrapText="1"/>
    </xf>
    <xf numFmtId="9" fontId="4" fillId="7" borderId="0" xfId="4" applyFont="1" applyFill="1" applyAlignment="1">
      <alignment vertical="center"/>
    </xf>
    <xf numFmtId="1" fontId="4" fillId="6" borderId="11" xfId="4" applyNumberFormat="1" applyFont="1" applyFill="1" applyBorder="1" applyAlignment="1">
      <alignment horizontal="center" vertical="center"/>
    </xf>
    <xf numFmtId="1" fontId="4" fillId="6" borderId="0" xfId="0" applyNumberFormat="1" applyFont="1" applyFill="1" applyAlignment="1">
      <alignment horizontal="left" vertical="center"/>
    </xf>
    <xf numFmtId="1" fontId="4" fillId="0" borderId="0" xfId="0" applyNumberFormat="1"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5"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2" fillId="4" borderId="0" xfId="0" applyFont="1" applyFill="1" applyAlignment="1">
      <alignment horizontal="center" vertical="center" wrapText="1"/>
    </xf>
    <xf numFmtId="44" fontId="2" fillId="5" borderId="11" xfId="5" applyFont="1" applyFill="1" applyBorder="1" applyAlignment="1">
      <alignment horizontal="center" vertical="center" wrapText="1"/>
    </xf>
    <xf numFmtId="0" fontId="2" fillId="5" borderId="4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5" fillId="7" borderId="1" xfId="0" applyFont="1" applyFill="1" applyBorder="1" applyAlignment="1">
      <alignment vertical="center" wrapText="1"/>
    </xf>
    <xf numFmtId="41" fontId="15" fillId="7" borderId="1" xfId="1" applyFont="1" applyFill="1" applyBorder="1" applyAlignment="1">
      <alignment horizontal="center" vertical="center" wrapText="1"/>
    </xf>
    <xf numFmtId="0" fontId="16" fillId="7" borderId="1" xfId="0" applyFont="1" applyFill="1" applyBorder="1" applyAlignment="1">
      <alignment vertical="center" wrapText="1"/>
    </xf>
    <xf numFmtId="9" fontId="16" fillId="7" borderId="1" xfId="0" applyNumberFormat="1" applyFont="1" applyFill="1" applyBorder="1" applyAlignment="1">
      <alignment vertical="center" wrapText="1"/>
    </xf>
    <xf numFmtId="0" fontId="16" fillId="7" borderId="61" xfId="0" applyFont="1" applyFill="1" applyBorder="1" applyAlignment="1">
      <alignment vertical="center" wrapText="1"/>
    </xf>
    <xf numFmtId="0" fontId="0" fillId="0" borderId="1" xfId="0" applyBorder="1"/>
    <xf numFmtId="0" fontId="15" fillId="6" borderId="1" xfId="0" applyFont="1" applyFill="1" applyBorder="1" applyAlignment="1">
      <alignment vertical="center" wrapText="1"/>
    </xf>
    <xf numFmtId="41" fontId="17" fillId="6" borderId="1" xfId="1" applyFont="1" applyFill="1" applyBorder="1" applyAlignment="1">
      <alignment horizontal="center" vertical="center" wrapText="1"/>
    </xf>
    <xf numFmtId="3" fontId="15" fillId="6" borderId="1" xfId="0" applyNumberFormat="1" applyFont="1" applyFill="1" applyBorder="1" applyAlignment="1">
      <alignment vertical="center" wrapText="1"/>
    </xf>
    <xf numFmtId="10" fontId="15" fillId="6" borderId="1" xfId="0" applyNumberFormat="1" applyFont="1" applyFill="1" applyBorder="1" applyAlignment="1">
      <alignment vertical="center" wrapText="1"/>
    </xf>
    <xf numFmtId="3" fontId="16" fillId="7" borderId="1" xfId="0" applyNumberFormat="1" applyFont="1" applyFill="1" applyBorder="1" applyAlignment="1">
      <alignment vertical="center" wrapText="1"/>
    </xf>
    <xf numFmtId="0" fontId="16" fillId="6" borderId="1" xfId="0" applyFont="1" applyFill="1" applyBorder="1" applyAlignment="1">
      <alignment vertical="center" wrapText="1"/>
    </xf>
    <xf numFmtId="10" fontId="15" fillId="6" borderId="61" xfId="0" applyNumberFormat="1" applyFont="1" applyFill="1" applyBorder="1" applyAlignment="1">
      <alignment vertical="center" wrapText="1"/>
    </xf>
    <xf numFmtId="10" fontId="0" fillId="0" borderId="0" xfId="0" applyNumberFormat="1"/>
    <xf numFmtId="10" fontId="15" fillId="7" borderId="1" xfId="0" applyNumberFormat="1" applyFont="1" applyFill="1" applyBorder="1" applyAlignment="1">
      <alignment vertical="center" wrapText="1"/>
    </xf>
    <xf numFmtId="0" fontId="15" fillId="6" borderId="61" xfId="0" applyFont="1" applyFill="1" applyBorder="1" applyAlignment="1">
      <alignment vertical="center" wrapText="1"/>
    </xf>
    <xf numFmtId="0" fontId="15" fillId="7" borderId="1" xfId="0" applyFont="1" applyFill="1" applyBorder="1" applyAlignment="1">
      <alignment horizontal="center" vertical="center" wrapText="1"/>
    </xf>
    <xf numFmtId="41" fontId="15" fillId="6" borderId="1" xfId="1" applyFont="1" applyFill="1" applyBorder="1" applyAlignment="1">
      <alignment horizontal="center" vertical="center" wrapText="1"/>
    </xf>
    <xf numFmtId="9" fontId="16" fillId="6" borderId="1" xfId="0" applyNumberFormat="1" applyFont="1" applyFill="1" applyBorder="1" applyAlignment="1">
      <alignment vertical="center" wrapText="1"/>
    </xf>
    <xf numFmtId="0" fontId="16" fillId="6" borderId="61" xfId="0" applyFont="1" applyFill="1" applyBorder="1" applyAlignment="1">
      <alignment vertical="center" wrapText="1"/>
    </xf>
    <xf numFmtId="41" fontId="15" fillId="6" borderId="1" xfId="1" applyFont="1" applyFill="1" applyBorder="1" applyAlignment="1">
      <alignment vertical="center" wrapText="1"/>
    </xf>
    <xf numFmtId="167" fontId="15" fillId="6" borderId="1" xfId="6" applyFont="1" applyFill="1" applyBorder="1" applyAlignment="1">
      <alignment vertical="center" wrapText="1"/>
    </xf>
    <xf numFmtId="2" fontId="16" fillId="6" borderId="1" xfId="0" applyNumberFormat="1" applyFont="1" applyFill="1" applyBorder="1" applyAlignment="1">
      <alignment vertical="center" wrapText="1"/>
    </xf>
    <xf numFmtId="0" fontId="15" fillId="7" borderId="1" xfId="0" applyFont="1" applyFill="1" applyBorder="1" applyAlignment="1">
      <alignment wrapText="1"/>
    </xf>
    <xf numFmtId="10" fontId="18" fillId="7" borderId="1" xfId="0" applyNumberFormat="1" applyFont="1" applyFill="1" applyBorder="1" applyAlignment="1">
      <alignment horizontal="center" vertical="center"/>
    </xf>
    <xf numFmtId="0" fontId="16" fillId="7" borderId="1" xfId="0" applyFont="1" applyFill="1" applyBorder="1" applyAlignment="1">
      <alignment wrapText="1"/>
    </xf>
    <xf numFmtId="0" fontId="16" fillId="7" borderId="61" xfId="0" applyFont="1" applyFill="1" applyBorder="1" applyAlignment="1">
      <alignment wrapText="1"/>
    </xf>
    <xf numFmtId="10" fontId="16" fillId="7" borderId="1" xfId="0" applyNumberFormat="1" applyFont="1" applyFill="1" applyBorder="1" applyAlignment="1">
      <alignment horizontal="center" vertical="center"/>
    </xf>
    <xf numFmtId="41" fontId="15" fillId="7" borderId="1" xfId="1" applyFont="1" applyFill="1" applyBorder="1" applyAlignment="1">
      <alignment vertical="center" wrapText="1"/>
    </xf>
    <xf numFmtId="167" fontId="15" fillId="7" borderId="1" xfId="6" applyFont="1" applyFill="1" applyBorder="1" applyAlignment="1">
      <alignment vertical="center" wrapText="1"/>
    </xf>
    <xf numFmtId="41" fontId="16" fillId="6" borderId="1" xfId="1" applyFont="1" applyFill="1" applyBorder="1" applyAlignment="1">
      <alignment horizontal="center" vertical="center" wrapText="1"/>
    </xf>
    <xf numFmtId="9" fontId="17" fillId="6" borderId="1" xfId="0" applyNumberFormat="1" applyFont="1" applyFill="1" applyBorder="1" applyAlignment="1">
      <alignment vertical="center" wrapText="1"/>
    </xf>
    <xf numFmtId="3" fontId="0" fillId="0" borderId="0" xfId="0" applyNumberFormat="1"/>
    <xf numFmtId="166" fontId="0" fillId="0" borderId="0" xfId="0" applyNumberFormat="1"/>
    <xf numFmtId="169" fontId="0" fillId="0" borderId="0" xfId="0" applyNumberFormat="1"/>
    <xf numFmtId="0" fontId="6" fillId="2" borderId="6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5" xfId="0" applyFont="1" applyFill="1" applyBorder="1" applyAlignment="1">
      <alignment horizontal="center" vertical="center" wrapText="1"/>
    </xf>
    <xf numFmtId="44" fontId="2" fillId="5" borderId="15" xfId="5"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69" xfId="0" applyFont="1" applyFill="1" applyBorder="1" applyAlignment="1">
      <alignment horizontal="center" vertical="center" wrapText="1"/>
    </xf>
    <xf numFmtId="0" fontId="2" fillId="5" borderId="70" xfId="0" applyFont="1" applyFill="1" applyBorder="1" applyAlignment="1">
      <alignment horizontal="center" vertical="center" wrapText="1"/>
    </xf>
    <xf numFmtId="0" fontId="0" fillId="0" borderId="0" xfId="0" applyAlignment="1">
      <alignment horizontal="center" vertical="center" wrapText="1"/>
    </xf>
    <xf numFmtId="0" fontId="15" fillId="11" borderId="0" xfId="0" applyFont="1" applyFill="1" applyAlignment="1">
      <alignment horizontal="center" vertical="center" wrapText="1"/>
    </xf>
    <xf numFmtId="167" fontId="15" fillId="7" borderId="0" xfId="6" applyFont="1" applyFill="1" applyAlignment="1">
      <alignment horizontal="center" vertical="center" wrapText="1"/>
    </xf>
    <xf numFmtId="0" fontId="15" fillId="6" borderId="0" xfId="0" applyFont="1" applyFill="1" applyAlignment="1">
      <alignment horizontal="center" vertical="center" wrapText="1"/>
    </xf>
    <xf numFmtId="167" fontId="15" fillId="6" borderId="0" xfId="6" applyFont="1" applyFill="1" applyAlignment="1">
      <alignment horizontal="center" vertical="center" wrapText="1"/>
    </xf>
    <xf numFmtId="170" fontId="3" fillId="0" borderId="0" xfId="0" applyNumberFormat="1" applyFont="1"/>
    <xf numFmtId="170" fontId="0" fillId="0" borderId="0" xfId="0" applyNumberFormat="1"/>
    <xf numFmtId="167" fontId="2" fillId="5" borderId="15" xfId="6" applyFont="1" applyFill="1" applyBorder="1" applyAlignment="1">
      <alignment horizontal="center" vertical="center" wrapText="1"/>
    </xf>
    <xf numFmtId="0" fontId="0" fillId="0" borderId="0" xfId="0" applyAlignment="1">
      <alignment wrapText="1"/>
    </xf>
    <xf numFmtId="167" fontId="0" fillId="0" borderId="0" xfId="6" applyFont="1" applyAlignment="1">
      <alignment wrapText="1"/>
    </xf>
    <xf numFmtId="9" fontId="15" fillId="6" borderId="0" xfId="4" applyFont="1" applyFill="1" applyAlignment="1">
      <alignment horizontal="center" vertical="center" wrapText="1"/>
    </xf>
    <xf numFmtId="0" fontId="15" fillId="0" borderId="0" xfId="0" applyFont="1" applyAlignment="1">
      <alignment horizontal="center" vertical="center" wrapText="1"/>
    </xf>
    <xf numFmtId="10" fontId="15" fillId="6" borderId="0" xfId="0" applyNumberFormat="1" applyFont="1" applyFill="1" applyAlignment="1">
      <alignment horizontal="center" vertical="center" wrapText="1"/>
    </xf>
    <xf numFmtId="42" fontId="15" fillId="7" borderId="0" xfId="3" applyFont="1" applyFill="1" applyAlignment="1">
      <alignment horizontal="center" vertical="center" wrapText="1"/>
    </xf>
    <xf numFmtId="9" fontId="15" fillId="6" borderId="0" xfId="0" applyNumberFormat="1" applyFont="1" applyFill="1" applyAlignment="1">
      <alignment horizontal="center" vertical="center" wrapText="1"/>
    </xf>
    <xf numFmtId="0" fontId="15" fillId="6" borderId="0" xfId="0" applyFont="1" applyFill="1" applyAlignment="1">
      <alignment horizontal="left" vertical="center" wrapText="1"/>
    </xf>
    <xf numFmtId="9" fontId="15" fillId="11" borderId="0" xfId="4" applyFont="1" applyFill="1" applyAlignment="1">
      <alignment horizontal="center" vertical="center" wrapText="1"/>
    </xf>
    <xf numFmtId="10" fontId="15" fillId="6" borderId="0" xfId="4" applyNumberFormat="1" applyFont="1" applyFill="1" applyAlignment="1">
      <alignment horizontal="center" vertical="center" wrapText="1"/>
    </xf>
    <xf numFmtId="10" fontId="15" fillId="6" borderId="1" xfId="0" applyNumberFormat="1" applyFont="1" applyFill="1" applyBorder="1" applyAlignment="1">
      <alignment horizontal="center" vertical="center" wrapText="1"/>
    </xf>
    <xf numFmtId="0" fontId="4" fillId="6" borderId="46" xfId="0" applyFont="1" applyFill="1" applyBorder="1" applyAlignment="1">
      <alignment horizontal="center" vertical="center" wrapText="1"/>
    </xf>
    <xf numFmtId="0" fontId="4" fillId="6" borderId="46" xfId="0" applyFont="1" applyFill="1" applyBorder="1" applyAlignment="1">
      <alignment horizontal="center" vertical="center"/>
    </xf>
    <xf numFmtId="0" fontId="4" fillId="7" borderId="46" xfId="0" applyFont="1" applyFill="1" applyBorder="1" applyAlignment="1">
      <alignment horizontal="center" vertical="center" wrapText="1"/>
    </xf>
    <xf numFmtId="9" fontId="4" fillId="7" borderId="46" xfId="4" applyFont="1" applyFill="1" applyBorder="1" applyAlignment="1">
      <alignment horizontal="center" vertical="center" wrapText="1"/>
    </xf>
    <xf numFmtId="9" fontId="4" fillId="6" borderId="46" xfId="4" applyFont="1" applyFill="1" applyBorder="1" applyAlignment="1">
      <alignment horizontal="center" vertical="center" wrapText="1"/>
    </xf>
    <xf numFmtId="9" fontId="4" fillId="6" borderId="46" xfId="4" applyFont="1" applyFill="1" applyBorder="1" applyAlignment="1">
      <alignment horizontal="center" vertical="center"/>
    </xf>
    <xf numFmtId="0" fontId="2" fillId="2" borderId="0" xfId="0" applyFont="1" applyFill="1" applyAlignment="1">
      <alignment horizontal="center" vertical="center" wrapText="1"/>
    </xf>
    <xf numFmtId="165" fontId="4" fillId="6" borderId="27" xfId="5" applyNumberFormat="1" applyFont="1" applyFill="1" applyBorder="1" applyAlignment="1">
      <alignment vertical="center" wrapText="1"/>
    </xf>
    <xf numFmtId="0" fontId="15" fillId="2" borderId="0" xfId="0" applyFont="1" applyFill="1" applyAlignment="1">
      <alignment horizontal="center" vertical="center" wrapText="1"/>
    </xf>
    <xf numFmtId="165" fontId="4" fillId="7" borderId="20" xfId="5" applyNumberFormat="1" applyFont="1" applyFill="1" applyBorder="1" applyAlignment="1">
      <alignment vertical="center" wrapText="1"/>
    </xf>
    <xf numFmtId="0" fontId="0" fillId="2" borderId="0" xfId="0" applyFill="1" applyAlignment="1">
      <alignment vertical="center" wrapText="1"/>
    </xf>
    <xf numFmtId="167" fontId="0" fillId="2" borderId="0" xfId="6" applyFont="1" applyFill="1" applyAlignment="1">
      <alignment vertical="center" wrapText="1"/>
    </xf>
    <xf numFmtId="9" fontId="9" fillId="9" borderId="30" xfId="0" applyNumberFormat="1" applyFont="1" applyFill="1" applyBorder="1" applyAlignment="1">
      <alignment horizontal="center" vertical="center" wrapText="1"/>
    </xf>
    <xf numFmtId="0" fontId="0" fillId="0" borderId="0" xfId="0" applyAlignment="1">
      <alignment vertical="center" wrapText="1"/>
    </xf>
    <xf numFmtId="0" fontId="0" fillId="2" borderId="0" xfId="0" applyFill="1" applyAlignment="1">
      <alignment wrapText="1"/>
    </xf>
    <xf numFmtId="167" fontId="0" fillId="2" borderId="0" xfId="6" applyFont="1" applyFill="1" applyAlignment="1">
      <alignment wrapText="1"/>
    </xf>
    <xf numFmtId="171" fontId="4" fillId="6" borderId="46" xfId="5" applyNumberFormat="1" applyFont="1" applyFill="1" applyBorder="1" applyAlignment="1">
      <alignment horizontal="center" vertical="center" wrapText="1"/>
    </xf>
    <xf numFmtId="171" fontId="4" fillId="7" borderId="46" xfId="5" applyNumberFormat="1" applyFont="1" applyFill="1" applyBorder="1" applyAlignment="1">
      <alignment horizontal="center" vertical="center" wrapText="1"/>
    </xf>
    <xf numFmtId="1" fontId="4" fillId="7" borderId="46" xfId="4" applyNumberFormat="1" applyFont="1" applyFill="1" applyBorder="1" applyAlignment="1">
      <alignment horizontal="center" vertical="center" wrapText="1"/>
    </xf>
    <xf numFmtId="9" fontId="19" fillId="4" borderId="0" xfId="0" applyNumberFormat="1" applyFont="1" applyFill="1" applyAlignment="1">
      <alignment horizontal="center" vertical="center" wrapText="1"/>
    </xf>
    <xf numFmtId="0" fontId="19" fillId="4" borderId="0" xfId="0" applyFont="1" applyFill="1" applyAlignment="1">
      <alignment horizontal="center" vertical="center" wrapText="1"/>
    </xf>
    <xf numFmtId="0" fontId="15" fillId="2" borderId="0" xfId="0" applyFont="1" applyFill="1" applyAlignment="1">
      <alignment vertical="center" wrapText="1"/>
    </xf>
    <xf numFmtId="0" fontId="17" fillId="2" borderId="0" xfId="0" applyFont="1" applyFill="1" applyAlignment="1">
      <alignment horizontal="center" vertical="center" wrapText="1"/>
    </xf>
    <xf numFmtId="9" fontId="15" fillId="2" borderId="0" xfId="0" applyNumberFormat="1" applyFont="1" applyFill="1" applyAlignment="1">
      <alignment horizontal="center" vertical="center" wrapText="1"/>
    </xf>
    <xf numFmtId="167" fontId="15" fillId="2" borderId="0" xfId="6" applyFont="1" applyFill="1" applyAlignment="1">
      <alignment horizontal="center" vertical="center" wrapText="1"/>
    </xf>
    <xf numFmtId="9" fontId="4" fillId="7" borderId="76" xfId="4" applyFont="1" applyFill="1" applyBorder="1" applyAlignment="1">
      <alignment horizontal="center" vertical="center" wrapText="1"/>
    </xf>
    <xf numFmtId="166" fontId="3" fillId="2" borderId="0" xfId="0" applyNumberFormat="1" applyFont="1" applyFill="1" applyAlignment="1">
      <alignment horizontal="center" vertical="center" wrapText="1"/>
    </xf>
    <xf numFmtId="9" fontId="15" fillId="2" borderId="0" xfId="4" applyFont="1" applyFill="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horizontal="justify" vertical="center" wrapText="1"/>
    </xf>
    <xf numFmtId="0" fontId="15" fillId="2" borderId="71" xfId="0" applyFont="1" applyFill="1" applyBorder="1" applyAlignment="1">
      <alignment horizontal="justify" vertical="center" wrapText="1"/>
    </xf>
    <xf numFmtId="0" fontId="0" fillId="2" borderId="0" xfId="0" applyFill="1" applyAlignment="1">
      <alignment horizontal="center" vertical="center" wrapText="1"/>
    </xf>
    <xf numFmtId="0" fontId="4" fillId="7" borderId="76"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0" fillId="2" borderId="0" xfId="0" applyFill="1"/>
    <xf numFmtId="165" fontId="4" fillId="7" borderId="76" xfId="2" applyNumberFormat="1" applyFont="1" applyFill="1" applyBorder="1" applyAlignment="1">
      <alignment horizontal="center" vertical="center" wrapText="1"/>
    </xf>
    <xf numFmtId="172" fontId="4" fillId="6" borderId="46" xfId="4" applyNumberFormat="1" applyFont="1" applyFill="1" applyBorder="1" applyAlignment="1">
      <alignment horizontal="center" vertical="center" wrapText="1"/>
    </xf>
    <xf numFmtId="1" fontId="4" fillId="6" borderId="46" xfId="4" applyNumberFormat="1" applyFont="1" applyFill="1" applyBorder="1" applyAlignment="1">
      <alignment horizontal="center" vertical="center" wrapText="1"/>
    </xf>
    <xf numFmtId="9" fontId="16" fillId="7" borderId="1" xfId="0" applyNumberFormat="1"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9" fontId="16" fillId="6" borderId="1" xfId="0" applyNumberFormat="1" applyFont="1" applyFill="1" applyBorder="1" applyAlignment="1">
      <alignment horizontal="center" vertical="center" wrapText="1"/>
    </xf>
    <xf numFmtId="1" fontId="4" fillId="6" borderId="46" xfId="4" applyNumberFormat="1" applyFont="1" applyFill="1" applyBorder="1" applyAlignment="1">
      <alignment horizontal="center" vertical="center"/>
    </xf>
    <xf numFmtId="9" fontId="4" fillId="6" borderId="46" xfId="4" applyNumberFormat="1" applyFont="1" applyFill="1" applyBorder="1" applyAlignment="1">
      <alignment horizontal="center" vertical="center"/>
    </xf>
    <xf numFmtId="9" fontId="4" fillId="7" borderId="46" xfId="4" applyNumberFormat="1" applyFont="1" applyFill="1" applyBorder="1" applyAlignment="1">
      <alignment horizontal="center" vertical="center" wrapText="1"/>
    </xf>
    <xf numFmtId="9" fontId="4" fillId="6" borderId="46" xfId="4"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xf numFmtId="0" fontId="2" fillId="3" borderId="83" xfId="0" applyFont="1" applyFill="1" applyBorder="1" applyAlignment="1">
      <alignment horizontal="center" wrapText="1"/>
    </xf>
    <xf numFmtId="0" fontId="2" fillId="3" borderId="84" xfId="0" applyFont="1" applyFill="1" applyBorder="1" applyAlignment="1">
      <alignment horizontal="center" wrapText="1"/>
    </xf>
    <xf numFmtId="0" fontId="0" fillId="2" borderId="0" xfId="0" applyFill="1" applyAlignment="1">
      <alignment horizontal="center"/>
    </xf>
    <xf numFmtId="0" fontId="3" fillId="7" borderId="85" xfId="0" applyFont="1" applyFill="1" applyBorder="1" applyAlignment="1">
      <alignment horizontal="center" vertical="center"/>
    </xf>
    <xf numFmtId="0" fontId="0" fillId="7" borderId="85" xfId="0" applyFill="1" applyBorder="1"/>
    <xf numFmtId="166" fontId="3" fillId="7" borderId="86" xfId="4" applyNumberFormat="1" applyFont="1" applyFill="1" applyBorder="1"/>
    <xf numFmtId="166" fontId="3" fillId="7" borderId="87" xfId="4" applyNumberFormat="1" applyFont="1" applyFill="1" applyBorder="1"/>
    <xf numFmtId="166" fontId="20" fillId="12" borderId="86" xfId="0" applyNumberFormat="1" applyFont="1" applyFill="1" applyBorder="1"/>
    <xf numFmtId="166" fontId="20" fillId="12" borderId="87" xfId="0" applyNumberFormat="1" applyFont="1" applyFill="1" applyBorder="1"/>
    <xf numFmtId="0" fontId="0" fillId="2" borderId="0" xfId="0" applyFill="1" applyAlignment="1">
      <alignment horizontal="right"/>
    </xf>
    <xf numFmtId="0" fontId="3" fillId="7" borderId="62" xfId="0" applyFont="1" applyFill="1" applyBorder="1" applyAlignment="1">
      <alignment horizontal="center" vertical="center"/>
    </xf>
    <xf numFmtId="166" fontId="3" fillId="7" borderId="87" xfId="4" applyNumberFormat="1" applyFont="1" applyFill="1" applyBorder="1" applyAlignment="1">
      <alignment horizontal="right"/>
    </xf>
    <xf numFmtId="166" fontId="20" fillId="12" borderId="87" xfId="0" applyNumberFormat="1" applyFont="1" applyFill="1" applyBorder="1" applyAlignment="1">
      <alignment horizontal="right"/>
    </xf>
    <xf numFmtId="0" fontId="3" fillId="7" borderId="88" xfId="0" applyFont="1" applyFill="1" applyBorder="1" applyAlignment="1">
      <alignment horizontal="center" vertical="center"/>
    </xf>
    <xf numFmtId="0" fontId="0" fillId="7" borderId="88" xfId="0" applyFill="1" applyBorder="1"/>
    <xf numFmtId="166" fontId="3" fillId="7" borderId="89" xfId="4" applyNumberFormat="1" applyFont="1" applyFill="1" applyBorder="1"/>
    <xf numFmtId="166" fontId="3" fillId="7" borderId="90" xfId="4" applyNumberFormat="1" applyFont="1" applyFill="1" applyBorder="1"/>
    <xf numFmtId="166" fontId="20" fillId="12" borderId="89" xfId="0" applyNumberFormat="1" applyFont="1" applyFill="1" applyBorder="1"/>
    <xf numFmtId="166" fontId="20" fillId="12" borderId="90" xfId="0" applyNumberFormat="1" applyFont="1" applyFill="1" applyBorder="1"/>
    <xf numFmtId="0" fontId="0" fillId="2" borderId="88" xfId="0" applyFill="1" applyBorder="1"/>
    <xf numFmtId="166" fontId="0" fillId="2" borderId="89" xfId="4" applyNumberFormat="1" applyFont="1" applyFill="1" applyBorder="1"/>
    <xf numFmtId="166" fontId="0" fillId="2" borderId="92" xfId="4" applyNumberFormat="1" applyFont="1" applyFill="1" applyBorder="1" applyAlignment="1">
      <alignment horizontal="right"/>
    </xf>
    <xf numFmtId="166" fontId="0" fillId="2" borderId="89" xfId="4" applyNumberFormat="1" applyFont="1" applyFill="1" applyBorder="1" applyAlignment="1">
      <alignment horizontal="right"/>
    </xf>
    <xf numFmtId="166" fontId="0" fillId="2" borderId="90" xfId="4" applyNumberFormat="1" applyFont="1" applyFill="1" applyBorder="1" applyAlignment="1">
      <alignment horizontal="right"/>
    </xf>
    <xf numFmtId="166" fontId="21" fillId="13" borderId="89" xfId="0" applyNumberFormat="1" applyFont="1" applyFill="1" applyBorder="1" applyAlignment="1">
      <alignment horizontal="right"/>
    </xf>
    <xf numFmtId="166" fontId="21" fillId="13" borderId="92" xfId="0" applyNumberFormat="1" applyFont="1" applyFill="1" applyBorder="1" applyAlignment="1">
      <alignment horizontal="right"/>
    </xf>
    <xf numFmtId="166" fontId="0" fillId="2" borderId="90" xfId="4" applyNumberFormat="1" applyFont="1" applyFill="1" applyBorder="1"/>
    <xf numFmtId="166" fontId="21" fillId="13" borderId="90" xfId="0" applyNumberFormat="1" applyFont="1" applyFill="1" applyBorder="1" applyAlignment="1">
      <alignment horizontal="right"/>
    </xf>
    <xf numFmtId="0" fontId="3" fillId="7" borderId="61" xfId="0" applyFont="1" applyFill="1" applyBorder="1"/>
    <xf numFmtId="166" fontId="3" fillId="7" borderId="83" xfId="4" applyNumberFormat="1" applyFont="1" applyFill="1" applyBorder="1"/>
    <xf numFmtId="166" fontId="20" fillId="12" borderId="83" xfId="0" applyNumberFormat="1" applyFont="1" applyFill="1" applyBorder="1"/>
    <xf numFmtId="0" fontId="0" fillId="2" borderId="95" xfId="0" applyFill="1" applyBorder="1"/>
    <xf numFmtId="166" fontId="0" fillId="2" borderId="86" xfId="4" applyNumberFormat="1" applyFont="1" applyFill="1" applyBorder="1"/>
    <xf numFmtId="166" fontId="0" fillId="2" borderId="97" xfId="4" applyNumberFormat="1" applyFont="1" applyFill="1" applyBorder="1"/>
    <xf numFmtId="166" fontId="0" fillId="2" borderId="92" xfId="4" applyNumberFormat="1" applyFont="1" applyFill="1" applyBorder="1"/>
    <xf numFmtId="166" fontId="0" fillId="2" borderId="98" xfId="4" applyNumberFormat="1" applyFont="1" applyFill="1" applyBorder="1"/>
    <xf numFmtId="0" fontId="0" fillId="2" borderId="59" xfId="0" applyFill="1" applyBorder="1"/>
    <xf numFmtId="166" fontId="0" fillId="2" borderId="99" xfId="4" applyNumberFormat="1" applyFont="1" applyFill="1" applyBorder="1"/>
    <xf numFmtId="0" fontId="22" fillId="3" borderId="61" xfId="0" applyFont="1" applyFill="1" applyBorder="1"/>
    <xf numFmtId="166" fontId="22" fillId="3" borderId="83" xfId="0" applyNumberFormat="1" applyFont="1" applyFill="1" applyBorder="1"/>
    <xf numFmtId="41" fontId="0" fillId="2" borderId="0" xfId="1" applyFont="1" applyFill="1"/>
    <xf numFmtId="10" fontId="0" fillId="2" borderId="0" xfId="0" applyNumberFormat="1" applyFill="1"/>
    <xf numFmtId="6" fontId="0" fillId="2" borderId="0" xfId="0" applyNumberFormat="1" applyFill="1"/>
    <xf numFmtId="0" fontId="4" fillId="7" borderId="11"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0" xfId="0" applyFont="1" applyFill="1" applyAlignment="1">
      <alignment horizontal="center" vertical="center"/>
    </xf>
    <xf numFmtId="0" fontId="3" fillId="7" borderId="94"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96" xfId="0" applyFont="1" applyFill="1" applyBorder="1" applyAlignment="1">
      <alignment horizontal="center" vertical="center"/>
    </xf>
    <xf numFmtId="0" fontId="3" fillId="7" borderId="91" xfId="0" applyFont="1" applyFill="1" applyBorder="1" applyAlignment="1">
      <alignment horizontal="center" vertical="center"/>
    </xf>
    <xf numFmtId="0" fontId="3" fillId="7" borderId="62" xfId="0" applyFont="1" applyFill="1" applyBorder="1" applyAlignment="1">
      <alignment horizontal="center" vertical="center"/>
    </xf>
    <xf numFmtId="0" fontId="3" fillId="7" borderId="93" xfId="0" applyFont="1" applyFill="1" applyBorder="1" applyAlignment="1">
      <alignment horizontal="center" vertical="center"/>
    </xf>
    <xf numFmtId="0" fontId="3" fillId="7" borderId="63" xfId="0" applyFont="1" applyFill="1" applyBorder="1" applyAlignment="1">
      <alignment horizontal="center" vertical="center"/>
    </xf>
    <xf numFmtId="0" fontId="0" fillId="2" borderId="100" xfId="0" applyFill="1" applyBorder="1" applyAlignment="1">
      <alignment horizontal="center" vertical="center" wrapText="1"/>
    </xf>
    <xf numFmtId="0" fontId="0" fillId="2" borderId="74" xfId="0" applyFill="1" applyBorder="1" applyAlignment="1">
      <alignment horizontal="center" vertical="center" wrapText="1"/>
    </xf>
    <xf numFmtId="0" fontId="0" fillId="2" borderId="75" xfId="0" applyFill="1" applyBorder="1" applyAlignment="1">
      <alignment horizontal="center" vertical="center" wrapText="1"/>
    </xf>
    <xf numFmtId="0" fontId="0" fillId="2" borderId="101" xfId="0" applyFill="1" applyBorder="1" applyAlignment="1">
      <alignment horizontal="center" vertical="center" wrapText="1"/>
    </xf>
    <xf numFmtId="0" fontId="0" fillId="2" borderId="0" xfId="0" applyFill="1" applyAlignment="1">
      <alignment horizontal="center" vertical="center" wrapText="1"/>
    </xf>
    <xf numFmtId="0" fontId="0" fillId="2" borderId="71" xfId="0" applyFill="1" applyBorder="1" applyAlignment="1">
      <alignment horizontal="center" vertical="center" wrapText="1"/>
    </xf>
    <xf numFmtId="0" fontId="0" fillId="2" borderId="102" xfId="0" applyFill="1" applyBorder="1" applyAlignment="1">
      <alignment horizontal="center" vertical="center" wrapText="1"/>
    </xf>
    <xf numFmtId="0" fontId="0" fillId="2" borderId="72" xfId="0" applyFill="1" applyBorder="1" applyAlignment="1">
      <alignment horizontal="center" vertical="center" wrapText="1"/>
    </xf>
    <xf numFmtId="0" fontId="0" fillId="2" borderId="73" xfId="0" applyFill="1" applyBorder="1" applyAlignment="1">
      <alignment horizontal="center" vertical="center" wrapText="1"/>
    </xf>
    <xf numFmtId="0" fontId="2" fillId="3" borderId="81" xfId="0" applyFont="1" applyFill="1" applyBorder="1" applyAlignment="1">
      <alignment horizontal="center"/>
    </xf>
    <xf numFmtId="0" fontId="2" fillId="3" borderId="82" xfId="0" applyFont="1" applyFill="1" applyBorder="1" applyAlignment="1">
      <alignment horizontal="center"/>
    </xf>
    <xf numFmtId="0" fontId="2" fillId="3" borderId="60" xfId="0" applyFont="1" applyFill="1" applyBorder="1" applyAlignment="1">
      <alignment horizontal="center" vertical="center"/>
    </xf>
    <xf numFmtId="0" fontId="2" fillId="3" borderId="63" xfId="0" applyFont="1" applyFill="1" applyBorder="1" applyAlignment="1">
      <alignment horizontal="center" vertical="center"/>
    </xf>
    <xf numFmtId="0" fontId="8" fillId="9" borderId="30" xfId="0" applyFont="1" applyFill="1" applyBorder="1" applyAlignment="1">
      <alignment horizontal="center" vertical="center" wrapText="1"/>
    </xf>
    <xf numFmtId="9" fontId="4" fillId="7" borderId="46" xfId="4" applyFont="1" applyFill="1" applyBorder="1" applyAlignment="1">
      <alignment horizontal="center" vertical="center" wrapText="1"/>
    </xf>
    <xf numFmtId="0" fontId="4" fillId="7" borderId="46" xfId="0" applyFont="1" applyFill="1" applyBorder="1" applyAlignment="1">
      <alignment horizontal="center" vertical="center" wrapText="1"/>
    </xf>
    <xf numFmtId="0" fontId="4" fillId="6" borderId="46" xfId="0" applyFont="1" applyFill="1" applyBorder="1" applyAlignment="1">
      <alignment horizontal="center" vertical="center" wrapText="1"/>
    </xf>
    <xf numFmtId="9" fontId="4" fillId="6" borderId="46" xfId="4" applyFont="1" applyFill="1" applyBorder="1" applyAlignment="1">
      <alignment horizontal="center" vertical="center" wrapText="1"/>
    </xf>
    <xf numFmtId="0" fontId="4" fillId="7" borderId="76" xfId="0" applyFont="1" applyFill="1" applyBorder="1" applyAlignment="1">
      <alignment horizontal="center" vertical="center" wrapText="1"/>
    </xf>
    <xf numFmtId="0" fontId="4" fillId="7" borderId="77" xfId="0" applyFont="1" applyFill="1" applyBorder="1" applyAlignment="1">
      <alignment horizontal="center" vertical="center" wrapText="1"/>
    </xf>
    <xf numFmtId="0" fontId="4" fillId="7" borderId="78"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6" borderId="77" xfId="0" applyFont="1" applyFill="1" applyBorder="1" applyAlignment="1">
      <alignment horizontal="center" vertical="center" wrapText="1"/>
    </xf>
    <xf numFmtId="0" fontId="4" fillId="6" borderId="78" xfId="0" applyFont="1" applyFill="1" applyBorder="1" applyAlignment="1">
      <alignment horizontal="center" vertical="center" wrapText="1"/>
    </xf>
    <xf numFmtId="165" fontId="4" fillId="6" borderId="76" xfId="5" applyNumberFormat="1" applyFont="1" applyFill="1" applyBorder="1" applyAlignment="1">
      <alignment horizontal="center" vertical="center" wrapText="1"/>
    </xf>
    <xf numFmtId="165" fontId="4" fillId="6" borderId="77" xfId="5" applyNumberFormat="1" applyFont="1" applyFill="1" applyBorder="1" applyAlignment="1">
      <alignment horizontal="center" vertical="center" wrapText="1"/>
    </xf>
    <xf numFmtId="165" fontId="4" fillId="6" borderId="78" xfId="5" applyNumberFormat="1" applyFont="1" applyFill="1" applyBorder="1" applyAlignment="1">
      <alignment horizontal="center" vertical="center" wrapText="1"/>
    </xf>
    <xf numFmtId="0" fontId="15" fillId="7"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167" fontId="2" fillId="4" borderId="5" xfId="6" applyFont="1" applyFill="1" applyBorder="1" applyAlignment="1">
      <alignment horizontal="center" vertical="center" wrapText="1"/>
    </xf>
    <xf numFmtId="167" fontId="2" fillId="4" borderId="6" xfId="6" applyFont="1" applyFill="1" applyBorder="1" applyAlignment="1">
      <alignment horizontal="center" vertical="center" wrapText="1"/>
    </xf>
    <xf numFmtId="167" fontId="2" fillId="4" borderId="2" xfId="6" applyFont="1" applyFill="1" applyBorder="1" applyAlignment="1">
      <alignment horizontal="center" vertical="center" wrapText="1"/>
    </xf>
    <xf numFmtId="167" fontId="2" fillId="4" borderId="4" xfId="6"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0" xfId="0" applyFont="1" applyFill="1" applyAlignment="1">
      <alignment horizontal="center" vertical="center" wrapText="1"/>
    </xf>
    <xf numFmtId="44" fontId="2" fillId="4" borderId="5" xfId="5" applyFont="1" applyFill="1" applyBorder="1" applyAlignment="1">
      <alignment horizontal="center" vertical="center" wrapText="1"/>
    </xf>
    <xf numFmtId="44" fontId="2" fillId="4" borderId="6" xfId="5" applyFont="1" applyFill="1" applyBorder="1" applyAlignment="1">
      <alignment horizontal="center" vertical="center" wrapText="1"/>
    </xf>
    <xf numFmtId="44" fontId="2" fillId="4" borderId="2" xfId="5" applyFont="1" applyFill="1" applyBorder="1" applyAlignment="1">
      <alignment horizontal="center" vertical="center" wrapText="1"/>
    </xf>
    <xf numFmtId="44" fontId="2" fillId="4" borderId="4" xfId="5"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3" fontId="15" fillId="6" borderId="60" xfId="0" applyNumberFormat="1" applyFont="1" applyFill="1" applyBorder="1" applyAlignment="1">
      <alignment horizontal="center" vertical="center" wrapText="1"/>
    </xf>
    <xf numFmtId="3" fontId="15" fillId="6" borderId="62" xfId="0" applyNumberFormat="1" applyFont="1" applyFill="1" applyBorder="1" applyAlignment="1">
      <alignment horizontal="center" vertical="center" wrapText="1"/>
    </xf>
    <xf numFmtId="3" fontId="15" fillId="6" borderId="63" xfId="0" applyNumberFormat="1" applyFont="1" applyFill="1" applyBorder="1" applyAlignment="1">
      <alignment horizontal="center" vertical="center" wrapText="1"/>
    </xf>
    <xf numFmtId="41" fontId="15" fillId="7" borderId="1" xfId="1" applyFont="1" applyFill="1" applyBorder="1" applyAlignment="1">
      <alignment horizontal="center" vertical="center" wrapText="1"/>
    </xf>
    <xf numFmtId="167" fontId="15" fillId="7" borderId="1" xfId="6"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10" fontId="15"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6" borderId="62" xfId="0" applyFont="1" applyFill="1" applyBorder="1" applyAlignment="1">
      <alignment horizontal="center" vertical="center" wrapText="1"/>
    </xf>
    <xf numFmtId="0" fontId="15" fillId="6" borderId="63" xfId="0" applyFont="1" applyFill="1" applyBorder="1" applyAlignment="1">
      <alignment horizontal="center" vertical="center" wrapText="1"/>
    </xf>
    <xf numFmtId="10" fontId="15" fillId="6" borderId="60" xfId="0" applyNumberFormat="1" applyFont="1" applyFill="1" applyBorder="1" applyAlignment="1">
      <alignment horizontal="center" vertical="center" wrapText="1"/>
    </xf>
    <xf numFmtId="10" fontId="15" fillId="6" borderId="62" xfId="0" applyNumberFormat="1" applyFont="1" applyFill="1" applyBorder="1" applyAlignment="1">
      <alignment horizontal="center" vertical="center" wrapText="1"/>
    </xf>
    <xf numFmtId="10" fontId="15" fillId="6" borderId="63" xfId="0" applyNumberFormat="1" applyFont="1" applyFill="1" applyBorder="1" applyAlignment="1">
      <alignment horizontal="center" vertical="center" wrapText="1"/>
    </xf>
    <xf numFmtId="3" fontId="16" fillId="6"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44" fontId="2" fillId="4" borderId="5" xfId="5" applyFont="1" applyFill="1" applyBorder="1" applyAlignment="1">
      <alignment horizontal="center" vertical="center"/>
    </xf>
    <xf numFmtId="44" fontId="2" fillId="4" borderId="6" xfId="5" applyFont="1" applyFill="1" applyBorder="1" applyAlignment="1">
      <alignment horizontal="center" vertical="center"/>
    </xf>
    <xf numFmtId="44" fontId="2" fillId="4" borderId="2" xfId="5" applyFont="1" applyFill="1" applyBorder="1" applyAlignment="1">
      <alignment horizontal="center" vertical="center"/>
    </xf>
    <xf numFmtId="44" fontId="2" fillId="4" borderId="4" xfId="5" applyFont="1" applyFill="1" applyBorder="1" applyAlignment="1">
      <alignment horizontal="center" vertical="center"/>
    </xf>
    <xf numFmtId="0" fontId="2" fillId="4" borderId="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167" fontId="13" fillId="7" borderId="11" xfId="6" applyFont="1" applyFill="1" applyBorder="1" applyAlignment="1">
      <alignment horizontal="center" vertical="center"/>
    </xf>
    <xf numFmtId="167" fontId="13" fillId="7" borderId="7" xfId="6" applyFont="1" applyFill="1" applyBorder="1" applyAlignment="1">
      <alignment horizontal="center" vertical="center"/>
    </xf>
    <xf numFmtId="167" fontId="13" fillId="7" borderId="12" xfId="6" applyFont="1" applyFill="1" applyBorder="1" applyAlignment="1">
      <alignment horizontal="center" vertical="center"/>
    </xf>
    <xf numFmtId="9" fontId="4" fillId="7" borderId="76" xfId="4" applyFont="1" applyFill="1" applyBorder="1" applyAlignment="1">
      <alignment horizontal="center" vertical="center" wrapText="1"/>
    </xf>
    <xf numFmtId="9" fontId="4" fillId="7" borderId="77" xfId="4" applyFont="1" applyFill="1" applyBorder="1" applyAlignment="1">
      <alignment horizontal="center" vertical="center" wrapText="1"/>
    </xf>
    <xf numFmtId="9" fontId="4" fillId="7" borderId="78" xfId="4" applyFont="1" applyFill="1" applyBorder="1" applyAlignment="1">
      <alignment horizontal="center" vertical="center" wrapText="1"/>
    </xf>
    <xf numFmtId="9" fontId="7" fillId="7" borderId="11" xfId="4" applyFont="1" applyFill="1" applyBorder="1" applyAlignment="1">
      <alignment horizontal="center" vertical="center"/>
    </xf>
    <xf numFmtId="9" fontId="7" fillId="7" borderId="7" xfId="4" applyFont="1" applyFill="1" applyBorder="1" applyAlignment="1">
      <alignment horizontal="center" vertical="center"/>
    </xf>
    <xf numFmtId="9" fontId="7" fillId="7" borderId="12" xfId="4" applyFont="1" applyFill="1" applyBorder="1" applyAlignment="1">
      <alignment horizontal="center" vertical="center"/>
    </xf>
    <xf numFmtId="0" fontId="4" fillId="7" borderId="11"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2" xfId="0" applyFont="1" applyFill="1" applyBorder="1" applyAlignment="1">
      <alignment horizontal="center" vertical="center"/>
    </xf>
    <xf numFmtId="9" fontId="4" fillId="7" borderId="11" xfId="4" applyFont="1" applyFill="1" applyBorder="1" applyAlignment="1">
      <alignment horizontal="center" vertical="center"/>
    </xf>
    <xf numFmtId="9" fontId="4" fillId="7" borderId="7" xfId="4" applyFont="1" applyFill="1" applyBorder="1" applyAlignment="1">
      <alignment horizontal="center" vertical="center"/>
    </xf>
    <xf numFmtId="9" fontId="4" fillId="7" borderId="12" xfId="4" applyFont="1" applyFill="1" applyBorder="1" applyAlignment="1">
      <alignment horizontal="center" vertical="center"/>
    </xf>
    <xf numFmtId="0" fontId="4" fillId="7" borderId="11" xfId="0" applyFont="1" applyFill="1" applyBorder="1" applyAlignment="1">
      <alignment horizontal="center" vertical="center" wrapText="1"/>
    </xf>
    <xf numFmtId="0" fontId="4" fillId="7" borderId="7" xfId="0" applyFont="1" applyFill="1" applyBorder="1" applyAlignment="1">
      <alignment horizontal="center" vertical="center" wrapText="1"/>
    </xf>
    <xf numFmtId="1" fontId="4" fillId="7" borderId="76" xfId="4" applyNumberFormat="1" applyFont="1" applyFill="1" applyBorder="1" applyAlignment="1">
      <alignment horizontal="center" vertical="center" wrapText="1"/>
    </xf>
    <xf numFmtId="1" fontId="4" fillId="7" borderId="77" xfId="4" applyNumberFormat="1" applyFont="1" applyFill="1" applyBorder="1" applyAlignment="1">
      <alignment horizontal="center" vertical="center" wrapText="1"/>
    </xf>
    <xf numFmtId="1" fontId="4" fillId="7" borderId="78" xfId="4" applyNumberFormat="1"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54" xfId="0" applyFont="1" applyFill="1" applyBorder="1" applyAlignment="1">
      <alignment horizontal="center" vertical="center" wrapText="1"/>
    </xf>
    <xf numFmtId="164" fontId="2" fillId="4" borderId="5" xfId="2" applyFont="1" applyFill="1" applyBorder="1" applyAlignment="1">
      <alignment horizontal="center" vertical="center"/>
    </xf>
    <xf numFmtId="164" fontId="2" fillId="4" borderId="6" xfId="2" applyFont="1" applyFill="1" applyBorder="1" applyAlignment="1">
      <alignment horizontal="center" vertical="center"/>
    </xf>
    <xf numFmtId="164" fontId="2" fillId="4" borderId="2" xfId="2" applyFont="1" applyFill="1" applyBorder="1" applyAlignment="1">
      <alignment horizontal="center" vertical="center"/>
    </xf>
    <xf numFmtId="164" fontId="2" fillId="4" borderId="4" xfId="2" applyFont="1" applyFill="1" applyBorder="1" applyAlignment="1">
      <alignment horizontal="center" vertical="center"/>
    </xf>
    <xf numFmtId="0" fontId="2" fillId="5" borderId="7" xfId="0" applyFont="1" applyFill="1" applyBorder="1" applyAlignment="1">
      <alignment horizontal="center" vertical="center"/>
    </xf>
    <xf numFmtId="0" fontId="4" fillId="6" borderId="16" xfId="0" applyFont="1" applyFill="1" applyBorder="1" applyAlignment="1">
      <alignment horizontal="center" vertical="center" wrapText="1"/>
    </xf>
    <xf numFmtId="0" fontId="4" fillId="6"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6" borderId="17"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25" xfId="0" applyFont="1" applyFill="1" applyBorder="1" applyAlignment="1">
      <alignment horizontal="center" vertical="center" wrapText="1"/>
    </xf>
    <xf numFmtId="165" fontId="4" fillId="7" borderId="19" xfId="2"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6" xfId="0" applyFont="1" applyFill="1" applyBorder="1" applyAlignment="1">
      <alignment horizontal="center" vertical="center"/>
    </xf>
    <xf numFmtId="0" fontId="4" fillId="6" borderId="38" xfId="0" applyFont="1" applyFill="1" applyBorder="1" applyAlignment="1">
      <alignment horizontal="center" vertical="center"/>
    </xf>
    <xf numFmtId="0" fontId="4" fillId="6" borderId="42" xfId="0" applyFont="1" applyFill="1" applyBorder="1" applyAlignment="1">
      <alignment horizontal="center" vertical="center"/>
    </xf>
    <xf numFmtId="0" fontId="7" fillId="7" borderId="23"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28" xfId="0" applyFont="1" applyFill="1" applyBorder="1" applyAlignment="1">
      <alignment horizontal="center" vertical="center" wrapText="1"/>
    </xf>
    <xf numFmtId="9" fontId="7" fillId="7" borderId="22" xfId="4" applyFont="1" applyFill="1" applyBorder="1" applyAlignment="1">
      <alignment horizontal="center" vertical="center" wrapText="1"/>
    </xf>
    <xf numFmtId="9" fontId="7" fillId="7" borderId="28" xfId="4"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34" xfId="0" applyFont="1" applyFill="1" applyBorder="1" applyAlignment="1">
      <alignment horizontal="center" vertical="center" wrapText="1"/>
    </xf>
    <xf numFmtId="9" fontId="4" fillId="7" borderId="22" xfId="4" applyFont="1" applyFill="1" applyBorder="1" applyAlignment="1">
      <alignment horizontal="center" vertical="center" wrapText="1"/>
    </xf>
    <xf numFmtId="9" fontId="4" fillId="7" borderId="28" xfId="4"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6" borderId="37"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43" xfId="0" applyFont="1" applyFill="1" applyBorder="1" applyAlignment="1">
      <alignment horizontal="center" vertical="center"/>
    </xf>
    <xf numFmtId="9" fontId="4" fillId="6" borderId="37" xfId="4" applyFont="1" applyFill="1" applyBorder="1" applyAlignment="1">
      <alignment horizontal="center" vertical="center"/>
    </xf>
    <xf numFmtId="9" fontId="4" fillId="6" borderId="39" xfId="4" applyFont="1" applyFill="1" applyBorder="1" applyAlignment="1">
      <alignment horizontal="center" vertical="center"/>
    </xf>
    <xf numFmtId="9" fontId="4" fillId="6" borderId="43" xfId="4" applyFont="1" applyFill="1" applyBorder="1" applyAlignment="1">
      <alignment horizontal="center" vertical="center"/>
    </xf>
    <xf numFmtId="0" fontId="4" fillId="6" borderId="37"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7" fillId="6" borderId="36"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43" xfId="0" applyFont="1" applyFill="1" applyBorder="1" applyAlignment="1">
      <alignment horizontal="center" vertical="center"/>
    </xf>
    <xf numFmtId="9" fontId="7" fillId="6" borderId="37" xfId="4" applyFont="1" applyFill="1" applyBorder="1" applyAlignment="1">
      <alignment horizontal="center" vertical="center"/>
    </xf>
    <xf numFmtId="9" fontId="7" fillId="6" borderId="39" xfId="4" applyFont="1" applyFill="1" applyBorder="1" applyAlignment="1">
      <alignment horizontal="center" vertical="center"/>
    </xf>
    <xf numFmtId="9" fontId="7" fillId="6" borderId="43" xfId="4" applyFont="1" applyFill="1" applyBorder="1" applyAlignment="1">
      <alignment horizontal="center" vertical="center"/>
    </xf>
    <xf numFmtId="0" fontId="7" fillId="6" borderId="37"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8" fillId="9" borderId="26"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7" fillId="6" borderId="46" xfId="0" applyFont="1" applyFill="1" applyBorder="1" applyAlignment="1">
      <alignment horizontal="center" vertical="center" wrapText="1"/>
    </xf>
    <xf numFmtId="9" fontId="7" fillId="6" borderId="46" xfId="4" applyFont="1" applyFill="1" applyBorder="1" applyAlignment="1">
      <alignment horizontal="center" vertical="center" wrapText="1"/>
    </xf>
    <xf numFmtId="0" fontId="10" fillId="9" borderId="30"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7" borderId="35" xfId="0" applyFont="1" applyFill="1" applyBorder="1" applyAlignment="1">
      <alignment horizontal="center" vertical="center" wrapText="1"/>
    </xf>
    <xf numFmtId="165" fontId="4" fillId="6" borderId="0" xfId="2" applyNumberFormat="1" applyFont="1" applyFill="1" applyAlignment="1">
      <alignment horizontal="center" vertical="center" wrapText="1"/>
    </xf>
    <xf numFmtId="165" fontId="4" fillId="6" borderId="19" xfId="2" applyNumberFormat="1"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6" borderId="51" xfId="0" applyFont="1" applyFill="1" applyBorder="1" applyAlignment="1">
      <alignment horizontal="center" vertical="center" wrapText="1"/>
    </xf>
    <xf numFmtId="9" fontId="7" fillId="6" borderId="46" xfId="0" applyNumberFormat="1" applyFont="1" applyFill="1" applyBorder="1" applyAlignment="1">
      <alignment horizontal="center" vertical="center" wrapText="1"/>
    </xf>
    <xf numFmtId="165" fontId="4" fillId="7" borderId="16" xfId="2" applyNumberFormat="1" applyFont="1" applyFill="1" applyBorder="1" applyAlignment="1">
      <alignment horizontal="center" vertical="center" wrapText="1"/>
    </xf>
    <xf numFmtId="165" fontId="4" fillId="7" borderId="0" xfId="2" applyNumberFormat="1" applyFont="1" applyFill="1" applyAlignment="1">
      <alignment horizontal="center" vertical="center" wrapText="1"/>
    </xf>
    <xf numFmtId="9" fontId="4" fillId="6" borderId="46" xfId="0" applyNumberFormat="1"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7" fillId="7" borderId="46" xfId="0" applyFont="1" applyFill="1" applyBorder="1" applyAlignment="1">
      <alignment horizontal="center" vertical="center" wrapText="1"/>
    </xf>
    <xf numFmtId="9" fontId="7" fillId="7" borderId="46" xfId="4" applyFont="1" applyFill="1" applyBorder="1" applyAlignment="1">
      <alignment horizontal="center" vertical="center" wrapText="1"/>
    </xf>
    <xf numFmtId="9" fontId="4" fillId="6" borderId="46" xfId="4" applyFont="1" applyFill="1" applyBorder="1" applyAlignment="1">
      <alignment horizontal="center" vertical="center"/>
    </xf>
    <xf numFmtId="165" fontId="4" fillId="6" borderId="46" xfId="2" applyNumberFormat="1" applyFont="1" applyFill="1" applyBorder="1" applyAlignment="1">
      <alignment horizontal="center" vertical="center" wrapText="1"/>
    </xf>
    <xf numFmtId="165" fontId="4" fillId="6" borderId="46" xfId="2" applyNumberFormat="1" applyFont="1" applyFill="1" applyBorder="1" applyAlignment="1">
      <alignment horizontal="center" vertical="center"/>
    </xf>
    <xf numFmtId="0" fontId="4" fillId="6" borderId="46" xfId="0" applyFont="1" applyFill="1" applyBorder="1" applyAlignment="1">
      <alignment horizontal="center" vertical="center"/>
    </xf>
    <xf numFmtId="165" fontId="4" fillId="7" borderId="46" xfId="2" applyNumberFormat="1" applyFont="1" applyFill="1" applyBorder="1" applyAlignment="1">
      <alignment horizontal="center" vertical="center" wrapText="1"/>
    </xf>
    <xf numFmtId="0" fontId="7" fillId="6" borderId="46" xfId="0" applyFont="1" applyFill="1" applyBorder="1" applyAlignment="1">
      <alignment horizontal="center" vertical="center"/>
    </xf>
    <xf numFmtId="9" fontId="7" fillId="6" borderId="46" xfId="4" applyFont="1" applyFill="1" applyBorder="1" applyAlignment="1">
      <alignment horizontal="center" vertical="center"/>
    </xf>
    <xf numFmtId="0" fontId="7" fillId="8" borderId="52" xfId="0" applyFont="1" applyFill="1" applyBorder="1" applyAlignment="1">
      <alignment horizontal="center" vertical="center" wrapText="1"/>
    </xf>
    <xf numFmtId="0" fontId="7" fillId="8" borderId="53" xfId="0" applyFont="1" applyFill="1" applyBorder="1" applyAlignment="1">
      <alignment horizontal="center" vertical="center" wrapText="1"/>
    </xf>
    <xf numFmtId="0" fontId="7" fillId="8" borderId="54" xfId="0" applyFont="1" applyFill="1" applyBorder="1" applyAlignment="1">
      <alignment horizontal="center" vertical="center" wrapText="1"/>
    </xf>
    <xf numFmtId="0" fontId="4" fillId="8" borderId="55" xfId="0" applyFont="1" applyFill="1" applyBorder="1" applyAlignment="1">
      <alignment horizontal="center" vertical="center"/>
    </xf>
    <xf numFmtId="0" fontId="4" fillId="8" borderId="3" xfId="0" applyFont="1" applyFill="1" applyBorder="1" applyAlignment="1">
      <alignment horizontal="center" vertical="center"/>
    </xf>
    <xf numFmtId="0" fontId="7" fillId="8" borderId="55" xfId="0" applyFont="1" applyFill="1" applyBorder="1" applyAlignment="1">
      <alignment horizontal="center" vertical="center"/>
    </xf>
    <xf numFmtId="0" fontId="7" fillId="8" borderId="3" xfId="0" applyFont="1" applyFill="1" applyBorder="1" applyAlignment="1">
      <alignment horizontal="center" vertical="center"/>
    </xf>
    <xf numFmtId="0" fontId="4" fillId="8" borderId="4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56" xfId="0" applyFont="1" applyFill="1" applyBorder="1" applyAlignment="1">
      <alignment horizontal="center" vertical="center" wrapText="1"/>
    </xf>
    <xf numFmtId="0" fontId="7" fillId="8" borderId="4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46" xfId="0" applyFont="1" applyFill="1" applyBorder="1" applyAlignment="1">
      <alignment horizontal="center" vertical="center"/>
    </xf>
    <xf numFmtId="0" fontId="7" fillId="8" borderId="46" xfId="0" applyFont="1" applyFill="1" applyBorder="1" applyAlignment="1">
      <alignment horizontal="center" vertical="center"/>
    </xf>
    <xf numFmtId="0" fontId="7" fillId="8" borderId="46" xfId="0" applyFont="1" applyFill="1" applyBorder="1" applyAlignment="1">
      <alignment horizontal="center" vertical="center" wrapText="1"/>
    </xf>
    <xf numFmtId="0" fontId="4" fillId="8" borderId="52" xfId="0" applyFont="1" applyFill="1" applyBorder="1" applyAlignment="1">
      <alignment horizontal="center" vertical="center"/>
    </xf>
    <xf numFmtId="0" fontId="4" fillId="8" borderId="53" xfId="0" applyFont="1" applyFill="1" applyBorder="1" applyAlignment="1">
      <alignment horizontal="center" vertical="center"/>
    </xf>
    <xf numFmtId="0" fontId="4" fillId="8" borderId="54" xfId="0" applyFont="1" applyFill="1" applyBorder="1" applyAlignment="1">
      <alignment horizontal="center"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54" xfId="0" applyFont="1" applyFill="1" applyBorder="1" applyAlignment="1">
      <alignment horizontal="center" vertical="center"/>
    </xf>
    <xf numFmtId="0" fontId="4" fillId="7" borderId="12" xfId="0" applyFont="1" applyFill="1" applyBorder="1" applyAlignment="1">
      <alignment horizontal="center" vertical="center" wrapText="1"/>
    </xf>
    <xf numFmtId="0" fontId="4" fillId="7" borderId="44" xfId="0" applyFont="1" applyFill="1" applyBorder="1" applyAlignment="1">
      <alignment horizontal="center" vertical="center"/>
    </xf>
    <xf numFmtId="0" fontId="4" fillId="7" borderId="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6"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7" borderId="0" xfId="0" applyFont="1" applyFill="1" applyAlignment="1">
      <alignment horizontal="center" vertical="center"/>
    </xf>
    <xf numFmtId="9" fontId="4" fillId="7" borderId="0" xfId="4" applyFont="1" applyFill="1" applyAlignment="1">
      <alignment horizontal="center" vertical="center"/>
    </xf>
    <xf numFmtId="0" fontId="4" fillId="7" borderId="58" xfId="0" applyFont="1" applyFill="1" applyBorder="1" applyAlignment="1">
      <alignment horizontal="center" vertical="center" wrapText="1"/>
    </xf>
    <xf numFmtId="168" fontId="4" fillId="6" borderId="0" xfId="7" applyFont="1" applyFill="1" applyAlignment="1">
      <alignment horizontal="center" vertical="center"/>
    </xf>
    <xf numFmtId="0" fontId="4" fillId="6" borderId="0" xfId="0" applyFont="1" applyFill="1" applyAlignment="1">
      <alignment horizontal="center" vertical="center"/>
    </xf>
    <xf numFmtId="9" fontId="4" fillId="6" borderId="0" xfId="4" applyFont="1" applyFill="1" applyAlignment="1">
      <alignment horizontal="center" vertical="center"/>
    </xf>
    <xf numFmtId="167" fontId="13" fillId="7" borderId="16" xfId="0" applyNumberFormat="1" applyFont="1" applyFill="1" applyBorder="1" applyAlignment="1">
      <alignment horizontal="center" vertical="center"/>
    </xf>
    <xf numFmtId="167" fontId="13" fillId="7" borderId="0" xfId="0" applyNumberFormat="1" applyFont="1" applyFill="1" applyAlignment="1">
      <alignment horizontal="center" vertical="center"/>
    </xf>
    <xf numFmtId="167" fontId="13" fillId="7" borderId="44" xfId="6" applyFont="1" applyFill="1" applyBorder="1" applyAlignment="1">
      <alignment horizontal="center" vertical="center"/>
    </xf>
    <xf numFmtId="167" fontId="13" fillId="7" borderId="5" xfId="6" applyFont="1" applyFill="1" applyBorder="1" applyAlignment="1">
      <alignment horizontal="center" vertical="center"/>
    </xf>
    <xf numFmtId="0" fontId="4" fillId="6" borderId="5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10" fontId="4" fillId="6" borderId="0" xfId="0" applyNumberFormat="1" applyFont="1" applyFill="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16" xfId="0" applyFont="1" applyFill="1" applyBorder="1" applyAlignment="1">
      <alignment horizontal="center" vertical="center"/>
    </xf>
    <xf numFmtId="1" fontId="4" fillId="6" borderId="56" xfId="4" applyNumberFormat="1" applyFont="1" applyFill="1" applyBorder="1" applyAlignment="1">
      <alignment horizontal="center" vertical="center"/>
    </xf>
    <xf numFmtId="1" fontId="4" fillId="6" borderId="6" xfId="4" applyNumberFormat="1" applyFont="1" applyFill="1" applyBorder="1" applyAlignment="1">
      <alignment horizontal="center" vertical="center"/>
    </xf>
    <xf numFmtId="0" fontId="4" fillId="7" borderId="11"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79" xfId="0" applyFont="1" applyFill="1" applyBorder="1" applyAlignment="1">
      <alignment horizontal="center" vertical="center" wrapText="1"/>
    </xf>
    <xf numFmtId="0" fontId="3" fillId="2" borderId="0" xfId="0" applyFont="1" applyFill="1" applyAlignment="1">
      <alignment horizontal="center" vertical="center" wrapText="1"/>
    </xf>
    <xf numFmtId="9" fontId="4" fillId="6" borderId="76" xfId="4" applyFont="1" applyFill="1" applyBorder="1" applyAlignment="1">
      <alignment horizontal="center" vertical="center" wrapText="1"/>
    </xf>
    <xf numFmtId="9" fontId="4" fillId="6" borderId="77" xfId="4" applyFont="1" applyFill="1" applyBorder="1" applyAlignment="1">
      <alignment horizontal="center" vertical="center" wrapText="1"/>
    </xf>
    <xf numFmtId="9" fontId="4" fillId="6" borderId="78" xfId="4" applyFont="1" applyFill="1" applyBorder="1" applyAlignment="1">
      <alignment horizontal="center" vertical="center" wrapText="1"/>
    </xf>
    <xf numFmtId="9" fontId="4" fillId="6" borderId="80" xfId="4" applyFont="1" applyFill="1" applyBorder="1" applyAlignment="1">
      <alignment horizontal="center" vertical="center" wrapText="1"/>
    </xf>
    <xf numFmtId="171" fontId="4" fillId="6" borderId="76" xfId="5" applyNumberFormat="1" applyFont="1" applyFill="1" applyBorder="1" applyAlignment="1">
      <alignment horizontal="center" vertical="center" wrapText="1"/>
    </xf>
    <xf numFmtId="171" fontId="4" fillId="6" borderId="77" xfId="5" applyNumberFormat="1" applyFont="1" applyFill="1" applyBorder="1" applyAlignment="1">
      <alignment horizontal="center" vertical="center" wrapText="1"/>
    </xf>
    <xf numFmtId="171" fontId="4" fillId="6" borderId="78" xfId="5" applyNumberFormat="1" applyFont="1" applyFill="1" applyBorder="1" applyAlignment="1">
      <alignment horizontal="center" vertical="center" wrapText="1"/>
    </xf>
    <xf numFmtId="0" fontId="4" fillId="6" borderId="30" xfId="0" applyFont="1" applyFill="1" applyBorder="1" applyAlignment="1">
      <alignment horizontal="center" vertical="center" wrapText="1"/>
    </xf>
    <xf numFmtId="171" fontId="4" fillId="7" borderId="76" xfId="5" applyNumberFormat="1" applyFont="1" applyFill="1" applyBorder="1" applyAlignment="1">
      <alignment horizontal="center" vertical="center" wrapText="1"/>
    </xf>
    <xf numFmtId="171" fontId="4" fillId="7" borderId="77" xfId="5" applyNumberFormat="1" applyFont="1" applyFill="1" applyBorder="1" applyAlignment="1">
      <alignment horizontal="center" vertical="center" wrapText="1"/>
    </xf>
    <xf numFmtId="171" fontId="4" fillId="7" borderId="78" xfId="5" applyNumberFormat="1" applyFont="1" applyFill="1" applyBorder="1" applyAlignment="1">
      <alignment horizontal="center" vertical="center" wrapText="1"/>
    </xf>
    <xf numFmtId="167" fontId="15" fillId="7" borderId="16" xfId="6" applyFont="1" applyFill="1" applyBorder="1" applyAlignment="1">
      <alignment horizontal="center" vertical="center" wrapText="1"/>
    </xf>
    <xf numFmtId="167" fontId="15" fillId="7" borderId="0" xfId="6" applyFont="1" applyFill="1" applyAlignment="1">
      <alignment horizontal="center" vertical="center" wrapText="1"/>
    </xf>
    <xf numFmtId="0" fontId="2" fillId="4" borderId="64"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4" borderId="66"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2" fillId="4" borderId="68" xfId="0" applyFont="1" applyFill="1" applyBorder="1" applyAlignment="1">
      <alignment horizontal="center" vertical="center" wrapText="1"/>
    </xf>
    <xf numFmtId="165" fontId="4" fillId="6" borderId="76" xfId="2" applyNumberFormat="1" applyFont="1" applyFill="1" applyBorder="1" applyAlignment="1">
      <alignment horizontal="center" vertical="center" wrapText="1"/>
    </xf>
    <xf numFmtId="165" fontId="4" fillId="6" borderId="78" xfId="2" applyNumberFormat="1" applyFont="1" applyFill="1" applyBorder="1" applyAlignment="1">
      <alignment horizontal="center" vertical="center" wrapText="1"/>
    </xf>
    <xf numFmtId="9" fontId="4" fillId="7" borderId="48" xfId="4" applyFont="1" applyFill="1" applyBorder="1" applyAlignment="1">
      <alignment horizontal="center" vertical="center" wrapText="1"/>
    </xf>
    <xf numFmtId="9" fontId="4" fillId="7" borderId="79" xfId="4" applyFont="1" applyFill="1" applyBorder="1" applyAlignment="1">
      <alignment horizontal="center" vertical="center" wrapText="1"/>
    </xf>
    <xf numFmtId="9" fontId="4" fillId="7" borderId="35" xfId="4" applyFont="1" applyFill="1" applyBorder="1" applyAlignment="1">
      <alignment horizontal="center" vertical="center" wrapText="1"/>
    </xf>
    <xf numFmtId="165" fontId="4" fillId="7" borderId="48" xfId="2" applyNumberFormat="1" applyFont="1" applyFill="1" applyBorder="1" applyAlignment="1">
      <alignment horizontal="center" vertical="center" wrapText="1"/>
    </xf>
    <xf numFmtId="165" fontId="4" fillId="7" borderId="79" xfId="2" applyNumberFormat="1" applyFont="1" applyFill="1" applyBorder="1" applyAlignment="1">
      <alignment horizontal="center" vertical="center" wrapText="1"/>
    </xf>
    <xf numFmtId="165" fontId="4" fillId="7" borderId="35" xfId="2"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2" fillId="4" borderId="1" xfId="0" applyFont="1" applyFill="1" applyBorder="1" applyAlignment="1">
      <alignment horizontal="center" vertical="center"/>
    </xf>
    <xf numFmtId="165" fontId="4" fillId="7" borderId="76" xfId="2" applyNumberFormat="1" applyFont="1" applyFill="1" applyBorder="1" applyAlignment="1">
      <alignment horizontal="center" vertical="center" wrapText="1"/>
    </xf>
    <xf numFmtId="165" fontId="4" fillId="7" borderId="77" xfId="2" applyNumberFormat="1" applyFont="1" applyFill="1" applyBorder="1" applyAlignment="1">
      <alignment horizontal="center" vertical="center" wrapText="1"/>
    </xf>
    <xf numFmtId="9" fontId="4" fillId="6" borderId="17" xfId="4" applyFont="1" applyFill="1" applyBorder="1" applyAlignment="1">
      <alignment horizontal="center" vertical="center" wrapText="1"/>
    </xf>
    <xf numFmtId="9" fontId="4" fillId="6" borderId="24" xfId="4" applyFont="1" applyFill="1" applyBorder="1" applyAlignment="1">
      <alignment horizontal="center" vertical="center" wrapText="1"/>
    </xf>
    <xf numFmtId="172" fontId="4" fillId="7" borderId="76" xfId="4" applyNumberFormat="1" applyFont="1" applyFill="1" applyBorder="1" applyAlignment="1">
      <alignment horizontal="center" vertical="center" wrapText="1"/>
    </xf>
    <xf numFmtId="172" fontId="4" fillId="7" borderId="77" xfId="4"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11" xfId="0" applyFont="1" applyFill="1" applyBorder="1" applyAlignment="1">
      <alignment vertical="center" wrapText="1"/>
    </xf>
    <xf numFmtId="1" fontId="4" fillId="6" borderId="27" xfId="0" applyNumberFormat="1" applyFont="1" applyFill="1" applyBorder="1" applyAlignment="1">
      <alignment horizontal="center" vertical="center"/>
    </xf>
    <xf numFmtId="0" fontId="4" fillId="8" borderId="103" xfId="0" applyFont="1" applyFill="1" applyBorder="1" applyAlignment="1">
      <alignment vertical="center"/>
    </xf>
    <xf numFmtId="0" fontId="4" fillId="8" borderId="27" xfId="0" applyFont="1" applyFill="1" applyBorder="1" applyAlignment="1">
      <alignment vertical="center"/>
    </xf>
    <xf numFmtId="1" fontId="4" fillId="7" borderId="11" xfId="0" applyNumberFormat="1" applyFont="1" applyFill="1" applyBorder="1" applyAlignment="1">
      <alignment vertical="center" wrapText="1"/>
    </xf>
    <xf numFmtId="1" fontId="4" fillId="7" borderId="11" xfId="0" applyNumberFormat="1" applyFont="1" applyFill="1" applyBorder="1" applyAlignment="1">
      <alignment horizontal="center" vertical="center" wrapText="1"/>
    </xf>
    <xf numFmtId="166" fontId="4" fillId="6" borderId="27" xfId="4" applyNumberFormat="1" applyFont="1" applyFill="1" applyBorder="1" applyAlignment="1">
      <alignment horizontal="center" vertical="center"/>
    </xf>
  </cellXfs>
  <cellStyles count="9">
    <cellStyle name="Millares [0]" xfId="1" builtinId="6"/>
    <cellStyle name="Millares [0] 2" xfId="7" xr:uid="{E9F0779A-B6BF-4910-8B8E-DDA6B0BB6987}"/>
    <cellStyle name="Moneda" xfId="2" builtinId="4"/>
    <cellStyle name="Moneda [0]" xfId="3" builtinId="7"/>
    <cellStyle name="Moneda [0] 2" xfId="6" xr:uid="{0357F7C2-9F13-46A0-A7BC-5855DC407DE8}"/>
    <cellStyle name="Moneda [0] 3" xfId="8" xr:uid="{363CFE33-33DB-4D43-B0D7-AAC96A34D38C}"/>
    <cellStyle name="Moneda 2" xfId="5" xr:uid="{66C17CB0-192A-4150-B2CB-16763BFA935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B0B36265-3FFC-4E63-A864-904D970B9309}"/>
            </a:ext>
          </a:extLst>
        </xdr:cNvPr>
        <xdr:cNvGrpSpPr/>
      </xdr:nvGrpSpPr>
      <xdr:grpSpPr>
        <a:xfrm>
          <a:off x="0" y="0"/>
          <a:ext cx="2813164" cy="942578"/>
          <a:chOff x="228600" y="47625"/>
          <a:chExt cx="2680608" cy="981075"/>
        </a:xfrm>
      </xdr:grpSpPr>
      <xdr:pic>
        <xdr:nvPicPr>
          <xdr:cNvPr id="3" name="Picture 5">
            <a:extLst>
              <a:ext uri="{FF2B5EF4-FFF2-40B4-BE49-F238E27FC236}">
                <a16:creationId xmlns:a16="http://schemas.microsoft.com/office/drawing/2014/main" id="{25A578D3-C2BC-4081-9C37-66D58C7FC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1AC62A11-E999-4F57-9AD1-83191FD216D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6CA39F9C-2E6C-43A6-8438-FAEFBB2A55B9}"/>
            </a:ext>
          </a:extLst>
        </xdr:cNvPr>
        <xdr:cNvGrpSpPr/>
      </xdr:nvGrpSpPr>
      <xdr:grpSpPr>
        <a:xfrm>
          <a:off x="0" y="0"/>
          <a:ext cx="2813164" cy="942578"/>
          <a:chOff x="228600" y="47625"/>
          <a:chExt cx="2680608" cy="981075"/>
        </a:xfrm>
      </xdr:grpSpPr>
      <xdr:pic>
        <xdr:nvPicPr>
          <xdr:cNvPr id="6" name="Picture 5">
            <a:extLst>
              <a:ext uri="{FF2B5EF4-FFF2-40B4-BE49-F238E27FC236}">
                <a16:creationId xmlns:a16="http://schemas.microsoft.com/office/drawing/2014/main" id="{5E76DF6A-B60E-427D-A8CE-5DAD49AB2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0539E73A-5FE0-4332-8939-A47D04AB927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432C6FA8-B3F4-4623-97B4-6FF519CEF218}"/>
            </a:ext>
          </a:extLst>
        </xdr:cNvPr>
        <xdr:cNvGrpSpPr/>
      </xdr:nvGrpSpPr>
      <xdr:grpSpPr>
        <a:xfrm>
          <a:off x="0" y="0"/>
          <a:ext cx="3484482" cy="943514"/>
          <a:chOff x="228600" y="47625"/>
          <a:chExt cx="2680608" cy="981075"/>
        </a:xfrm>
      </xdr:grpSpPr>
      <xdr:pic>
        <xdr:nvPicPr>
          <xdr:cNvPr id="3" name="Picture 5">
            <a:extLst>
              <a:ext uri="{FF2B5EF4-FFF2-40B4-BE49-F238E27FC236}">
                <a16:creationId xmlns:a16="http://schemas.microsoft.com/office/drawing/2014/main" id="{749FE60D-7B0E-4318-A479-403DD7BF1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9D407436-2568-47CF-AB7D-B5AB36CF4A5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7F86D1AA-541C-4A8E-B759-8BD26F052A71}"/>
            </a:ext>
          </a:extLst>
        </xdr:cNvPr>
        <xdr:cNvGrpSpPr/>
      </xdr:nvGrpSpPr>
      <xdr:grpSpPr>
        <a:xfrm>
          <a:off x="0" y="0"/>
          <a:ext cx="3290208" cy="952500"/>
          <a:chOff x="228600" y="47625"/>
          <a:chExt cx="2680608" cy="981075"/>
        </a:xfrm>
      </xdr:grpSpPr>
      <xdr:pic>
        <xdr:nvPicPr>
          <xdr:cNvPr id="3" name="Picture 5">
            <a:extLst>
              <a:ext uri="{FF2B5EF4-FFF2-40B4-BE49-F238E27FC236}">
                <a16:creationId xmlns:a16="http://schemas.microsoft.com/office/drawing/2014/main" id="{65F5400A-6E77-42F1-A503-96410336C3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218D4CE9-B66D-4AB7-9C4F-47E6C7913EA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3F875964-AA9B-47E2-915A-1C49F0A738E8}"/>
            </a:ext>
          </a:extLst>
        </xdr:cNvPr>
        <xdr:cNvGrpSpPr/>
      </xdr:nvGrpSpPr>
      <xdr:grpSpPr>
        <a:xfrm>
          <a:off x="9525" y="76200"/>
          <a:ext cx="3290208" cy="876300"/>
          <a:chOff x="228600" y="47625"/>
          <a:chExt cx="2680608" cy="981075"/>
        </a:xfrm>
      </xdr:grpSpPr>
      <xdr:pic>
        <xdr:nvPicPr>
          <xdr:cNvPr id="6" name="Picture 5">
            <a:extLst>
              <a:ext uri="{FF2B5EF4-FFF2-40B4-BE49-F238E27FC236}">
                <a16:creationId xmlns:a16="http://schemas.microsoft.com/office/drawing/2014/main" id="{5B80D41D-1042-448B-88B4-96E63B0A3A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459EC701-1C17-490F-86D6-D3FEED8ABA1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490233" cy="952500"/>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17</xdr:col>
      <xdr:colOff>273050</xdr:colOff>
      <xdr:row>6</xdr:row>
      <xdr:rowOff>82547</xdr:rowOff>
    </xdr:from>
    <xdr:ext cx="1134531" cy="46211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57A4B8BA-2C3F-403A-8338-089805E68465}"/>
                </a:ext>
              </a:extLst>
            </xdr:cNvPr>
            <xdr:cNvSpPr txBox="1"/>
          </xdr:nvSpPr>
          <xdr:spPr>
            <a:xfrm>
              <a:off x="31924625" y="16065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5" name="CuadroTexto 4">
              <a:extLst>
                <a:ext uri="{FF2B5EF4-FFF2-40B4-BE49-F238E27FC236}">
                  <a16:creationId xmlns:a16="http://schemas.microsoft.com/office/drawing/2014/main" id="{57A4B8BA-2C3F-403A-8338-089805E68465}"/>
                </a:ext>
              </a:extLst>
            </xdr:cNvPr>
            <xdr:cNvSpPr txBox="1"/>
          </xdr:nvSpPr>
          <xdr:spPr>
            <a:xfrm>
              <a:off x="31924625" y="16065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338669</xdr:colOff>
      <xdr:row>7</xdr:row>
      <xdr:rowOff>0</xdr:rowOff>
    </xdr:from>
    <xdr:ext cx="1134531" cy="462114"/>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AC77D9E7-BBF5-4327-8EBA-4AAD742772A0}"/>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6" name="CuadroTexto 5">
              <a:extLst>
                <a:ext uri="{FF2B5EF4-FFF2-40B4-BE49-F238E27FC236}">
                  <a16:creationId xmlns:a16="http://schemas.microsoft.com/office/drawing/2014/main" id="{AC77D9E7-BBF5-4327-8EBA-4AAD742772A0}"/>
                </a:ext>
              </a:extLst>
            </xdr:cNvPr>
            <xdr:cNvSpPr txBox="1"/>
          </xdr:nvSpPr>
          <xdr:spPr>
            <a:xfrm>
              <a:off x="31990244" y="28765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328082</xdr:colOff>
      <xdr:row>8</xdr:row>
      <xdr:rowOff>148167</xdr:rowOff>
    </xdr:from>
    <xdr:ext cx="1134531" cy="462114"/>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A168A500-3FC2-4DAE-9A3D-81244C05060F}"/>
                </a:ext>
              </a:extLst>
            </xdr:cNvPr>
            <xdr:cNvSpPr txBox="1"/>
          </xdr:nvSpPr>
          <xdr:spPr>
            <a:xfrm>
              <a:off x="31979657" y="43010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A168A500-3FC2-4DAE-9A3D-81244C05060F}"/>
                </a:ext>
              </a:extLst>
            </xdr:cNvPr>
            <xdr:cNvSpPr txBox="1"/>
          </xdr:nvSpPr>
          <xdr:spPr>
            <a:xfrm>
              <a:off x="31979657" y="43010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296332</xdr:colOff>
      <xdr:row>9</xdr:row>
      <xdr:rowOff>0</xdr:rowOff>
    </xdr:from>
    <xdr:ext cx="1134531" cy="462114"/>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CFB2DD40-953B-4AE7-8238-54B5A2246190}"/>
                </a:ext>
              </a:extLst>
            </xdr:cNvPr>
            <xdr:cNvSpPr txBox="1"/>
          </xdr:nvSpPr>
          <xdr:spPr>
            <a:xfrm>
              <a:off x="31947907" y="612457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CFB2DD40-953B-4AE7-8238-54B5A2246190}"/>
                </a:ext>
              </a:extLst>
            </xdr:cNvPr>
            <xdr:cNvSpPr txBox="1"/>
          </xdr:nvSpPr>
          <xdr:spPr>
            <a:xfrm>
              <a:off x="31947907" y="612457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10</xdr:row>
      <xdr:rowOff>82547</xdr:rowOff>
    </xdr:from>
    <xdr:ext cx="1134531" cy="462114"/>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59192DEE-C870-4182-9A28-A3A7D99A8AA0}"/>
                </a:ext>
              </a:extLst>
            </xdr:cNvPr>
            <xdr:cNvSpPr txBox="1"/>
          </xdr:nvSpPr>
          <xdr:spPr>
            <a:xfrm>
              <a:off x="31924625" y="75215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59192DEE-C870-4182-9A28-A3A7D99A8AA0}"/>
                </a:ext>
              </a:extLst>
            </xdr:cNvPr>
            <xdr:cNvSpPr txBox="1"/>
          </xdr:nvSpPr>
          <xdr:spPr>
            <a:xfrm>
              <a:off x="31924625" y="75215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11</xdr:row>
      <xdr:rowOff>82547</xdr:rowOff>
    </xdr:from>
    <xdr:ext cx="1134531" cy="462114"/>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38FAED2C-2A7B-4C23-B715-195BC87B2789}"/>
                </a:ext>
              </a:extLst>
            </xdr:cNvPr>
            <xdr:cNvSpPr txBox="1"/>
          </xdr:nvSpPr>
          <xdr:spPr>
            <a:xfrm>
              <a:off x="31924625" y="87693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38FAED2C-2A7B-4C23-B715-195BC87B2789}"/>
                </a:ext>
              </a:extLst>
            </xdr:cNvPr>
            <xdr:cNvSpPr txBox="1"/>
          </xdr:nvSpPr>
          <xdr:spPr>
            <a:xfrm>
              <a:off x="31924625" y="87693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12</xdr:row>
      <xdr:rowOff>82547</xdr:rowOff>
    </xdr:from>
    <xdr:ext cx="1134531" cy="462114"/>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E0D84A2F-85F0-4849-B43A-BAE6D6753D0F}"/>
                </a:ext>
              </a:extLst>
            </xdr:cNvPr>
            <xdr:cNvSpPr txBox="1"/>
          </xdr:nvSpPr>
          <xdr:spPr>
            <a:xfrm>
              <a:off x="31924625" y="99599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E0D84A2F-85F0-4849-B43A-BAE6D6753D0F}"/>
                </a:ext>
              </a:extLst>
            </xdr:cNvPr>
            <xdr:cNvSpPr txBox="1"/>
          </xdr:nvSpPr>
          <xdr:spPr>
            <a:xfrm>
              <a:off x="31924625" y="99599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13</xdr:row>
      <xdr:rowOff>82547</xdr:rowOff>
    </xdr:from>
    <xdr:ext cx="1134531" cy="462114"/>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D8C9BBCE-99AE-4F50-8DD7-7A266269603C}"/>
                </a:ext>
              </a:extLst>
            </xdr:cNvPr>
            <xdr:cNvSpPr txBox="1"/>
          </xdr:nvSpPr>
          <xdr:spPr>
            <a:xfrm>
              <a:off x="31924625" y="122078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D8C9BBCE-99AE-4F50-8DD7-7A266269603C}"/>
                </a:ext>
              </a:extLst>
            </xdr:cNvPr>
            <xdr:cNvSpPr txBox="1"/>
          </xdr:nvSpPr>
          <xdr:spPr>
            <a:xfrm>
              <a:off x="31924625" y="1220787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17</xdr:col>
      <xdr:colOff>273050</xdr:colOff>
      <xdr:row>14</xdr:row>
      <xdr:rowOff>82547</xdr:rowOff>
    </xdr:from>
    <xdr:ext cx="1134531" cy="462114"/>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4428D561-82E1-4036-BF6B-CD263EA0B1A4}"/>
                </a:ext>
              </a:extLst>
            </xdr:cNvPr>
            <xdr:cNvSpPr txBox="1"/>
          </xdr:nvSpPr>
          <xdr:spPr>
            <a:xfrm>
              <a:off x="31924625" y="13522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4428D561-82E1-4036-BF6B-CD263EA0B1A4}"/>
                </a:ext>
              </a:extLst>
            </xdr:cNvPr>
            <xdr:cNvSpPr txBox="1"/>
          </xdr:nvSpPr>
          <xdr:spPr>
            <a:xfrm>
              <a:off x="31924625" y="135223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12</xdr:col>
      <xdr:colOff>273050</xdr:colOff>
      <xdr:row>16</xdr:row>
      <xdr:rowOff>82547</xdr:rowOff>
    </xdr:from>
    <xdr:ext cx="1134531" cy="462114"/>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DF7D988E-7E05-49F6-A51B-D88E30818EE7}"/>
                </a:ext>
              </a:extLst>
            </xdr:cNvPr>
            <xdr:cNvSpPr txBox="1"/>
          </xdr:nvSpPr>
          <xdr:spPr>
            <a:xfrm>
              <a:off x="21399500" y="167893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DF7D988E-7E05-49F6-A51B-D88E30818EE7}"/>
                </a:ext>
              </a:extLst>
            </xdr:cNvPr>
            <xdr:cNvSpPr txBox="1"/>
          </xdr:nvSpPr>
          <xdr:spPr>
            <a:xfrm>
              <a:off x="21399500" y="167893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12</xdr:col>
      <xdr:colOff>273050</xdr:colOff>
      <xdr:row>17</xdr:row>
      <xdr:rowOff>82547</xdr:rowOff>
    </xdr:from>
    <xdr:ext cx="1134531" cy="462114"/>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399500" y="183324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399500" y="183324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3</xdr:row>
      <xdr:rowOff>0</xdr:rowOff>
    </xdr:to>
    <xdr:grpSp>
      <xdr:nvGrpSpPr>
        <xdr:cNvPr id="2" name="Grupo 1">
          <a:extLst>
            <a:ext uri="{FF2B5EF4-FFF2-40B4-BE49-F238E27FC236}">
              <a16:creationId xmlns:a16="http://schemas.microsoft.com/office/drawing/2014/main" id="{D29FDF02-EBE4-440E-A558-E6C2A534A665}"/>
            </a:ext>
          </a:extLst>
        </xdr:cNvPr>
        <xdr:cNvGrpSpPr/>
      </xdr:nvGrpSpPr>
      <xdr:grpSpPr>
        <a:xfrm>
          <a:off x="0" y="0"/>
          <a:ext cx="0" cy="952500"/>
          <a:chOff x="228600" y="47625"/>
          <a:chExt cx="2680608" cy="981075"/>
        </a:xfrm>
      </xdr:grpSpPr>
      <xdr:pic>
        <xdr:nvPicPr>
          <xdr:cNvPr id="3" name="Picture 5">
            <a:extLst>
              <a:ext uri="{FF2B5EF4-FFF2-40B4-BE49-F238E27FC236}">
                <a16:creationId xmlns:a16="http://schemas.microsoft.com/office/drawing/2014/main" id="{4D22515B-9DC5-4934-8FA6-74863ECD0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4CB2B88-CEBD-4D1F-96BA-3EF8B96BD56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242208</xdr:colOff>
      <xdr:row>2</xdr:row>
      <xdr:rowOff>295275</xdr:rowOff>
    </xdr:to>
    <xdr:grpSp>
      <xdr:nvGrpSpPr>
        <xdr:cNvPr id="5" name="Grupo 4">
          <a:extLst>
            <a:ext uri="{FF2B5EF4-FFF2-40B4-BE49-F238E27FC236}">
              <a16:creationId xmlns:a16="http://schemas.microsoft.com/office/drawing/2014/main" id="{CCBD3C60-2664-4319-9733-997B5DAD8AF9}"/>
            </a:ext>
          </a:extLst>
        </xdr:cNvPr>
        <xdr:cNvGrpSpPr/>
      </xdr:nvGrpSpPr>
      <xdr:grpSpPr>
        <a:xfrm>
          <a:off x="0" y="0"/>
          <a:ext cx="3518808" cy="876300"/>
          <a:chOff x="228600" y="47625"/>
          <a:chExt cx="2680608" cy="981075"/>
        </a:xfrm>
      </xdr:grpSpPr>
      <xdr:pic>
        <xdr:nvPicPr>
          <xdr:cNvPr id="6" name="Picture 5">
            <a:extLst>
              <a:ext uri="{FF2B5EF4-FFF2-40B4-BE49-F238E27FC236}">
                <a16:creationId xmlns:a16="http://schemas.microsoft.com/office/drawing/2014/main" id="{E635AEBC-DE28-4B2C-A17D-4A8F10EDBC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2582C3C8-703C-4DA1-9465-EB163A541B9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3518808" cy="876300"/>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919043</xdr:colOff>
      <xdr:row>2</xdr:row>
      <xdr:rowOff>293594</xdr:rowOff>
    </xdr:to>
    <xdr:grpSp>
      <xdr:nvGrpSpPr>
        <xdr:cNvPr id="14" name="Grupo 13">
          <a:extLst>
            <a:ext uri="{FF2B5EF4-FFF2-40B4-BE49-F238E27FC236}">
              <a16:creationId xmlns:a16="http://schemas.microsoft.com/office/drawing/2014/main" id="{5B058A94-3BD4-4264-A85B-A9EE3D31A860}"/>
            </a:ext>
          </a:extLst>
        </xdr:cNvPr>
        <xdr:cNvGrpSpPr/>
      </xdr:nvGrpSpPr>
      <xdr:grpSpPr>
        <a:xfrm>
          <a:off x="0" y="0"/>
          <a:ext cx="3518574" cy="869063"/>
          <a:chOff x="228600" y="47625"/>
          <a:chExt cx="2680608" cy="981075"/>
        </a:xfrm>
      </xdr:grpSpPr>
      <xdr:pic>
        <xdr:nvPicPr>
          <xdr:cNvPr id="15" name="Picture 5">
            <a:extLst>
              <a:ext uri="{FF2B5EF4-FFF2-40B4-BE49-F238E27FC236}">
                <a16:creationId xmlns:a16="http://schemas.microsoft.com/office/drawing/2014/main" id="{C432A92C-8EC0-418C-861D-1D82FFBFE0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6" name="5 CuadroTexto">
            <a:extLst>
              <a:ext uri="{FF2B5EF4-FFF2-40B4-BE49-F238E27FC236}">
                <a16:creationId xmlns:a16="http://schemas.microsoft.com/office/drawing/2014/main" id="{401FD0F9-6258-43DD-834D-2F8970094E0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404383" cy="952500"/>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404383" cy="952500"/>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8" name="Grupo 7">
          <a:extLst>
            <a:ext uri="{FF2B5EF4-FFF2-40B4-BE49-F238E27FC236}">
              <a16:creationId xmlns:a16="http://schemas.microsoft.com/office/drawing/2014/main" id="{811D1E65-37B5-4377-A3C8-8EA3EC981215}"/>
            </a:ext>
          </a:extLst>
        </xdr:cNvPr>
        <xdr:cNvGrpSpPr/>
      </xdr:nvGrpSpPr>
      <xdr:grpSpPr>
        <a:xfrm>
          <a:off x="0" y="0"/>
          <a:ext cx="2404383" cy="952500"/>
          <a:chOff x="228600" y="47625"/>
          <a:chExt cx="2680608" cy="981075"/>
        </a:xfrm>
      </xdr:grpSpPr>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85800936-27A2-4217-95DD-C4FF10FC097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BABD0ADD-C118-4B7C-B753-8BC08AF31775}"/>
            </a:ext>
          </a:extLst>
        </xdr:cNvPr>
        <xdr:cNvGrpSpPr/>
      </xdr:nvGrpSpPr>
      <xdr:grpSpPr>
        <a:xfrm>
          <a:off x="0" y="0"/>
          <a:ext cx="2813958" cy="952500"/>
          <a:chOff x="228600" y="47625"/>
          <a:chExt cx="2680608" cy="981075"/>
        </a:xfrm>
      </xdr:grpSpPr>
      <xdr:pic>
        <xdr:nvPicPr>
          <xdr:cNvPr id="3" name="Picture 5">
            <a:extLst>
              <a:ext uri="{FF2B5EF4-FFF2-40B4-BE49-F238E27FC236}">
                <a16:creationId xmlns:a16="http://schemas.microsoft.com/office/drawing/2014/main" id="{BE2753B5-BE50-41B0-A149-2AEE4DBC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6A567927-1176-4A3C-BF4D-C50D7ED8E87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C24299FD-A37E-4BEA-9254-B1DEF3EBF491}"/>
            </a:ext>
          </a:extLst>
        </xdr:cNvPr>
        <xdr:cNvGrpSpPr/>
      </xdr:nvGrpSpPr>
      <xdr:grpSpPr>
        <a:xfrm>
          <a:off x="0" y="0"/>
          <a:ext cx="1909083" cy="952500"/>
          <a:chOff x="228600" y="47625"/>
          <a:chExt cx="2680608" cy="981075"/>
        </a:xfrm>
      </xdr:grpSpPr>
      <xdr:pic>
        <xdr:nvPicPr>
          <xdr:cNvPr id="3" name="Picture 5">
            <a:extLst>
              <a:ext uri="{FF2B5EF4-FFF2-40B4-BE49-F238E27FC236}">
                <a16:creationId xmlns:a16="http://schemas.microsoft.com/office/drawing/2014/main" id="{1BCF903E-98A2-4401-AC76-65E728B4F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106F114-E3C5-4C9C-81B4-F3B878EEBE1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larcila\AppData\Local\Microsoft\Windows\INetCache\Content.Outlook\XHN05ZOW\PT%20Control%20T&#233;rminos%20ENERO%202017%2019012017.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ORMATO%20PAI%20-%20SES%20-MARZ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hris/Downloads/FORMATO%20PAI_Regali&#769;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hris/Downloads/Informe%20PAI_Regali&#769;as_Febrero2020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SES"/>
      <sheetName val="Homologado Tiempo Transcurrido"/>
      <sheetName val="Gráfica Evaluación %"/>
      <sheetName val="Gráfica Evaluación #"/>
      <sheetName val="Gráfica Seguimientos"/>
      <sheetName val="Gráfica Rezagos"/>
      <sheetName val="Gráfica RASP"/>
      <sheetName val="COMP1%"/>
      <sheetName val="CONT "/>
      <sheetName val="GEOMÁTICA"/>
      <sheetName val="V.E."/>
      <sheetName val="Indicadores para informe"/>
      <sheetName val="Graf. presupuesto"/>
      <sheetName val="GR-F-2 Cadena de Valor (2)"/>
      <sheetName val="PAI REGALÍAS"/>
    </sheetNames>
    <sheetDataSet>
      <sheetData sheetId="0"/>
      <sheetData sheetId="1" refreshError="1"/>
      <sheetData sheetId="2" refreshError="1"/>
      <sheetData sheetId="3" refreshError="1"/>
      <sheetData sheetId="4" refreshError="1"/>
      <sheetData sheetId="5" refreshError="1"/>
      <sheetData sheetId="6" refreshError="1"/>
      <sheetData sheetId="7">
        <row r="9">
          <cell r="C9">
            <v>38</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SES"/>
      <sheetName val="PAI REGALÍAS"/>
    </sheetNames>
    <sheetDataSet>
      <sheetData sheetId="0"/>
      <sheetData sheetId="1">
        <row r="7">
          <cell r="P7">
            <v>0.75</v>
          </cell>
        </row>
        <row r="8">
          <cell r="P8">
            <v>0.95</v>
          </cell>
        </row>
        <row r="9">
          <cell r="P9">
            <v>0.8</v>
          </cell>
        </row>
        <row r="10">
          <cell r="P10">
            <v>0.75</v>
          </cell>
        </row>
        <row r="11">
          <cell r="P11">
            <v>0.95</v>
          </cell>
        </row>
        <row r="12">
          <cell r="P12">
            <v>0.8</v>
          </cell>
        </row>
        <row r="13">
          <cell r="P13">
            <v>0.9</v>
          </cell>
        </row>
        <row r="14">
          <cell r="P14">
            <v>0.55000000000000004</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SES"/>
      <sheetName val="PAI REGALÍAS"/>
    </sheetNames>
    <sheetDataSet>
      <sheetData sheetId="0"/>
      <sheetData sheetId="1">
        <row r="7">
          <cell r="P7">
            <v>0.75</v>
          </cell>
        </row>
        <row r="8">
          <cell r="P8">
            <v>95</v>
          </cell>
        </row>
        <row r="9">
          <cell r="P9">
            <v>0.8</v>
          </cell>
        </row>
        <row r="10">
          <cell r="P10">
            <v>0.75</v>
          </cell>
        </row>
        <row r="11">
          <cell r="P11">
            <v>95</v>
          </cell>
        </row>
        <row r="12">
          <cell r="P12">
            <v>0.8</v>
          </cell>
        </row>
        <row r="13">
          <cell r="P13">
            <v>0.9</v>
          </cell>
        </row>
        <row r="14">
          <cell r="P14">
            <v>0.55000000000000004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3395-2E79-427D-A73D-0466D273D36F}">
  <sheetPr>
    <tabColor theme="9" tint="-0.249977111117893"/>
  </sheetPr>
  <dimension ref="A1:I45"/>
  <sheetViews>
    <sheetView tabSelected="1" workbookViewId="0">
      <selection activeCell="I1" sqref="I1"/>
    </sheetView>
  </sheetViews>
  <sheetFormatPr baseColWidth="10" defaultColWidth="11.42578125" defaultRowHeight="15" x14ac:dyDescent="0.25"/>
  <cols>
    <col min="1" max="1" width="19.140625" style="306" bestFit="1" customWidth="1"/>
    <col min="2" max="2" width="27.7109375" style="306" customWidth="1"/>
    <col min="3" max="3" width="12" style="306" hidden="1" customWidth="1"/>
    <col min="4" max="6" width="11.42578125" style="306" hidden="1" customWidth="1"/>
    <col min="7" max="16384" width="11.42578125" style="306"/>
  </cols>
  <sheetData>
    <row r="1" spans="1:9" s="320" customFormat="1" x14ac:dyDescent="0.25">
      <c r="A1" s="386" t="s">
        <v>17</v>
      </c>
      <c r="B1" s="386" t="s">
        <v>18</v>
      </c>
      <c r="C1" s="384" t="s">
        <v>871</v>
      </c>
      <c r="D1" s="385"/>
      <c r="E1" s="384" t="s">
        <v>872</v>
      </c>
      <c r="F1" s="385"/>
      <c r="G1" s="384" t="s">
        <v>873</v>
      </c>
      <c r="H1" s="385"/>
    </row>
    <row r="2" spans="1:9" s="323" customFormat="1" ht="30" x14ac:dyDescent="0.25">
      <c r="A2" s="387"/>
      <c r="B2" s="387"/>
      <c r="C2" s="321" t="s">
        <v>874</v>
      </c>
      <c r="D2" s="322" t="s">
        <v>875</v>
      </c>
      <c r="E2" s="321" t="s">
        <v>874</v>
      </c>
      <c r="F2" s="322" t="s">
        <v>875</v>
      </c>
      <c r="G2" s="321" t="s">
        <v>874</v>
      </c>
      <c r="H2" s="322" t="s">
        <v>875</v>
      </c>
    </row>
    <row r="3" spans="1:9" x14ac:dyDescent="0.25">
      <c r="A3" s="324" t="s">
        <v>876</v>
      </c>
      <c r="B3" s="325"/>
      <c r="C3" s="326">
        <v>7.0000000000000007E-2</v>
      </c>
      <c r="D3" s="327">
        <v>0.11</v>
      </c>
      <c r="E3" s="326">
        <v>0.14000000000000001</v>
      </c>
      <c r="F3" s="327">
        <v>0.18</v>
      </c>
      <c r="G3" s="328">
        <v>0.28000000000000003</v>
      </c>
      <c r="H3" s="329">
        <v>0.31</v>
      </c>
    </row>
    <row r="4" spans="1:9" x14ac:dyDescent="0.25">
      <c r="A4" s="324" t="s">
        <v>877</v>
      </c>
      <c r="B4" s="325"/>
      <c r="C4" s="326">
        <v>0.16900000000000001</v>
      </c>
      <c r="D4" s="327">
        <v>0.19700000000000001</v>
      </c>
      <c r="E4" s="326">
        <v>0.18099999999999999</v>
      </c>
      <c r="F4" s="327">
        <v>0.17399999999999999</v>
      </c>
      <c r="G4" s="328">
        <v>0.27</v>
      </c>
      <c r="H4" s="329">
        <v>0.28599999999999998</v>
      </c>
    </row>
    <row r="5" spans="1:9" x14ac:dyDescent="0.25">
      <c r="A5" s="324" t="s">
        <v>878</v>
      </c>
      <c r="B5" s="325"/>
      <c r="C5" s="326">
        <v>0.125</v>
      </c>
      <c r="D5" s="327">
        <v>0.158</v>
      </c>
      <c r="E5" s="326">
        <v>0.16</v>
      </c>
      <c r="F5" s="327">
        <v>7.6999999999999999E-2</v>
      </c>
      <c r="G5" s="328">
        <v>0.34699999999999998</v>
      </c>
      <c r="H5" s="329">
        <v>0.28199999999999997</v>
      </c>
      <c r="I5" s="330"/>
    </row>
    <row r="6" spans="1:9" x14ac:dyDescent="0.25">
      <c r="A6" s="331" t="s">
        <v>879</v>
      </c>
      <c r="B6" s="325"/>
      <c r="C6" s="326">
        <v>0.17</v>
      </c>
      <c r="D6" s="332" t="s">
        <v>283</v>
      </c>
      <c r="E6" s="326">
        <v>0.20599999999999999</v>
      </c>
      <c r="F6" s="327">
        <v>0.20799999999999999</v>
      </c>
      <c r="G6" s="328">
        <v>0.28999999999999998</v>
      </c>
      <c r="H6" s="333" t="s">
        <v>283</v>
      </c>
    </row>
    <row r="7" spans="1:9" x14ac:dyDescent="0.25">
      <c r="A7" s="334" t="s">
        <v>543</v>
      </c>
      <c r="B7" s="335"/>
      <c r="C7" s="336">
        <v>4.4999999999999998E-2</v>
      </c>
      <c r="D7" s="337">
        <v>5.6000000000000001E-2</v>
      </c>
      <c r="E7" s="336">
        <v>0.27700000000000002</v>
      </c>
      <c r="F7" s="337">
        <v>0.20200000000000001</v>
      </c>
      <c r="G7" s="338">
        <v>0.53300000000000003</v>
      </c>
      <c r="H7" s="339">
        <v>0.27700000000000002</v>
      </c>
    </row>
    <row r="8" spans="1:9" x14ac:dyDescent="0.25">
      <c r="A8" s="334" t="s">
        <v>880</v>
      </c>
      <c r="B8" s="335"/>
      <c r="C8" s="336">
        <v>9.2999999999999999E-2</v>
      </c>
      <c r="D8" s="337">
        <v>9.2999999999999999E-2</v>
      </c>
      <c r="E8" s="336">
        <v>0.186</v>
      </c>
      <c r="F8" s="337">
        <v>0.17599999999999999</v>
      </c>
      <c r="G8" s="338">
        <v>0.28000000000000003</v>
      </c>
      <c r="H8" s="339">
        <v>0.27100000000000002</v>
      </c>
    </row>
    <row r="9" spans="1:9" x14ac:dyDescent="0.25">
      <c r="A9" s="371" t="s">
        <v>726</v>
      </c>
      <c r="B9" s="340" t="s">
        <v>759</v>
      </c>
      <c r="C9" s="341">
        <v>8.3000000000000004E-2</v>
      </c>
      <c r="D9" s="342" t="s">
        <v>283</v>
      </c>
      <c r="E9" s="343">
        <v>0.16700000000000001</v>
      </c>
      <c r="F9" s="342" t="s">
        <v>283</v>
      </c>
      <c r="G9" s="345">
        <v>0.33100000000000002</v>
      </c>
      <c r="H9" s="346" t="s">
        <v>283</v>
      </c>
    </row>
    <row r="10" spans="1:9" x14ac:dyDescent="0.25">
      <c r="A10" s="372"/>
      <c r="B10" s="340" t="s">
        <v>775</v>
      </c>
      <c r="C10" s="341">
        <v>0.22</v>
      </c>
      <c r="D10" s="347">
        <v>0.05</v>
      </c>
      <c r="E10" s="343">
        <v>0.23100000000000001</v>
      </c>
      <c r="F10" s="344" t="s">
        <v>283</v>
      </c>
      <c r="G10" s="345">
        <v>0.35699999999999998</v>
      </c>
      <c r="H10" s="348">
        <v>0.18</v>
      </c>
    </row>
    <row r="11" spans="1:9" x14ac:dyDescent="0.25">
      <c r="A11" s="372"/>
      <c r="B11" s="340" t="s">
        <v>350</v>
      </c>
      <c r="C11" s="341">
        <v>0.05</v>
      </c>
      <c r="D11" s="347">
        <v>0</v>
      </c>
      <c r="E11" s="343">
        <v>0.28000000000000003</v>
      </c>
      <c r="F11" s="344">
        <v>0.09</v>
      </c>
      <c r="G11" s="345">
        <v>0.13100000000000001</v>
      </c>
      <c r="H11" s="348">
        <v>0.17699999999999999</v>
      </c>
    </row>
    <row r="12" spans="1:9" x14ac:dyDescent="0.25">
      <c r="A12" s="372"/>
      <c r="B12" s="340" t="s">
        <v>827</v>
      </c>
      <c r="C12" s="341">
        <v>7.9000000000000001E-2</v>
      </c>
      <c r="D12" s="344" t="s">
        <v>283</v>
      </c>
      <c r="E12" s="343">
        <v>0.113</v>
      </c>
      <c r="F12" s="344">
        <v>0.16500000000000001</v>
      </c>
      <c r="G12" s="345">
        <v>0.377</v>
      </c>
      <c r="H12" s="348" t="s">
        <v>283</v>
      </c>
    </row>
    <row r="13" spans="1:9" x14ac:dyDescent="0.25">
      <c r="A13" s="372"/>
      <c r="B13" s="340" t="s">
        <v>843</v>
      </c>
      <c r="C13" s="341">
        <v>0.08</v>
      </c>
      <c r="D13" s="347">
        <v>0</v>
      </c>
      <c r="E13" s="343">
        <v>0.248</v>
      </c>
      <c r="F13" s="344" t="s">
        <v>283</v>
      </c>
      <c r="G13" s="345">
        <v>0.23400000000000001</v>
      </c>
      <c r="H13" s="348">
        <v>0.2</v>
      </c>
    </row>
    <row r="14" spans="1:9" s="320" customFormat="1" x14ac:dyDescent="0.25">
      <c r="A14" s="373"/>
      <c r="B14" s="349" t="s">
        <v>881</v>
      </c>
      <c r="C14" s="350">
        <f>AVERAGE(C9:C13)</f>
        <v>0.1024</v>
      </c>
      <c r="D14" s="350">
        <f t="shared" ref="D14:F14" si="0">AVERAGE(D9:D13)</f>
        <v>1.6666666666666666E-2</v>
      </c>
      <c r="E14" s="350">
        <f t="shared" si="0"/>
        <v>0.20780000000000004</v>
      </c>
      <c r="F14" s="350">
        <f t="shared" si="0"/>
        <v>0.1275</v>
      </c>
      <c r="G14" s="351">
        <v>0.28599999999999998</v>
      </c>
      <c r="H14" s="351">
        <v>0.186</v>
      </c>
    </row>
    <row r="15" spans="1:9" x14ac:dyDescent="0.25">
      <c r="A15" s="368" t="s">
        <v>882</v>
      </c>
      <c r="B15" s="340" t="s">
        <v>725</v>
      </c>
      <c r="C15" s="341">
        <v>0.27800000000000002</v>
      </c>
      <c r="D15" s="347">
        <v>0.377</v>
      </c>
      <c r="E15" s="343">
        <v>0.30499999999999999</v>
      </c>
      <c r="F15" s="344">
        <v>0.41799999999999998</v>
      </c>
      <c r="G15" s="343">
        <v>0.249</v>
      </c>
      <c r="H15" s="344">
        <v>0.39</v>
      </c>
    </row>
    <row r="16" spans="1:9" x14ac:dyDescent="0.25">
      <c r="A16" s="369"/>
      <c r="B16" s="352" t="s">
        <v>327</v>
      </c>
      <c r="C16" s="341">
        <v>0.09</v>
      </c>
      <c r="D16" s="344" t="s">
        <v>283</v>
      </c>
      <c r="E16" s="343">
        <v>0.192</v>
      </c>
      <c r="F16" s="344" t="s">
        <v>283</v>
      </c>
      <c r="G16" s="343">
        <v>0.30659999999999998</v>
      </c>
      <c r="H16" s="344" t="s">
        <v>283</v>
      </c>
    </row>
    <row r="17" spans="1:8" s="320" customFormat="1" x14ac:dyDescent="0.25">
      <c r="A17" s="370"/>
      <c r="B17" s="349" t="s">
        <v>883</v>
      </c>
      <c r="C17" s="350">
        <f>AVERAGE(C15:C16)</f>
        <v>0.184</v>
      </c>
      <c r="D17" s="350">
        <f t="shared" ref="D17:H17" si="1">AVERAGE(D15:D16)</f>
        <v>0.377</v>
      </c>
      <c r="E17" s="350">
        <f t="shared" si="1"/>
        <v>0.2485</v>
      </c>
      <c r="F17" s="350">
        <f t="shared" si="1"/>
        <v>0.41799999999999998</v>
      </c>
      <c r="G17" s="350">
        <f t="shared" si="1"/>
        <v>0.27779999999999999</v>
      </c>
      <c r="H17" s="350">
        <f t="shared" si="1"/>
        <v>0.39</v>
      </c>
    </row>
    <row r="18" spans="1:8" x14ac:dyDescent="0.25">
      <c r="A18" s="371" t="s">
        <v>52</v>
      </c>
      <c r="B18" s="306" t="s">
        <v>52</v>
      </c>
      <c r="C18" s="353">
        <v>6.6000000000000003E-2</v>
      </c>
      <c r="D18" s="342">
        <v>4.2999999999999997E-2</v>
      </c>
      <c r="E18" s="353">
        <v>0.14099999999999999</v>
      </c>
      <c r="F18" s="342">
        <v>0.309</v>
      </c>
      <c r="G18" s="353">
        <v>0.21381040981731037</v>
      </c>
      <c r="H18" s="342">
        <v>0.30772414439430207</v>
      </c>
    </row>
    <row r="19" spans="1:8" x14ac:dyDescent="0.25">
      <c r="A19" s="372"/>
      <c r="B19" s="352" t="s">
        <v>101</v>
      </c>
      <c r="C19" s="354">
        <v>5.8000000000000003E-2</v>
      </c>
      <c r="D19" s="355">
        <v>4.8000000000000001E-2</v>
      </c>
      <c r="E19" s="354">
        <v>0.11899999999999999</v>
      </c>
      <c r="F19" s="355">
        <v>0.10199999999999999</v>
      </c>
      <c r="G19" s="354">
        <v>0.17796101825015551</v>
      </c>
      <c r="H19" s="355">
        <v>0.15739265440816538</v>
      </c>
    </row>
    <row r="20" spans="1:8" x14ac:dyDescent="0.25">
      <c r="A20" s="372"/>
      <c r="B20" s="352" t="s">
        <v>143</v>
      </c>
      <c r="C20" s="354">
        <v>5.2999999999999999E-2</v>
      </c>
      <c r="D20" s="355">
        <v>0.04</v>
      </c>
      <c r="E20" s="354">
        <v>0.11700000000000001</v>
      </c>
      <c r="F20" s="355">
        <v>0.13</v>
      </c>
      <c r="G20" s="354">
        <v>0.1751297719955319</v>
      </c>
      <c r="H20" s="355">
        <v>0.18796330118845775</v>
      </c>
    </row>
    <row r="21" spans="1:8" x14ac:dyDescent="0.25">
      <c r="A21" s="372"/>
      <c r="B21" s="352" t="s">
        <v>175</v>
      </c>
      <c r="C21" s="354">
        <v>6.2E-2</v>
      </c>
      <c r="D21" s="355">
        <v>3.9E-2</v>
      </c>
      <c r="E21" s="354">
        <v>0.13800000000000001</v>
      </c>
      <c r="F21" s="355">
        <v>0.112</v>
      </c>
      <c r="G21" s="354">
        <v>0.19205324916536967</v>
      </c>
      <c r="H21" s="355">
        <v>0.16432466949708327</v>
      </c>
    </row>
    <row r="22" spans="1:8" x14ac:dyDescent="0.25">
      <c r="A22" s="372"/>
      <c r="B22" s="352" t="s">
        <v>206</v>
      </c>
      <c r="C22" s="354">
        <v>8.7999999999999995E-2</v>
      </c>
      <c r="D22" s="355">
        <v>2.7E-2</v>
      </c>
      <c r="E22" s="354">
        <v>0.129</v>
      </c>
      <c r="F22" s="355">
        <v>9.8000000000000004E-2</v>
      </c>
      <c r="G22" s="354">
        <v>0.2119064456143108</v>
      </c>
      <c r="H22" s="355">
        <v>0.15796857463524128</v>
      </c>
    </row>
    <row r="23" spans="1:8" x14ac:dyDescent="0.25">
      <c r="A23" s="372"/>
      <c r="B23" s="352" t="s">
        <v>235</v>
      </c>
      <c r="C23" s="354">
        <v>6.9000000000000006E-2</v>
      </c>
      <c r="D23" s="355">
        <v>0.107</v>
      </c>
      <c r="E23" s="354">
        <v>0.155</v>
      </c>
      <c r="F23" s="355">
        <v>0.17599999999999999</v>
      </c>
      <c r="G23" s="354">
        <v>0.23713199351388434</v>
      </c>
      <c r="H23" s="355">
        <v>0.24954029479253645</v>
      </c>
    </row>
    <row r="24" spans="1:8" x14ac:dyDescent="0.25">
      <c r="A24" s="372"/>
      <c r="B24" s="352" t="s">
        <v>266</v>
      </c>
      <c r="C24" s="354">
        <v>4.4999999999999998E-2</v>
      </c>
      <c r="D24" s="342" t="s">
        <v>283</v>
      </c>
      <c r="E24" s="354">
        <v>6.5000000000000002E-2</v>
      </c>
      <c r="F24" s="342" t="s">
        <v>283</v>
      </c>
      <c r="G24" s="354">
        <v>0.10975320899303144</v>
      </c>
      <c r="H24" s="342" t="s">
        <v>283</v>
      </c>
    </row>
    <row r="25" spans="1:8" x14ac:dyDescent="0.25">
      <c r="A25" s="372"/>
      <c r="B25" s="352" t="s">
        <v>284</v>
      </c>
      <c r="C25" s="354">
        <v>2E-3</v>
      </c>
      <c r="D25" s="342">
        <v>0</v>
      </c>
      <c r="E25" s="354">
        <v>3.4000000000000002E-2</v>
      </c>
      <c r="F25" s="342">
        <v>4.7E-2</v>
      </c>
      <c r="G25" s="354">
        <v>5.7739130434782605E-2</v>
      </c>
      <c r="H25" s="342">
        <v>0.2116991643454039</v>
      </c>
    </row>
    <row r="26" spans="1:8" x14ac:dyDescent="0.25">
      <c r="A26" s="372"/>
      <c r="B26" s="352" t="s">
        <v>884</v>
      </c>
      <c r="C26" s="341">
        <v>7.1999999999999995E-2</v>
      </c>
      <c r="D26" s="344" t="s">
        <v>283</v>
      </c>
      <c r="E26" s="341">
        <v>0.16200000000000001</v>
      </c>
      <c r="F26" s="344" t="s">
        <v>283</v>
      </c>
      <c r="G26" s="341">
        <v>0.24082112332112335</v>
      </c>
      <c r="H26" s="344" t="s">
        <v>283</v>
      </c>
    </row>
    <row r="27" spans="1:8" x14ac:dyDescent="0.25">
      <c r="A27" s="372"/>
      <c r="B27" s="352" t="s">
        <v>361</v>
      </c>
      <c r="C27" s="341">
        <v>1.0999999999999999E-2</v>
      </c>
      <c r="D27" s="344" t="s">
        <v>283</v>
      </c>
      <c r="E27" s="341">
        <v>0.11899999999999999</v>
      </c>
      <c r="F27" s="344" t="s">
        <v>283</v>
      </c>
      <c r="G27" s="341">
        <v>0.18954609929078015</v>
      </c>
      <c r="H27" s="344" t="s">
        <v>283</v>
      </c>
    </row>
    <row r="28" spans="1:8" s="320" customFormat="1" x14ac:dyDescent="0.25">
      <c r="A28" s="373"/>
      <c r="B28" s="349" t="s">
        <v>885</v>
      </c>
      <c r="C28" s="350">
        <f>AVERAGE(C18:C27)</f>
        <v>5.2599999999999994E-2</v>
      </c>
      <c r="D28" s="350">
        <f>AVERAGE(D18:D25)</f>
        <v>4.3428571428571427E-2</v>
      </c>
      <c r="E28" s="350">
        <f>AVERAGE(E18:E27)</f>
        <v>0.1179</v>
      </c>
      <c r="F28" s="350">
        <f>AVERAGE(F18:F25)</f>
        <v>0.13914285714285712</v>
      </c>
      <c r="G28" s="350">
        <f>AVERAGE(G18:G27)</f>
        <v>0.180585245039628</v>
      </c>
      <c r="H28" s="350">
        <f>AVERAGE(H18:H25)</f>
        <v>0.20523040046588428</v>
      </c>
    </row>
    <row r="29" spans="1:8" x14ac:dyDescent="0.25">
      <c r="A29" s="371" t="s">
        <v>886</v>
      </c>
      <c r="B29" s="357" t="s">
        <v>887</v>
      </c>
      <c r="C29" s="356">
        <v>6.4000000000000001E-2</v>
      </c>
      <c r="D29" s="358">
        <v>0.04</v>
      </c>
      <c r="E29" s="356">
        <v>0.128</v>
      </c>
      <c r="F29" s="358">
        <v>0.105</v>
      </c>
      <c r="G29" s="356">
        <v>0.17899999999999999</v>
      </c>
      <c r="H29" s="358">
        <v>0.192</v>
      </c>
    </row>
    <row r="30" spans="1:8" x14ac:dyDescent="0.25">
      <c r="A30" s="372"/>
      <c r="B30" s="352" t="s">
        <v>491</v>
      </c>
      <c r="C30" s="354">
        <v>0.09</v>
      </c>
      <c r="D30" s="355">
        <v>0.16</v>
      </c>
      <c r="E30" s="354">
        <v>0.14000000000000001</v>
      </c>
      <c r="F30" s="355">
        <v>0.20499999999999999</v>
      </c>
      <c r="G30" s="354">
        <v>0.3</v>
      </c>
      <c r="H30" s="355">
        <v>8.4000000000000005E-2</v>
      </c>
    </row>
    <row r="31" spans="1:8" s="320" customFormat="1" x14ac:dyDescent="0.25">
      <c r="A31" s="374"/>
      <c r="B31" s="349" t="s">
        <v>888</v>
      </c>
      <c r="C31" s="350">
        <f t="shared" ref="C31:H31" si="2">AVERAGE(C29:C30)</f>
        <v>7.6999999999999999E-2</v>
      </c>
      <c r="D31" s="350">
        <f t="shared" si="2"/>
        <v>0.1</v>
      </c>
      <c r="E31" s="350">
        <f t="shared" si="2"/>
        <v>0.13400000000000001</v>
      </c>
      <c r="F31" s="350">
        <f t="shared" si="2"/>
        <v>0.155</v>
      </c>
      <c r="G31" s="350">
        <f t="shared" si="2"/>
        <v>0.23949999999999999</v>
      </c>
      <c r="H31" s="350">
        <f t="shared" si="2"/>
        <v>0.13800000000000001</v>
      </c>
    </row>
    <row r="32" spans="1:8" ht="15.75" x14ac:dyDescent="0.25">
      <c r="A32" s="359" t="s">
        <v>889</v>
      </c>
      <c r="B32" s="359"/>
      <c r="C32" s="360">
        <f>AVERAGE(C28,C31,C14,C8,C7,C4,C3)</f>
        <v>8.6999999999999994E-2</v>
      </c>
      <c r="D32" s="360">
        <f>AVERAGE(D31,D28,D14,D8,D7,D4,D3)</f>
        <v>8.8013605442176873E-2</v>
      </c>
      <c r="E32" s="360">
        <f>AVERAGE(E3,E4,E7,E8,E14,E28,E31)</f>
        <v>0.17767142857142856</v>
      </c>
      <c r="F32" s="360">
        <f>AVERAGE(F3,F4,F7,F8,F14,F28,F31)</f>
        <v>0.16480612244897958</v>
      </c>
      <c r="G32" s="360">
        <f>AVERAGE(G3,G4,G7,G8,G14,G28,G31,G5,G6,G17)</f>
        <v>0.2983885245039628</v>
      </c>
      <c r="H32" s="360">
        <f>AVERAGE(H3,H4,H7,H8,H14,H28,H31,H5,H17)</f>
        <v>0.26058115560732048</v>
      </c>
    </row>
    <row r="33" spans="1:9" ht="15.75" thickBot="1" x14ac:dyDescent="0.3"/>
    <row r="34" spans="1:9" x14ac:dyDescent="0.25">
      <c r="A34" s="375" t="s">
        <v>890</v>
      </c>
      <c r="B34" s="376"/>
      <c r="C34" s="376"/>
      <c r="D34" s="376"/>
      <c r="E34" s="376"/>
      <c r="F34" s="376"/>
      <c r="G34" s="376"/>
      <c r="H34" s="376"/>
      <c r="I34" s="377"/>
    </row>
    <row r="35" spans="1:9" x14ac:dyDescent="0.25">
      <c r="A35" s="378"/>
      <c r="B35" s="379"/>
      <c r="C35" s="379"/>
      <c r="D35" s="379"/>
      <c r="E35" s="379"/>
      <c r="F35" s="379"/>
      <c r="G35" s="379"/>
      <c r="H35" s="379"/>
      <c r="I35" s="380"/>
    </row>
    <row r="36" spans="1:9" x14ac:dyDescent="0.25">
      <c r="A36" s="378"/>
      <c r="B36" s="379"/>
      <c r="C36" s="379"/>
      <c r="D36" s="379"/>
      <c r="E36" s="379"/>
      <c r="F36" s="379"/>
      <c r="G36" s="379"/>
      <c r="H36" s="379"/>
      <c r="I36" s="380"/>
    </row>
    <row r="37" spans="1:9" ht="15.75" thickBot="1" x14ac:dyDescent="0.3">
      <c r="A37" s="381"/>
      <c r="B37" s="382"/>
      <c r="C37" s="382"/>
      <c r="D37" s="382"/>
      <c r="E37" s="382"/>
      <c r="F37" s="382"/>
      <c r="G37" s="382"/>
      <c r="H37" s="382"/>
      <c r="I37" s="383"/>
    </row>
    <row r="38" spans="1:9" x14ac:dyDescent="0.25">
      <c r="C38" s="361"/>
    </row>
    <row r="39" spans="1:9" x14ac:dyDescent="0.25">
      <c r="C39" s="362"/>
    </row>
    <row r="41" spans="1:9" x14ac:dyDescent="0.25">
      <c r="C41" s="363"/>
    </row>
    <row r="43" spans="1:9" x14ac:dyDescent="0.25">
      <c r="B43" s="362"/>
    </row>
    <row r="44" spans="1:9" x14ac:dyDescent="0.25">
      <c r="C44" s="361"/>
    </row>
    <row r="45" spans="1:9" x14ac:dyDescent="0.25">
      <c r="C45" s="362"/>
    </row>
  </sheetData>
  <sheetProtection algorithmName="SHA-512" hashValue="yd06XKK/ZlEiaFTsKMA28SYEa5RjssnfLXNQAZmS41RAdkQNgcc7eG+FL3n/BZGQt4dIUQf4EGFeVTyAlHjYgg==" saltValue="EOkpgVWCoRNLth3dafLSSA==" spinCount="100000" sheet="1" objects="1" scenarios="1" selectLockedCells="1" selectUnlockedCells="1"/>
  <mergeCells count="10">
    <mergeCell ref="A15:A17"/>
    <mergeCell ref="A18:A28"/>
    <mergeCell ref="A29:A31"/>
    <mergeCell ref="A34:I37"/>
    <mergeCell ref="E1:F1"/>
    <mergeCell ref="G1:H1"/>
    <mergeCell ref="A9:A14"/>
    <mergeCell ref="A1:A2"/>
    <mergeCell ref="B1:B2"/>
    <mergeCell ref="C1:D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8AB4-C811-49C2-A21D-3FDFC8452C7F}">
  <sheetPr>
    <tabColor theme="7"/>
  </sheetPr>
  <dimension ref="A1:BP11"/>
  <sheetViews>
    <sheetView topLeftCell="Y1" zoomScaleNormal="100" workbookViewId="0">
      <selection activeCell="AF10" sqref="AF10"/>
    </sheetView>
  </sheetViews>
  <sheetFormatPr baseColWidth="10" defaultRowHeight="15" x14ac:dyDescent="0.25"/>
  <cols>
    <col min="2" max="2" width="14" customWidth="1"/>
    <col min="3" max="3" width="20.7109375" customWidth="1"/>
    <col min="4" max="4" width="19" customWidth="1"/>
    <col min="7" max="7" width="14.42578125" customWidth="1"/>
    <col min="10" max="10" width="14.42578125" customWidth="1"/>
    <col min="12" max="12" width="15.42578125" customWidth="1"/>
    <col min="13" max="13" width="27" customWidth="1"/>
    <col min="17" max="18" width="20.42578125" customWidth="1"/>
    <col min="22" max="22" width="15.7109375" customWidth="1"/>
    <col min="23" max="23" width="15.42578125" customWidth="1"/>
    <col min="24" max="24" width="21.5703125" customWidth="1"/>
    <col min="25" max="25" width="14.140625" customWidth="1"/>
    <col min="26" max="26" width="12.85546875" customWidth="1"/>
    <col min="28" max="28" width="21.42578125" customWidth="1"/>
    <col min="29" max="29" width="14.5703125" customWidth="1"/>
    <col min="32" max="32" width="60.85546875" customWidth="1"/>
    <col min="33" max="33" width="18" customWidth="1"/>
  </cols>
  <sheetData>
    <row r="1" spans="1:68" s="56" customFormat="1" ht="15.75" x14ac:dyDescent="0.25">
      <c r="C1" s="670" t="s">
        <v>0</v>
      </c>
      <c r="D1" s="670"/>
      <c r="E1" s="670"/>
      <c r="F1" s="670"/>
      <c r="G1" s="670"/>
      <c r="H1" s="670"/>
      <c r="I1" s="670"/>
      <c r="J1" s="670"/>
      <c r="K1" s="670"/>
      <c r="L1" s="670"/>
      <c r="M1" s="670"/>
      <c r="N1" s="670"/>
      <c r="O1" s="670"/>
      <c r="P1" s="670"/>
      <c r="Q1" s="670"/>
      <c r="R1" s="670"/>
      <c r="S1" s="670"/>
      <c r="T1" s="670"/>
      <c r="U1" s="670"/>
      <c r="V1" s="670"/>
      <c r="W1" s="670"/>
      <c r="X1" s="670"/>
      <c r="AE1" s="146" t="s">
        <v>1</v>
      </c>
      <c r="AF1" s="147">
        <v>43458</v>
      </c>
    </row>
    <row r="2" spans="1:68" s="56" customFormat="1" ht="30" customHeight="1" x14ac:dyDescent="0.25">
      <c r="C2" s="670"/>
      <c r="D2" s="670"/>
      <c r="E2" s="670"/>
      <c r="F2" s="670"/>
      <c r="G2" s="670"/>
      <c r="H2" s="670"/>
      <c r="I2" s="670"/>
      <c r="J2" s="670"/>
      <c r="K2" s="670"/>
      <c r="L2" s="670"/>
      <c r="M2" s="670"/>
      <c r="N2" s="670"/>
      <c r="O2" s="670"/>
      <c r="P2" s="670"/>
      <c r="Q2" s="670"/>
      <c r="R2" s="670"/>
      <c r="S2" s="670"/>
      <c r="T2" s="670"/>
      <c r="U2" s="670"/>
      <c r="V2" s="670"/>
      <c r="W2" s="670"/>
      <c r="X2" s="670"/>
      <c r="AE2" s="146" t="s">
        <v>2</v>
      </c>
      <c r="AF2" s="146">
        <v>5</v>
      </c>
    </row>
    <row r="3" spans="1:68" s="56" customFormat="1" ht="29.25" customHeight="1" x14ac:dyDescent="0.25">
      <c r="C3" s="670"/>
      <c r="D3" s="670"/>
      <c r="E3" s="670"/>
      <c r="F3" s="670"/>
      <c r="G3" s="670"/>
      <c r="H3" s="670"/>
      <c r="I3" s="670"/>
      <c r="J3" s="670"/>
      <c r="K3" s="670"/>
      <c r="L3" s="670"/>
      <c r="M3" s="670"/>
      <c r="N3" s="670"/>
      <c r="O3" s="670"/>
      <c r="P3" s="670"/>
      <c r="Q3" s="670"/>
      <c r="R3" s="670"/>
      <c r="S3" s="670"/>
      <c r="T3" s="670"/>
      <c r="U3" s="670"/>
      <c r="V3" s="670"/>
      <c r="W3" s="670"/>
      <c r="X3" s="670"/>
      <c r="AE3" s="245" t="s">
        <v>3</v>
      </c>
      <c r="AF3" s="245" t="s">
        <v>4</v>
      </c>
    </row>
    <row r="4" spans="1:68" s="7" customFormat="1" x14ac:dyDescent="0.25">
      <c r="A4" s="453" t="s">
        <v>5</v>
      </c>
      <c r="B4" s="454"/>
      <c r="C4" s="454"/>
      <c r="D4" s="454"/>
      <c r="E4" s="454"/>
      <c r="F4" s="454"/>
      <c r="G4" s="454"/>
      <c r="H4" s="454"/>
      <c r="I4" s="454"/>
      <c r="J4" s="454"/>
      <c r="K4" s="455"/>
      <c r="L4" s="456" t="s">
        <v>6</v>
      </c>
      <c r="M4" s="457"/>
      <c r="N4" s="457"/>
      <c r="O4" s="457"/>
      <c r="P4" s="458"/>
      <c r="Q4" s="456" t="s">
        <v>7</v>
      </c>
      <c r="R4" s="457"/>
      <c r="S4" s="457"/>
      <c r="T4" s="457"/>
      <c r="U4" s="458"/>
      <c r="V4" s="462" t="s">
        <v>8</v>
      </c>
      <c r="W4" s="463"/>
      <c r="X4" s="456" t="s">
        <v>9</v>
      </c>
      <c r="Y4" s="671" t="s">
        <v>533</v>
      </c>
      <c r="Z4" s="671"/>
      <c r="AA4" s="671"/>
      <c r="AB4" s="671"/>
      <c r="AC4" s="671"/>
      <c r="AD4" s="671"/>
      <c r="AE4" s="671"/>
      <c r="AF4" s="671"/>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row>
    <row r="5" spans="1:68" s="9" customFormat="1" x14ac:dyDescent="0.25">
      <c r="A5" s="468" t="s">
        <v>13</v>
      </c>
      <c r="B5" s="469"/>
      <c r="C5" s="470"/>
      <c r="D5" s="8" t="s">
        <v>14</v>
      </c>
      <c r="E5" s="468" t="s">
        <v>15</v>
      </c>
      <c r="F5" s="470"/>
      <c r="G5" s="468" t="s">
        <v>16</v>
      </c>
      <c r="H5" s="469"/>
      <c r="I5" s="470"/>
      <c r="J5" s="471" t="s">
        <v>17</v>
      </c>
      <c r="K5" s="471" t="s">
        <v>18</v>
      </c>
      <c r="L5" s="459"/>
      <c r="M5" s="460"/>
      <c r="N5" s="460"/>
      <c r="O5" s="460"/>
      <c r="P5" s="461"/>
      <c r="Q5" s="459"/>
      <c r="R5" s="460"/>
      <c r="S5" s="460"/>
      <c r="T5" s="460"/>
      <c r="U5" s="461"/>
      <c r="V5" s="464"/>
      <c r="W5" s="465"/>
      <c r="X5" s="459"/>
      <c r="Y5" s="671" t="s">
        <v>19</v>
      </c>
      <c r="Z5" s="671"/>
      <c r="AA5" s="671"/>
      <c r="AB5" s="671"/>
      <c r="AC5" s="671" t="s">
        <v>20</v>
      </c>
      <c r="AD5" s="671"/>
      <c r="AE5" s="671"/>
      <c r="AF5" s="671"/>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row>
    <row r="6" spans="1:68" s="7" customFormat="1" ht="30" x14ac:dyDescent="0.25">
      <c r="A6" s="10" t="s">
        <v>21</v>
      </c>
      <c r="B6" s="10" t="s">
        <v>22</v>
      </c>
      <c r="C6" s="10" t="s">
        <v>23</v>
      </c>
      <c r="D6" s="10" t="s">
        <v>24</v>
      </c>
      <c r="E6" s="10" t="s">
        <v>25</v>
      </c>
      <c r="F6" s="10" t="s">
        <v>26</v>
      </c>
      <c r="G6" s="10" t="s">
        <v>27</v>
      </c>
      <c r="H6" s="10" t="s">
        <v>28</v>
      </c>
      <c r="I6" s="10" t="s">
        <v>29</v>
      </c>
      <c r="J6" s="472"/>
      <c r="K6" s="472"/>
      <c r="L6" s="10" t="s">
        <v>6</v>
      </c>
      <c r="M6" s="10" t="s">
        <v>30</v>
      </c>
      <c r="N6" s="10" t="s">
        <v>31</v>
      </c>
      <c r="O6" s="10" t="s">
        <v>32</v>
      </c>
      <c r="P6" s="10" t="s">
        <v>33</v>
      </c>
      <c r="Q6" s="10" t="s">
        <v>7</v>
      </c>
      <c r="R6" s="10" t="s">
        <v>34</v>
      </c>
      <c r="S6" s="10" t="s">
        <v>31</v>
      </c>
      <c r="T6" s="10" t="s">
        <v>32</v>
      </c>
      <c r="U6" s="10" t="s">
        <v>35</v>
      </c>
      <c r="V6" s="149" t="s">
        <v>36</v>
      </c>
      <c r="W6" s="149" t="s">
        <v>37</v>
      </c>
      <c r="X6" s="246" t="s">
        <v>38</v>
      </c>
      <c r="Y6" s="209" t="s">
        <v>39</v>
      </c>
      <c r="Z6" s="209" t="s">
        <v>40</v>
      </c>
      <c r="AA6" s="209" t="s">
        <v>41</v>
      </c>
      <c r="AB6" s="209" t="s">
        <v>42</v>
      </c>
      <c r="AC6" s="209" t="s">
        <v>39</v>
      </c>
      <c r="AD6" s="209" t="s">
        <v>40</v>
      </c>
      <c r="AE6" s="209" t="s">
        <v>41</v>
      </c>
      <c r="AF6" s="209" t="s">
        <v>42</v>
      </c>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row>
    <row r="7" spans="1:68" ht="177" customHeight="1" x14ac:dyDescent="0.25">
      <c r="A7" s="507" t="s">
        <v>43</v>
      </c>
      <c r="B7" s="393" t="s">
        <v>44</v>
      </c>
      <c r="C7" s="507" t="s">
        <v>45</v>
      </c>
      <c r="D7" s="393" t="s">
        <v>46</v>
      </c>
      <c r="E7" s="507" t="s">
        <v>588</v>
      </c>
      <c r="F7" s="393" t="s">
        <v>588</v>
      </c>
      <c r="G7" s="507" t="s">
        <v>51</v>
      </c>
      <c r="H7" s="393" t="s">
        <v>589</v>
      </c>
      <c r="I7" s="507" t="s">
        <v>590</v>
      </c>
      <c r="J7" s="507" t="s">
        <v>588</v>
      </c>
      <c r="K7" s="393" t="s">
        <v>588</v>
      </c>
      <c r="L7" s="507" t="s">
        <v>591</v>
      </c>
      <c r="M7" s="393" t="s">
        <v>592</v>
      </c>
      <c r="N7" s="507" t="s">
        <v>74</v>
      </c>
      <c r="O7" s="478">
        <v>0</v>
      </c>
      <c r="P7" s="674">
        <v>0.8</v>
      </c>
      <c r="Q7" s="289" t="s">
        <v>593</v>
      </c>
      <c r="R7" s="289" t="s">
        <v>594</v>
      </c>
      <c r="S7" s="289" t="s">
        <v>74</v>
      </c>
      <c r="T7" s="289"/>
      <c r="U7" s="274">
        <v>0.8</v>
      </c>
      <c r="V7" s="672">
        <v>663482003</v>
      </c>
      <c r="W7" s="672">
        <v>663482003</v>
      </c>
      <c r="X7" s="507" t="s">
        <v>595</v>
      </c>
      <c r="Y7" s="676">
        <v>90.4</v>
      </c>
      <c r="Z7" s="507">
        <v>80</v>
      </c>
      <c r="AA7" s="478">
        <f>Y7/Z7</f>
        <v>1.1300000000000001</v>
      </c>
      <c r="AB7" s="507" t="s">
        <v>596</v>
      </c>
      <c r="AC7" s="289">
        <v>88.33</v>
      </c>
      <c r="AD7" s="289">
        <v>80</v>
      </c>
      <c r="AE7" s="274">
        <f>AC7/AD7</f>
        <v>1.104125</v>
      </c>
      <c r="AF7" s="289" t="s">
        <v>597</v>
      </c>
    </row>
    <row r="8" spans="1:68" ht="227.25" customHeight="1" x14ac:dyDescent="0.25">
      <c r="A8" s="508"/>
      <c r="B8" s="394"/>
      <c r="C8" s="508"/>
      <c r="D8" s="394"/>
      <c r="E8" s="508"/>
      <c r="F8" s="394"/>
      <c r="G8" s="508"/>
      <c r="H8" s="394"/>
      <c r="I8" s="508"/>
      <c r="J8" s="508"/>
      <c r="K8" s="394"/>
      <c r="L8" s="508"/>
      <c r="M8" s="394"/>
      <c r="N8" s="508"/>
      <c r="O8" s="479"/>
      <c r="P8" s="675"/>
      <c r="Q8" s="275" t="s">
        <v>598</v>
      </c>
      <c r="R8" s="275" t="s">
        <v>599</v>
      </c>
      <c r="S8" s="275" t="s">
        <v>74</v>
      </c>
      <c r="T8" s="275"/>
      <c r="U8" s="275">
        <v>0.8</v>
      </c>
      <c r="V8" s="673"/>
      <c r="W8" s="673"/>
      <c r="X8" s="508"/>
      <c r="Y8" s="677"/>
      <c r="Z8" s="508"/>
      <c r="AA8" s="479"/>
      <c r="AB8" s="508"/>
      <c r="AC8" s="308">
        <v>91.5</v>
      </c>
      <c r="AD8" s="309">
        <v>80</v>
      </c>
      <c r="AE8" s="275">
        <f>AC8/AD8</f>
        <v>1.14375</v>
      </c>
      <c r="AF8" s="275" t="s">
        <v>600</v>
      </c>
    </row>
    <row r="11" spans="1:68" ht="49.5" customHeight="1" x14ac:dyDescent="0.25">
      <c r="Y11" s="388" t="s">
        <v>865</v>
      </c>
      <c r="Z11" s="388"/>
      <c r="AA11" s="58">
        <f>+AVERAGE(AA7:AA8)</f>
        <v>1.1300000000000001</v>
      </c>
      <c r="AC11" s="388" t="s">
        <v>866</v>
      </c>
      <c r="AD11" s="388"/>
      <c r="AE11" s="58">
        <f>+AVERAGE(AE7:AE8)</f>
        <v>1.1239375</v>
      </c>
    </row>
  </sheetData>
  <sheetProtection algorithmName="SHA-512" hashValue="pyPI5EHBoFjtc7oziNF+LUsIVkOqYp5Q0uBNr5zNFq9DYq9o2nwFxM/1DkERS/cH5ztMPff1myTNeaM+jxMrAg==" saltValue="FSsfHiLUdX//xOq4v6FNUw==" spinCount="100000" sheet="1" objects="1" scenarios="1" selectLockedCells="1" selectUnlockedCells="1"/>
  <mergeCells count="39">
    <mergeCell ref="AC11:AD11"/>
    <mergeCell ref="Y11:Z11"/>
    <mergeCell ref="X7:X8"/>
    <mergeCell ref="Y7:Y8"/>
    <mergeCell ref="Z7:Z8"/>
    <mergeCell ref="AA7:AA8"/>
    <mergeCell ref="AB7:AB8"/>
    <mergeCell ref="M7:M8"/>
    <mergeCell ref="N7:N8"/>
    <mergeCell ref="O7:O8"/>
    <mergeCell ref="P7:P8"/>
    <mergeCell ref="V7:V8"/>
    <mergeCell ref="H7:H8"/>
    <mergeCell ref="I7:I8"/>
    <mergeCell ref="J7:J8"/>
    <mergeCell ref="K7:K8"/>
    <mergeCell ref="L7:L8"/>
    <mergeCell ref="F7:F8"/>
    <mergeCell ref="Y4:AF4"/>
    <mergeCell ref="A5:C5"/>
    <mergeCell ref="E5:F5"/>
    <mergeCell ref="G5:I5"/>
    <mergeCell ref="J5:J6"/>
    <mergeCell ref="K5:K6"/>
    <mergeCell ref="Y5:AB5"/>
    <mergeCell ref="AC5:AF5"/>
    <mergeCell ref="A7:A8"/>
    <mergeCell ref="B7:B8"/>
    <mergeCell ref="C7:C8"/>
    <mergeCell ref="D7:D8"/>
    <mergeCell ref="E7:E8"/>
    <mergeCell ref="W7:W8"/>
    <mergeCell ref="G7:G8"/>
    <mergeCell ref="C1:X3"/>
    <mergeCell ref="A4:K4"/>
    <mergeCell ref="L4:P5"/>
    <mergeCell ref="Q4:U5"/>
    <mergeCell ref="V4:W5"/>
    <mergeCell ref="X4:X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C2EB-20F7-4D65-BECA-2DCA7BF6DBE1}">
  <sheetPr>
    <tabColor theme="9"/>
  </sheetPr>
  <dimension ref="A1:AAF556"/>
  <sheetViews>
    <sheetView zoomScale="106" zoomScaleNormal="106" workbookViewId="0">
      <pane ySplit="6" topLeftCell="A7" activePane="bottomLeft" state="frozen"/>
      <selection activeCell="U1" sqref="U1"/>
      <selection pane="bottomLeft" sqref="A1:AV15"/>
    </sheetView>
  </sheetViews>
  <sheetFormatPr baseColWidth="10" defaultColWidth="11.42578125" defaultRowHeight="22.5" customHeight="1" x14ac:dyDescent="0.25"/>
  <cols>
    <col min="1" max="1" width="22.42578125" style="94" customWidth="1"/>
    <col min="2" max="2" width="26.7109375" style="94" customWidth="1"/>
    <col min="3" max="3" width="23.85546875" style="94" customWidth="1"/>
    <col min="4" max="4" width="33.42578125" style="94" customWidth="1"/>
    <col min="5" max="5" width="43.42578125" style="94" bestFit="1" customWidth="1"/>
    <col min="6" max="6" width="17.140625" style="94" customWidth="1"/>
    <col min="7" max="7" width="26.7109375" style="94" customWidth="1"/>
    <col min="8" max="8" width="16.7109375" style="94" customWidth="1"/>
    <col min="9" max="9" width="17.28515625" style="94" customWidth="1"/>
    <col min="10" max="10" width="16.85546875" style="94" customWidth="1"/>
    <col min="11" max="11" width="15.85546875" style="94" customWidth="1"/>
    <col min="12" max="12" width="56.42578125" style="94" customWidth="1"/>
    <col min="13" max="13" width="35.42578125" style="94" customWidth="1"/>
    <col min="14" max="14" width="20.42578125" style="94" customWidth="1"/>
    <col min="15" max="15" width="14.140625" style="94" customWidth="1"/>
    <col min="16" max="16" width="21" style="94" customWidth="1"/>
    <col min="17" max="18" width="31.7109375" style="94" customWidth="1"/>
    <col min="19" max="19" width="17.140625" style="94" bestFit="1" customWidth="1"/>
    <col min="20" max="20" width="10.28515625" style="94" bestFit="1" customWidth="1"/>
    <col min="21" max="21" width="14.42578125" style="94" bestFit="1" customWidth="1"/>
    <col min="22" max="22" width="17" style="145" customWidth="1"/>
    <col min="23" max="23" width="18.42578125" style="145" customWidth="1"/>
    <col min="24" max="24" width="20.7109375" style="94" customWidth="1"/>
    <col min="25" max="25" width="17.5703125" style="94" customWidth="1"/>
    <col min="26" max="26" width="10.42578125" style="94" customWidth="1"/>
    <col min="27" max="27" width="19.140625" style="94" customWidth="1"/>
    <col min="28" max="28" width="43.42578125" style="94" customWidth="1"/>
    <col min="29" max="29" width="14.85546875" style="94" customWidth="1"/>
    <col min="30" max="30" width="10.42578125" style="94" customWidth="1"/>
    <col min="31" max="31" width="21.85546875" style="94" customWidth="1"/>
    <col min="32" max="32" width="17.28515625" style="94" bestFit="1" customWidth="1"/>
    <col min="33" max="33" width="15.5703125" style="94" customWidth="1"/>
    <col min="34" max="34" width="10.42578125" style="94" customWidth="1"/>
    <col min="35" max="35" width="19" style="94" customWidth="1"/>
    <col min="36" max="36" width="39.140625" style="94" customWidth="1"/>
    <col min="37" max="37" width="14.85546875" style="94" customWidth="1"/>
    <col min="38" max="38" width="10.42578125" style="94" customWidth="1"/>
    <col min="39" max="39" width="21.85546875" style="94" customWidth="1"/>
    <col min="40" max="40" width="17.28515625" style="94" bestFit="1" customWidth="1"/>
    <col min="41" max="41" width="16.42578125" style="94" customWidth="1"/>
    <col min="42" max="42" width="10.42578125" style="94" customWidth="1"/>
    <col min="43" max="43" width="19.42578125" style="94" customWidth="1"/>
    <col min="44" max="44" width="43.5703125" style="94" customWidth="1"/>
    <col min="45" max="45" width="14.85546875" style="94" customWidth="1"/>
    <col min="46" max="46" width="10.42578125" style="94" customWidth="1"/>
    <col min="47" max="47" width="21.85546875" style="94" customWidth="1"/>
    <col min="48" max="48" width="17.28515625" style="94" bestFit="1" customWidth="1"/>
    <col min="49" max="708" width="11.42578125" style="21"/>
    <col min="709" max="16384" width="11.42578125" style="94"/>
  </cols>
  <sheetData>
    <row r="1" spans="1:708" s="1" customFormat="1" ht="15.75" customHeight="1" x14ac:dyDescent="0.25">
      <c r="C1" s="413" t="s">
        <v>0</v>
      </c>
      <c r="D1" s="413"/>
      <c r="E1" s="413"/>
      <c r="F1" s="413"/>
      <c r="G1" s="413"/>
      <c r="H1" s="413"/>
      <c r="I1" s="413"/>
      <c r="J1" s="413"/>
      <c r="K1" s="413"/>
      <c r="L1" s="413"/>
      <c r="M1" s="413"/>
      <c r="N1" s="413"/>
      <c r="O1" s="413"/>
      <c r="P1" s="413"/>
      <c r="Q1" s="413"/>
      <c r="R1" s="413"/>
      <c r="S1" s="413"/>
      <c r="T1" s="413"/>
      <c r="U1" s="413"/>
      <c r="V1" s="413"/>
      <c r="W1" s="413"/>
      <c r="X1" s="413"/>
      <c r="AU1" s="4" t="s">
        <v>1</v>
      </c>
      <c r="AV1" s="5">
        <v>43458</v>
      </c>
    </row>
    <row r="2" spans="1:708"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U2" s="4" t="s">
        <v>2</v>
      </c>
      <c r="AV2" s="4">
        <v>5</v>
      </c>
    </row>
    <row r="3" spans="1:708"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U3" s="4" t="s">
        <v>3</v>
      </c>
      <c r="AV3" s="4" t="s">
        <v>4</v>
      </c>
    </row>
    <row r="4" spans="1:708" s="7" customFormat="1" ht="15" x14ac:dyDescent="0.25">
      <c r="A4" s="453" t="s">
        <v>5</v>
      </c>
      <c r="B4" s="454"/>
      <c r="C4" s="454"/>
      <c r="D4" s="454"/>
      <c r="E4" s="454"/>
      <c r="F4" s="454"/>
      <c r="G4" s="454"/>
      <c r="H4" s="454"/>
      <c r="I4" s="454"/>
      <c r="J4" s="454"/>
      <c r="K4" s="455"/>
      <c r="L4" s="456" t="s">
        <v>6</v>
      </c>
      <c r="M4" s="457"/>
      <c r="N4" s="457"/>
      <c r="O4" s="457"/>
      <c r="P4" s="458"/>
      <c r="Q4" s="456" t="s">
        <v>7</v>
      </c>
      <c r="R4" s="457"/>
      <c r="S4" s="457"/>
      <c r="T4" s="457"/>
      <c r="U4" s="458"/>
      <c r="V4" s="498" t="s">
        <v>8</v>
      </c>
      <c r="W4" s="499"/>
      <c r="X4" s="466" t="s">
        <v>9</v>
      </c>
      <c r="Y4" s="459" t="s">
        <v>10</v>
      </c>
      <c r="Z4" s="460"/>
      <c r="AA4" s="460"/>
      <c r="AB4" s="460"/>
      <c r="AC4" s="460"/>
      <c r="AD4" s="460"/>
      <c r="AE4" s="460"/>
      <c r="AF4" s="461"/>
      <c r="AG4" s="459" t="s">
        <v>11</v>
      </c>
      <c r="AH4" s="460"/>
      <c r="AI4" s="460"/>
      <c r="AJ4" s="460"/>
      <c r="AK4" s="460"/>
      <c r="AL4" s="460"/>
      <c r="AM4" s="460"/>
      <c r="AN4" s="461"/>
      <c r="AO4" s="459" t="s">
        <v>12</v>
      </c>
      <c r="AP4" s="460"/>
      <c r="AQ4" s="460"/>
      <c r="AR4" s="460"/>
      <c r="AS4" s="460"/>
      <c r="AT4" s="460"/>
      <c r="AU4" s="460"/>
      <c r="AV4" s="461"/>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row>
    <row r="5" spans="1:708" s="367" customFormat="1" ht="15" x14ac:dyDescent="0.25">
      <c r="A5" s="468" t="s">
        <v>13</v>
      </c>
      <c r="B5" s="469"/>
      <c r="C5" s="470"/>
      <c r="D5" s="365" t="s">
        <v>14</v>
      </c>
      <c r="E5" s="468" t="s">
        <v>15</v>
      </c>
      <c r="F5" s="470"/>
      <c r="G5" s="468" t="s">
        <v>16</v>
      </c>
      <c r="H5" s="469"/>
      <c r="I5" s="470"/>
      <c r="J5" s="471" t="s">
        <v>17</v>
      </c>
      <c r="K5" s="471" t="s">
        <v>18</v>
      </c>
      <c r="L5" s="459"/>
      <c r="M5" s="460"/>
      <c r="N5" s="460"/>
      <c r="O5" s="460"/>
      <c r="P5" s="461"/>
      <c r="Q5" s="459"/>
      <c r="R5" s="460"/>
      <c r="S5" s="460"/>
      <c r="T5" s="460"/>
      <c r="U5" s="461"/>
      <c r="V5" s="500"/>
      <c r="W5" s="501"/>
      <c r="X5" s="467"/>
      <c r="Y5" s="468" t="s">
        <v>19</v>
      </c>
      <c r="Z5" s="469"/>
      <c r="AA5" s="469"/>
      <c r="AB5" s="473"/>
      <c r="AC5" s="474" t="s">
        <v>20</v>
      </c>
      <c r="AD5" s="469"/>
      <c r="AE5" s="469"/>
      <c r="AF5" s="470"/>
      <c r="AG5" s="468" t="s">
        <v>19</v>
      </c>
      <c r="AH5" s="469"/>
      <c r="AI5" s="469"/>
      <c r="AJ5" s="473"/>
      <c r="AK5" s="474" t="s">
        <v>20</v>
      </c>
      <c r="AL5" s="469"/>
      <c r="AM5" s="469"/>
      <c r="AN5" s="470"/>
      <c r="AO5" s="468" t="s">
        <v>19</v>
      </c>
      <c r="AP5" s="469"/>
      <c r="AQ5" s="469"/>
      <c r="AR5" s="473"/>
      <c r="AS5" s="474" t="s">
        <v>20</v>
      </c>
      <c r="AT5" s="469"/>
      <c r="AU5" s="469"/>
      <c r="AV5" s="470"/>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row>
    <row r="6" spans="1:708" s="7" customFormat="1" ht="15" x14ac:dyDescent="0.25">
      <c r="A6" s="10" t="s">
        <v>21</v>
      </c>
      <c r="B6" s="10" t="s">
        <v>22</v>
      </c>
      <c r="C6" s="366" t="s">
        <v>23</v>
      </c>
      <c r="D6" s="366" t="s">
        <v>24</v>
      </c>
      <c r="E6" s="366" t="s">
        <v>25</v>
      </c>
      <c r="F6" s="366" t="s">
        <v>26</v>
      </c>
      <c r="G6" s="366" t="s">
        <v>27</v>
      </c>
      <c r="H6" s="366" t="s">
        <v>28</v>
      </c>
      <c r="I6" s="366" t="s">
        <v>29</v>
      </c>
      <c r="J6" s="502"/>
      <c r="K6" s="502"/>
      <c r="L6" s="366" t="s">
        <v>6</v>
      </c>
      <c r="M6" s="366" t="s">
        <v>30</v>
      </c>
      <c r="N6" s="366" t="s">
        <v>31</v>
      </c>
      <c r="O6" s="366" t="s">
        <v>32</v>
      </c>
      <c r="P6" s="366" t="s">
        <v>33</v>
      </c>
      <c r="Q6" s="366" t="s">
        <v>7</v>
      </c>
      <c r="R6" s="366" t="s">
        <v>34</v>
      </c>
      <c r="S6" s="366" t="s">
        <v>31</v>
      </c>
      <c r="T6" s="366" t="s">
        <v>32</v>
      </c>
      <c r="U6" s="366" t="s">
        <v>35</v>
      </c>
      <c r="V6" s="13" t="s">
        <v>36</v>
      </c>
      <c r="W6" s="13" t="s">
        <v>37</v>
      </c>
      <c r="X6" s="366" t="s">
        <v>38</v>
      </c>
      <c r="Y6" s="366" t="s">
        <v>39</v>
      </c>
      <c r="Z6" s="366" t="s">
        <v>40</v>
      </c>
      <c r="AA6" s="366" t="s">
        <v>41</v>
      </c>
      <c r="AB6" s="366" t="s">
        <v>42</v>
      </c>
      <c r="AC6" s="366" t="s">
        <v>39</v>
      </c>
      <c r="AD6" s="366" t="s">
        <v>40</v>
      </c>
      <c r="AE6" s="366" t="s">
        <v>41</v>
      </c>
      <c r="AF6" s="366" t="s">
        <v>42</v>
      </c>
      <c r="AG6" s="366" t="s">
        <v>39</v>
      </c>
      <c r="AH6" s="366" t="s">
        <v>40</v>
      </c>
      <c r="AI6" s="366" t="s">
        <v>41</v>
      </c>
      <c r="AJ6" s="366" t="s">
        <v>42</v>
      </c>
      <c r="AK6" s="366" t="s">
        <v>39</v>
      </c>
      <c r="AL6" s="366" t="s">
        <v>40</v>
      </c>
      <c r="AM6" s="366" t="s">
        <v>41</v>
      </c>
      <c r="AN6" s="366" t="s">
        <v>42</v>
      </c>
      <c r="AO6" s="366" t="s">
        <v>39</v>
      </c>
      <c r="AP6" s="366" t="s">
        <v>40</v>
      </c>
      <c r="AQ6" s="366" t="s">
        <v>41</v>
      </c>
      <c r="AR6" s="366" t="s">
        <v>42</v>
      </c>
      <c r="AS6" s="366" t="s">
        <v>39</v>
      </c>
      <c r="AT6" s="366" t="s">
        <v>40</v>
      </c>
      <c r="AU6" s="366" t="s">
        <v>41</v>
      </c>
      <c r="AV6" s="366" t="s">
        <v>42</v>
      </c>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row>
    <row r="7" spans="1:708" ht="70.5" customHeight="1" x14ac:dyDescent="0.25">
      <c r="A7" s="364" t="s">
        <v>43</v>
      </c>
      <c r="B7" s="364" t="s">
        <v>44</v>
      </c>
      <c r="C7" s="364" t="s">
        <v>45</v>
      </c>
      <c r="D7" s="364" t="s">
        <v>46</v>
      </c>
      <c r="E7" s="364" t="s">
        <v>47</v>
      </c>
      <c r="F7" s="364" t="s">
        <v>504</v>
      </c>
      <c r="G7" s="364" t="s">
        <v>49</v>
      </c>
      <c r="H7" s="364" t="s">
        <v>50</v>
      </c>
      <c r="I7" s="364" t="s">
        <v>51</v>
      </c>
      <c r="J7" s="364" t="s">
        <v>52</v>
      </c>
      <c r="K7" s="364" t="s">
        <v>891</v>
      </c>
      <c r="L7" s="364" t="s">
        <v>892</v>
      </c>
      <c r="M7" s="364" t="s">
        <v>893</v>
      </c>
      <c r="N7" s="364" t="s">
        <v>74</v>
      </c>
      <c r="O7" s="364"/>
      <c r="P7" s="678">
        <v>0.75</v>
      </c>
      <c r="Q7" s="679"/>
      <c r="R7" s="679"/>
      <c r="S7" s="679"/>
      <c r="T7" s="679"/>
      <c r="U7" s="679"/>
      <c r="V7" s="364">
        <v>1370580862</v>
      </c>
      <c r="W7" s="364">
        <v>64326892613</v>
      </c>
      <c r="X7" s="364" t="s">
        <v>894</v>
      </c>
      <c r="Y7" s="678">
        <v>1</v>
      </c>
      <c r="Z7" s="678">
        <v>0.75</v>
      </c>
      <c r="AA7" s="678">
        <f>+Y7/'[13]PAI REGALÍAS'!P7</f>
        <v>1.3333333333333333</v>
      </c>
      <c r="AB7" s="107" t="s">
        <v>895</v>
      </c>
      <c r="AC7" s="680"/>
      <c r="AD7" s="680"/>
      <c r="AE7" s="680"/>
      <c r="AF7" s="680"/>
      <c r="AG7" s="678">
        <v>1</v>
      </c>
      <c r="AH7" s="678">
        <v>0.75</v>
      </c>
      <c r="AI7" s="678">
        <f>+AG7/'[14]PAI REGALÍAS'!P7</f>
        <v>1.3333333333333333</v>
      </c>
      <c r="AJ7" s="107" t="s">
        <v>896</v>
      </c>
      <c r="AK7" s="680"/>
      <c r="AL7" s="680"/>
      <c r="AM7" s="680"/>
      <c r="AN7" s="680"/>
      <c r="AO7" s="678">
        <v>1</v>
      </c>
      <c r="AP7" s="678">
        <v>0.75</v>
      </c>
      <c r="AQ7" s="678">
        <f>+AO7/P7</f>
        <v>1.3333333333333333</v>
      </c>
      <c r="AR7" s="107" t="s">
        <v>897</v>
      </c>
      <c r="AS7" s="680"/>
      <c r="AT7" s="680"/>
      <c r="AU7" s="680"/>
      <c r="AV7" s="680"/>
    </row>
    <row r="8" spans="1:708" ht="70.5" customHeight="1" x14ac:dyDescent="0.25">
      <c r="A8" s="96" t="s">
        <v>43</v>
      </c>
      <c r="B8" s="96" t="s">
        <v>44</v>
      </c>
      <c r="C8" s="96" t="s">
        <v>45</v>
      </c>
      <c r="D8" s="96" t="s">
        <v>46</v>
      </c>
      <c r="E8" s="96" t="s">
        <v>47</v>
      </c>
      <c r="F8" s="96" t="s">
        <v>504</v>
      </c>
      <c r="G8" s="96" t="s">
        <v>49</v>
      </c>
      <c r="H8" s="96" t="s">
        <v>50</v>
      </c>
      <c r="I8" s="96" t="s">
        <v>78</v>
      </c>
      <c r="J8" s="96" t="s">
        <v>52</v>
      </c>
      <c r="K8" s="96" t="s">
        <v>891</v>
      </c>
      <c r="L8" s="96" t="s">
        <v>898</v>
      </c>
      <c r="M8" s="96" t="s">
        <v>899</v>
      </c>
      <c r="N8" s="96" t="s">
        <v>56</v>
      </c>
      <c r="O8" s="96"/>
      <c r="P8" s="681">
        <v>95</v>
      </c>
      <c r="Q8" s="679"/>
      <c r="R8" s="679"/>
      <c r="S8" s="679"/>
      <c r="T8" s="679"/>
      <c r="U8" s="679"/>
      <c r="V8" s="96">
        <v>327272233</v>
      </c>
      <c r="W8" s="96">
        <v>64326892613</v>
      </c>
      <c r="X8" s="96" t="s">
        <v>894</v>
      </c>
      <c r="Y8" s="115">
        <v>0</v>
      </c>
      <c r="Z8" s="115">
        <v>0.95</v>
      </c>
      <c r="AA8" s="115">
        <f>+Y8/'[13]PAI REGALÍAS'!P8</f>
        <v>0</v>
      </c>
      <c r="AB8" s="116" t="s">
        <v>900</v>
      </c>
      <c r="AC8" s="682"/>
      <c r="AD8" s="682"/>
      <c r="AE8" s="682"/>
      <c r="AF8" s="683"/>
      <c r="AG8" s="681">
        <v>0</v>
      </c>
      <c r="AH8" s="681">
        <v>95</v>
      </c>
      <c r="AI8" s="115">
        <f>+AG8/'[14]PAI REGALÍAS'!P8</f>
        <v>0</v>
      </c>
      <c r="AJ8" s="116" t="s">
        <v>901</v>
      </c>
      <c r="AK8" s="682"/>
      <c r="AL8" s="682"/>
      <c r="AM8" s="682"/>
      <c r="AN8" s="683"/>
      <c r="AO8" s="681">
        <v>1</v>
      </c>
      <c r="AP8" s="681">
        <v>95</v>
      </c>
      <c r="AQ8" s="115">
        <f>+AO8/P8</f>
        <v>1.0526315789473684E-2</v>
      </c>
      <c r="AR8" s="116" t="s">
        <v>902</v>
      </c>
      <c r="AS8" s="682"/>
      <c r="AT8" s="682"/>
      <c r="AU8" s="682"/>
      <c r="AV8" s="683"/>
    </row>
    <row r="9" spans="1:708" ht="70.5" customHeight="1" x14ac:dyDescent="0.25">
      <c r="A9" s="364" t="s">
        <v>43</v>
      </c>
      <c r="B9" s="364" t="s">
        <v>44</v>
      </c>
      <c r="C9" s="364" t="s">
        <v>45</v>
      </c>
      <c r="D9" s="364" t="s">
        <v>349</v>
      </c>
      <c r="E9" s="364" t="s">
        <v>71</v>
      </c>
      <c r="F9" s="364" t="s">
        <v>48</v>
      </c>
      <c r="G9" s="364" t="s">
        <v>49</v>
      </c>
      <c r="H9" s="364" t="s">
        <v>50</v>
      </c>
      <c r="I9" s="364" t="s">
        <v>78</v>
      </c>
      <c r="J9" s="364" t="s">
        <v>52</v>
      </c>
      <c r="K9" s="364" t="s">
        <v>891</v>
      </c>
      <c r="L9" s="364" t="s">
        <v>903</v>
      </c>
      <c r="M9" s="364" t="s">
        <v>904</v>
      </c>
      <c r="N9" s="364" t="s">
        <v>74</v>
      </c>
      <c r="O9" s="364"/>
      <c r="P9" s="678">
        <v>0.8</v>
      </c>
      <c r="Q9" s="679"/>
      <c r="R9" s="679"/>
      <c r="S9" s="679"/>
      <c r="T9" s="679"/>
      <c r="U9" s="679"/>
      <c r="V9" s="364">
        <v>125309064</v>
      </c>
      <c r="W9" s="364">
        <v>64326892613</v>
      </c>
      <c r="X9" s="364" t="s">
        <v>894</v>
      </c>
      <c r="Y9" s="678">
        <v>1</v>
      </c>
      <c r="Z9" s="678">
        <v>0.8</v>
      </c>
      <c r="AA9" s="678">
        <f>+Y9/'[13]PAI REGALÍAS'!P9</f>
        <v>1.25</v>
      </c>
      <c r="AB9" s="107" t="s">
        <v>905</v>
      </c>
      <c r="AC9" s="680"/>
      <c r="AD9" s="680"/>
      <c r="AE9" s="680"/>
      <c r="AF9" s="680"/>
      <c r="AG9" s="678">
        <v>1.42</v>
      </c>
      <c r="AH9" s="678">
        <v>0.8</v>
      </c>
      <c r="AI9" s="678">
        <f>+AG9/'[14]PAI REGALÍAS'!P9</f>
        <v>1.7749999999999999</v>
      </c>
      <c r="AJ9" s="107" t="s">
        <v>906</v>
      </c>
      <c r="AK9" s="680"/>
      <c r="AL9" s="680"/>
      <c r="AM9" s="680"/>
      <c r="AN9" s="680"/>
      <c r="AO9" s="678">
        <v>0.66216216216216217</v>
      </c>
      <c r="AP9" s="678">
        <v>0.8</v>
      </c>
      <c r="AQ9" s="678">
        <f t="shared" ref="AQ9:AQ13" si="0">+AO9/P9</f>
        <v>0.82770270270270263</v>
      </c>
      <c r="AR9" s="107" t="s">
        <v>907</v>
      </c>
      <c r="AS9" s="680"/>
      <c r="AT9" s="680"/>
      <c r="AU9" s="680"/>
      <c r="AV9" s="680"/>
    </row>
    <row r="10" spans="1:708" ht="70.5" customHeight="1" x14ac:dyDescent="0.25">
      <c r="A10" s="96" t="s">
        <v>43</v>
      </c>
      <c r="B10" s="96" t="s">
        <v>44</v>
      </c>
      <c r="C10" s="96" t="s">
        <v>45</v>
      </c>
      <c r="D10" s="96" t="s">
        <v>46</v>
      </c>
      <c r="E10" s="96" t="s">
        <v>47</v>
      </c>
      <c r="F10" s="96" t="s">
        <v>504</v>
      </c>
      <c r="G10" s="96" t="s">
        <v>49</v>
      </c>
      <c r="H10" s="96" t="s">
        <v>50</v>
      </c>
      <c r="I10" s="96" t="s">
        <v>51</v>
      </c>
      <c r="J10" s="96" t="s">
        <v>52</v>
      </c>
      <c r="K10" s="96" t="s">
        <v>908</v>
      </c>
      <c r="L10" s="96" t="s">
        <v>892</v>
      </c>
      <c r="M10" s="96" t="s">
        <v>893</v>
      </c>
      <c r="N10" s="96" t="s">
        <v>74</v>
      </c>
      <c r="O10" s="96"/>
      <c r="P10" s="112">
        <v>0.75</v>
      </c>
      <c r="Q10" s="679"/>
      <c r="R10" s="679"/>
      <c r="S10" s="679"/>
      <c r="T10" s="679"/>
      <c r="U10" s="679"/>
      <c r="V10" s="96">
        <v>980814657</v>
      </c>
      <c r="W10" s="96">
        <v>64326892613</v>
      </c>
      <c r="X10" s="96" t="s">
        <v>894</v>
      </c>
      <c r="Y10" s="115">
        <v>1</v>
      </c>
      <c r="Z10" s="115">
        <v>0.75</v>
      </c>
      <c r="AA10" s="115">
        <f>+Y10/'[13]PAI REGALÍAS'!P10</f>
        <v>1.3333333333333333</v>
      </c>
      <c r="AB10" s="116" t="s">
        <v>895</v>
      </c>
      <c r="AC10" s="682"/>
      <c r="AD10" s="682"/>
      <c r="AE10" s="682"/>
      <c r="AF10" s="683"/>
      <c r="AG10" s="115">
        <v>1</v>
      </c>
      <c r="AH10" s="115">
        <v>0.75</v>
      </c>
      <c r="AI10" s="115">
        <f>+AG10/'[14]PAI REGALÍAS'!P10</f>
        <v>1.3333333333333333</v>
      </c>
      <c r="AJ10" s="116" t="s">
        <v>909</v>
      </c>
      <c r="AK10" s="682"/>
      <c r="AL10" s="682"/>
      <c r="AM10" s="682"/>
      <c r="AN10" s="683"/>
      <c r="AO10" s="115">
        <v>1</v>
      </c>
      <c r="AP10" s="115">
        <v>0.75</v>
      </c>
      <c r="AQ10" s="115">
        <f t="shared" si="0"/>
        <v>1.3333333333333333</v>
      </c>
      <c r="AR10" s="116" t="s">
        <v>910</v>
      </c>
      <c r="AS10" s="682"/>
      <c r="AT10" s="682"/>
      <c r="AU10" s="682"/>
      <c r="AV10" s="683"/>
    </row>
    <row r="11" spans="1:708" ht="70.5" customHeight="1" x14ac:dyDescent="0.25">
      <c r="A11" s="364" t="s">
        <v>43</v>
      </c>
      <c r="B11" s="364" t="s">
        <v>44</v>
      </c>
      <c r="C11" s="364" t="s">
        <v>45</v>
      </c>
      <c r="D11" s="364" t="s">
        <v>46</v>
      </c>
      <c r="E11" s="364" t="s">
        <v>47</v>
      </c>
      <c r="F11" s="364" t="s">
        <v>504</v>
      </c>
      <c r="G11" s="364" t="s">
        <v>49</v>
      </c>
      <c r="H11" s="364" t="s">
        <v>50</v>
      </c>
      <c r="I11" s="364" t="s">
        <v>78</v>
      </c>
      <c r="J11" s="364" t="s">
        <v>52</v>
      </c>
      <c r="K11" s="364" t="s">
        <v>908</v>
      </c>
      <c r="L11" s="364" t="s">
        <v>898</v>
      </c>
      <c r="M11" s="364" t="s">
        <v>899</v>
      </c>
      <c r="N11" s="364" t="s">
        <v>56</v>
      </c>
      <c r="O11" s="684"/>
      <c r="P11" s="685">
        <v>95</v>
      </c>
      <c r="Q11" s="679"/>
      <c r="R11" s="679"/>
      <c r="S11" s="679"/>
      <c r="T11" s="679"/>
      <c r="U11" s="679"/>
      <c r="V11" s="364">
        <v>48879865</v>
      </c>
      <c r="W11" s="364">
        <v>64326892613</v>
      </c>
      <c r="X11" s="364" t="s">
        <v>894</v>
      </c>
      <c r="Y11" s="678">
        <v>0</v>
      </c>
      <c r="Z11" s="678">
        <v>0.95</v>
      </c>
      <c r="AA11" s="678">
        <f>+Y11/'[13]PAI REGALÍAS'!P11</f>
        <v>0</v>
      </c>
      <c r="AB11" s="107" t="s">
        <v>911</v>
      </c>
      <c r="AC11" s="680"/>
      <c r="AD11" s="680"/>
      <c r="AE11" s="680"/>
      <c r="AF11" s="680"/>
      <c r="AG11" s="685">
        <v>3</v>
      </c>
      <c r="AH11" s="685">
        <v>95</v>
      </c>
      <c r="AI11" s="678">
        <f>+AG11/'[14]PAI REGALÍAS'!P11</f>
        <v>3.1578947368421054E-2</v>
      </c>
      <c r="AJ11" s="107" t="s">
        <v>912</v>
      </c>
      <c r="AK11" s="680"/>
      <c r="AL11" s="680"/>
      <c r="AM11" s="680"/>
      <c r="AN11" s="680"/>
      <c r="AO11" s="685">
        <v>3</v>
      </c>
      <c r="AP11" s="685">
        <v>95</v>
      </c>
      <c r="AQ11" s="678">
        <f t="shared" si="0"/>
        <v>3.1578947368421054E-2</v>
      </c>
      <c r="AR11" s="107" t="s">
        <v>913</v>
      </c>
      <c r="AS11" s="680"/>
      <c r="AT11" s="680"/>
      <c r="AU11" s="680"/>
      <c r="AV11" s="680"/>
    </row>
    <row r="12" spans="1:708" ht="70.5" customHeight="1" x14ac:dyDescent="0.25">
      <c r="A12" s="96" t="s">
        <v>43</v>
      </c>
      <c r="B12" s="96" t="s">
        <v>44</v>
      </c>
      <c r="C12" s="96" t="s">
        <v>45</v>
      </c>
      <c r="D12" s="96" t="s">
        <v>349</v>
      </c>
      <c r="E12" s="96" t="s">
        <v>71</v>
      </c>
      <c r="F12" s="96" t="s">
        <v>48</v>
      </c>
      <c r="G12" s="96" t="s">
        <v>49</v>
      </c>
      <c r="H12" s="96" t="s">
        <v>50</v>
      </c>
      <c r="I12" s="96" t="s">
        <v>78</v>
      </c>
      <c r="J12" s="96" t="s">
        <v>52</v>
      </c>
      <c r="K12" s="96" t="s">
        <v>908</v>
      </c>
      <c r="L12" s="96" t="s">
        <v>903</v>
      </c>
      <c r="M12" s="96" t="s">
        <v>904</v>
      </c>
      <c r="N12" s="96" t="s">
        <v>74</v>
      </c>
      <c r="O12" s="96"/>
      <c r="P12" s="112">
        <v>0.8</v>
      </c>
      <c r="Q12" s="679"/>
      <c r="R12" s="679"/>
      <c r="S12" s="679"/>
      <c r="T12" s="679"/>
      <c r="U12" s="679"/>
      <c r="V12" s="96">
        <v>165761195</v>
      </c>
      <c r="W12" s="96">
        <v>64326892613</v>
      </c>
      <c r="X12" s="96" t="s">
        <v>894</v>
      </c>
      <c r="Y12" s="115">
        <v>1</v>
      </c>
      <c r="Z12" s="115">
        <v>0.8</v>
      </c>
      <c r="AA12" s="115">
        <f>+Y12/'[13]PAI REGALÍAS'!P12</f>
        <v>1.25</v>
      </c>
      <c r="AB12" s="116" t="s">
        <v>914</v>
      </c>
      <c r="AC12" s="682"/>
      <c r="AD12" s="682"/>
      <c r="AE12" s="682"/>
      <c r="AF12" s="683"/>
      <c r="AG12" s="115">
        <v>1.21</v>
      </c>
      <c r="AH12" s="115">
        <v>0.8</v>
      </c>
      <c r="AI12" s="115">
        <f>+AG12/'[14]PAI REGALÍAS'!P12</f>
        <v>1.5125</v>
      </c>
      <c r="AJ12" s="116" t="s">
        <v>915</v>
      </c>
      <c r="AK12" s="682"/>
      <c r="AL12" s="682"/>
      <c r="AM12" s="682"/>
      <c r="AN12" s="683"/>
      <c r="AO12" s="115">
        <v>0.875</v>
      </c>
      <c r="AP12" s="115">
        <v>0.8</v>
      </c>
      <c r="AQ12" s="115">
        <f t="shared" si="0"/>
        <v>1.09375</v>
      </c>
      <c r="AR12" s="116" t="s">
        <v>916</v>
      </c>
      <c r="AS12" s="682"/>
      <c r="AT12" s="682"/>
      <c r="AU12" s="682"/>
      <c r="AV12" s="683"/>
    </row>
    <row r="13" spans="1:708" ht="89.25" customHeight="1" x14ac:dyDescent="0.25">
      <c r="A13" s="364" t="s">
        <v>43</v>
      </c>
      <c r="B13" s="364" t="s">
        <v>44</v>
      </c>
      <c r="C13" s="364" t="s">
        <v>45</v>
      </c>
      <c r="D13" s="364" t="s">
        <v>46</v>
      </c>
      <c r="E13" s="364" t="s">
        <v>47</v>
      </c>
      <c r="F13" s="364" t="s">
        <v>326</v>
      </c>
      <c r="G13" s="364" t="s">
        <v>49</v>
      </c>
      <c r="H13" s="364" t="s">
        <v>50</v>
      </c>
      <c r="I13" s="364" t="s">
        <v>51</v>
      </c>
      <c r="J13" s="364" t="s">
        <v>52</v>
      </c>
      <c r="K13" s="364" t="s">
        <v>917</v>
      </c>
      <c r="L13" s="364" t="s">
        <v>328</v>
      </c>
      <c r="M13" s="364" t="s">
        <v>329</v>
      </c>
      <c r="N13" s="364" t="s">
        <v>74</v>
      </c>
      <c r="O13" s="364"/>
      <c r="P13" s="678">
        <v>0.9</v>
      </c>
      <c r="Q13" s="679"/>
      <c r="R13" s="679"/>
      <c r="S13" s="679"/>
      <c r="T13" s="679"/>
      <c r="U13" s="679"/>
      <c r="V13" s="364">
        <v>360808794</v>
      </c>
      <c r="W13" s="364">
        <v>64326892613</v>
      </c>
      <c r="X13" s="364" t="s">
        <v>894</v>
      </c>
      <c r="Y13" s="108">
        <v>1</v>
      </c>
      <c r="Z13" s="678">
        <v>0.9</v>
      </c>
      <c r="AA13" s="678">
        <f>+Y13/'[13]PAI REGALÍAS'!P13</f>
        <v>1.1111111111111112</v>
      </c>
      <c r="AB13" s="107" t="s">
        <v>918</v>
      </c>
      <c r="AC13" s="680"/>
      <c r="AD13" s="680"/>
      <c r="AE13" s="680"/>
      <c r="AF13" s="680"/>
      <c r="AG13" s="108">
        <v>1</v>
      </c>
      <c r="AH13" s="678">
        <v>0.9</v>
      </c>
      <c r="AI13" s="678">
        <f>+AG13/'[14]PAI REGALÍAS'!P13</f>
        <v>1.1111111111111112</v>
      </c>
      <c r="AJ13" s="107" t="s">
        <v>919</v>
      </c>
      <c r="AK13" s="680"/>
      <c r="AL13" s="680"/>
      <c r="AM13" s="680"/>
      <c r="AN13" s="680"/>
      <c r="AO13" s="108">
        <v>1</v>
      </c>
      <c r="AP13" s="678">
        <v>0.9</v>
      </c>
      <c r="AQ13" s="678">
        <f t="shared" si="0"/>
        <v>1.1111111111111112</v>
      </c>
      <c r="AR13" s="107" t="s">
        <v>920</v>
      </c>
      <c r="AS13" s="680"/>
      <c r="AT13" s="680"/>
      <c r="AU13" s="680"/>
      <c r="AV13" s="680"/>
    </row>
    <row r="14" spans="1:708" ht="87" customHeight="1" x14ac:dyDescent="0.25">
      <c r="A14" s="96" t="s">
        <v>43</v>
      </c>
      <c r="B14" s="96" t="s">
        <v>44</v>
      </c>
      <c r="C14" s="96" t="s">
        <v>45</v>
      </c>
      <c r="D14" s="96" t="s">
        <v>46</v>
      </c>
      <c r="E14" s="96" t="s">
        <v>71</v>
      </c>
      <c r="F14" s="96" t="s">
        <v>48</v>
      </c>
      <c r="G14" s="96" t="s">
        <v>49</v>
      </c>
      <c r="H14" s="96" t="s">
        <v>50</v>
      </c>
      <c r="I14" s="96" t="s">
        <v>78</v>
      </c>
      <c r="J14" s="96" t="s">
        <v>52</v>
      </c>
      <c r="K14" s="96" t="s">
        <v>921</v>
      </c>
      <c r="L14" s="96" t="s">
        <v>922</v>
      </c>
      <c r="M14" s="96" t="s">
        <v>923</v>
      </c>
      <c r="N14" s="96" t="s">
        <v>74</v>
      </c>
      <c r="O14" s="96"/>
      <c r="P14" s="112">
        <v>0.55000000000000004</v>
      </c>
      <c r="Q14" s="679"/>
      <c r="R14" s="679"/>
      <c r="S14" s="679"/>
      <c r="T14" s="679"/>
      <c r="U14" s="679"/>
      <c r="V14" s="96">
        <v>852240076</v>
      </c>
      <c r="W14" s="96">
        <v>64326892613</v>
      </c>
      <c r="X14" s="96" t="s">
        <v>894</v>
      </c>
      <c r="Y14" s="686">
        <f>26/470</f>
        <v>5.5319148936170209E-2</v>
      </c>
      <c r="Z14" s="115">
        <v>0.55000000000000004</v>
      </c>
      <c r="AA14" s="115">
        <f>+Y14/'[13]PAI REGALÍAS'!P14</f>
        <v>0.10058027079303673</v>
      </c>
      <c r="AB14" s="116" t="s">
        <v>924</v>
      </c>
      <c r="AC14" s="682"/>
      <c r="AD14" s="682"/>
      <c r="AE14" s="682"/>
      <c r="AF14" s="683"/>
      <c r="AG14" s="686">
        <f>69/747</f>
        <v>9.2369477911646583E-2</v>
      </c>
      <c r="AH14" s="115">
        <v>0.55000000000000004</v>
      </c>
      <c r="AI14" s="115">
        <f>+AG14/'[14]PAI REGALÍAS'!P14</f>
        <v>0.16794450529390287</v>
      </c>
      <c r="AJ14" s="116" t="s">
        <v>925</v>
      </c>
      <c r="AK14" s="682"/>
      <c r="AL14" s="682"/>
      <c r="AM14" s="682"/>
      <c r="AN14" s="683"/>
      <c r="AO14" s="686">
        <f>128/747</f>
        <v>0.17135207496653279</v>
      </c>
      <c r="AP14" s="115">
        <v>0.55000000000000004</v>
      </c>
      <c r="AQ14" s="115">
        <f>+AO14/P14</f>
        <v>0.31154922721187778</v>
      </c>
      <c r="AR14" s="116" t="s">
        <v>926</v>
      </c>
      <c r="AS14" s="682"/>
      <c r="AT14" s="682"/>
      <c r="AU14" s="682"/>
      <c r="AV14" s="683"/>
    </row>
    <row r="15" spans="1:708" s="22" customFormat="1" ht="70.5" customHeight="1" x14ac:dyDescent="0.25">
      <c r="A15" s="55"/>
      <c r="B15" s="55"/>
      <c r="C15" s="55"/>
      <c r="D15" s="55"/>
      <c r="E15" s="55"/>
      <c r="F15" s="55"/>
      <c r="G15" s="55"/>
      <c r="H15" s="55"/>
      <c r="I15" s="55"/>
      <c r="J15" s="55"/>
      <c r="K15" s="55"/>
      <c r="L15" s="55"/>
      <c r="M15" s="55"/>
      <c r="N15" s="55"/>
      <c r="O15" s="55"/>
      <c r="P15" s="56"/>
      <c r="Q15" s="55"/>
      <c r="R15" s="55"/>
      <c r="S15" s="55"/>
      <c r="T15" s="55"/>
      <c r="U15" s="55"/>
      <c r="V15" s="95"/>
      <c r="W15" s="95"/>
      <c r="X15" s="55"/>
      <c r="Y15" s="388" t="s">
        <v>99</v>
      </c>
      <c r="Z15" s="388"/>
      <c r="AA15" s="58">
        <f>AVERAGE(AA7:AA14)</f>
        <v>0.7972947560713517</v>
      </c>
      <c r="AB15" s="59"/>
      <c r="AC15" s="388" t="s">
        <v>100</v>
      </c>
      <c r="AD15" s="388"/>
      <c r="AE15" s="58" t="s">
        <v>590</v>
      </c>
      <c r="AF15" s="55"/>
      <c r="AG15" s="388" t="s">
        <v>99</v>
      </c>
      <c r="AH15" s="388"/>
      <c r="AI15" s="58">
        <f>AVERAGE(AI7:AI14)</f>
        <v>0.90810015380501263</v>
      </c>
      <c r="AJ15" s="59"/>
      <c r="AK15" s="388" t="s">
        <v>100</v>
      </c>
      <c r="AL15" s="388"/>
      <c r="AM15" s="58" t="s">
        <v>590</v>
      </c>
      <c r="AN15" s="55"/>
      <c r="AO15" s="388" t="s">
        <v>99</v>
      </c>
      <c r="AP15" s="388"/>
      <c r="AQ15" s="58">
        <f>AVERAGE(AQ7:AQ14)</f>
        <v>0.75661062135628165</v>
      </c>
      <c r="AR15" s="59"/>
      <c r="AS15" s="388" t="s">
        <v>100</v>
      </c>
      <c r="AT15" s="388"/>
      <c r="AU15" s="58" t="s">
        <v>590</v>
      </c>
      <c r="AV15" s="55"/>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c r="TS15" s="21"/>
      <c r="TT15" s="21"/>
      <c r="TU15" s="21"/>
      <c r="TV15" s="21"/>
      <c r="TW15" s="21"/>
      <c r="TX15" s="21"/>
      <c r="TY15" s="21"/>
      <c r="TZ15" s="21"/>
      <c r="UA15" s="21"/>
      <c r="UB15" s="21"/>
      <c r="UC15" s="21"/>
      <c r="UD15" s="21"/>
      <c r="UE15" s="21"/>
      <c r="UF15" s="21"/>
      <c r="UG15" s="21"/>
      <c r="UH15" s="21"/>
      <c r="UI15" s="21"/>
      <c r="UJ15" s="21"/>
      <c r="UK15" s="21"/>
      <c r="UL15" s="21"/>
      <c r="UM15" s="21"/>
      <c r="UN15" s="21"/>
      <c r="UO15" s="21"/>
      <c r="UP15" s="21"/>
      <c r="UQ15" s="21"/>
      <c r="UR15" s="21"/>
      <c r="US15" s="21"/>
      <c r="UT15" s="21"/>
      <c r="UU15" s="21"/>
      <c r="UV15" s="21"/>
      <c r="UW15" s="21"/>
      <c r="UX15" s="21"/>
      <c r="UY15" s="21"/>
      <c r="UZ15" s="21"/>
      <c r="VA15" s="21"/>
      <c r="VB15" s="21"/>
      <c r="VC15" s="21"/>
      <c r="VD15" s="21"/>
      <c r="VE15" s="21"/>
      <c r="VF15" s="21"/>
      <c r="VG15" s="21"/>
      <c r="VH15" s="21"/>
      <c r="VI15" s="21"/>
      <c r="VJ15" s="21"/>
      <c r="VK15" s="21"/>
      <c r="VL15" s="21"/>
      <c r="VM15" s="21"/>
      <c r="VN15" s="21"/>
      <c r="VO15" s="21"/>
      <c r="VP15" s="21"/>
      <c r="VQ15" s="21"/>
      <c r="VR15" s="21"/>
      <c r="VS15" s="21"/>
      <c r="VT15" s="21"/>
      <c r="VU15" s="21"/>
      <c r="VV15" s="21"/>
      <c r="VW15" s="21"/>
      <c r="VX15" s="21"/>
      <c r="VY15" s="21"/>
      <c r="VZ15" s="21"/>
      <c r="WA15" s="21"/>
      <c r="WB15" s="21"/>
      <c r="WC15" s="21"/>
      <c r="WD15" s="21"/>
      <c r="WE15" s="21"/>
      <c r="WF15" s="21"/>
      <c r="WG15" s="21"/>
      <c r="WH15" s="21"/>
      <c r="WI15" s="21"/>
      <c r="WJ15" s="21"/>
      <c r="WK15" s="21"/>
      <c r="WL15" s="21"/>
      <c r="WM15" s="21"/>
      <c r="WN15" s="21"/>
      <c r="WO15" s="21"/>
      <c r="WP15" s="21"/>
      <c r="WQ15" s="21"/>
      <c r="WR15" s="21"/>
      <c r="WS15" s="21"/>
      <c r="WT15" s="21"/>
      <c r="WU15" s="21"/>
      <c r="WV15" s="21"/>
      <c r="WW15" s="21"/>
      <c r="WX15" s="21"/>
      <c r="WY15" s="21"/>
      <c r="WZ15" s="21"/>
      <c r="XA15" s="21"/>
      <c r="XB15" s="21"/>
      <c r="XC15" s="21"/>
      <c r="XD15" s="21"/>
      <c r="XE15" s="21"/>
      <c r="XF15" s="21"/>
      <c r="XG15" s="21"/>
      <c r="XH15" s="21"/>
      <c r="XI15" s="21"/>
      <c r="XJ15" s="21"/>
      <c r="XK15" s="21"/>
      <c r="XL15" s="21"/>
      <c r="XM15" s="21"/>
      <c r="XN15" s="21"/>
      <c r="XO15" s="21"/>
      <c r="XP15" s="21"/>
      <c r="XQ15" s="21"/>
      <c r="XR15" s="21"/>
      <c r="XS15" s="21"/>
      <c r="XT15" s="21"/>
      <c r="XU15" s="21"/>
      <c r="XV15" s="21"/>
      <c r="XW15" s="21"/>
      <c r="XX15" s="21"/>
      <c r="XY15" s="21"/>
      <c r="XZ15" s="21"/>
      <c r="YA15" s="21"/>
      <c r="YB15" s="21"/>
      <c r="YC15" s="21"/>
      <c r="YD15" s="21"/>
      <c r="YE15" s="21"/>
      <c r="YF15" s="21"/>
      <c r="YG15" s="21"/>
      <c r="YH15" s="21"/>
      <c r="YI15" s="21"/>
      <c r="YJ15" s="21"/>
      <c r="YK15" s="21"/>
      <c r="YL15" s="21"/>
      <c r="YM15" s="21"/>
      <c r="YN15" s="21"/>
      <c r="YO15" s="21"/>
      <c r="YP15" s="21"/>
      <c r="YQ15" s="21"/>
      <c r="YR15" s="21"/>
      <c r="YS15" s="21"/>
      <c r="YT15" s="21"/>
      <c r="YU15" s="21"/>
      <c r="YV15" s="21"/>
      <c r="YW15" s="21"/>
      <c r="YX15" s="21"/>
      <c r="YY15" s="21"/>
      <c r="YZ15" s="21"/>
      <c r="ZA15" s="21"/>
      <c r="ZB15" s="21"/>
      <c r="ZC15" s="21"/>
      <c r="ZD15" s="21"/>
      <c r="ZE15" s="21"/>
      <c r="ZF15" s="21"/>
      <c r="ZG15" s="21"/>
      <c r="ZH15" s="21"/>
      <c r="ZI15" s="21"/>
      <c r="ZJ15" s="21"/>
      <c r="ZK15" s="21"/>
      <c r="ZL15" s="21"/>
      <c r="ZM15" s="21"/>
      <c r="ZN15" s="21"/>
      <c r="ZO15" s="21"/>
      <c r="ZP15" s="21"/>
      <c r="ZQ15" s="21"/>
      <c r="ZR15" s="21"/>
      <c r="ZS15" s="21"/>
      <c r="ZT15" s="21"/>
      <c r="ZU15" s="21"/>
      <c r="ZV15" s="21"/>
      <c r="ZW15" s="21"/>
      <c r="ZX15" s="21"/>
      <c r="ZY15" s="21"/>
      <c r="ZZ15" s="21"/>
      <c r="AAA15" s="21"/>
      <c r="AAB15" s="21"/>
      <c r="AAC15" s="21"/>
      <c r="AAD15" s="21"/>
      <c r="AAE15" s="21"/>
      <c r="AAF15" s="21"/>
    </row>
    <row r="16" spans="1:708" ht="22.5" customHeight="1" x14ac:dyDescent="0.25">
      <c r="A16" s="136"/>
      <c r="B16" s="136"/>
      <c r="C16" s="136"/>
      <c r="D16" s="136"/>
      <c r="E16" s="136"/>
      <c r="F16" s="136"/>
      <c r="G16" s="136"/>
      <c r="H16" s="136"/>
      <c r="I16" s="136"/>
      <c r="J16" s="136"/>
      <c r="K16" s="136"/>
      <c r="L16" s="136"/>
      <c r="M16" s="136"/>
      <c r="N16" s="136"/>
      <c r="O16" s="136"/>
      <c r="P16" s="136"/>
      <c r="Q16" s="136"/>
      <c r="R16" s="136"/>
      <c r="S16" s="136"/>
      <c r="T16" s="136"/>
      <c r="U16" s="136"/>
      <c r="V16" s="138"/>
      <c r="W16" s="138"/>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row>
    <row r="17" spans="1:48" ht="22.5" customHeight="1" x14ac:dyDescent="0.25">
      <c r="A17" s="136"/>
      <c r="B17" s="136"/>
      <c r="C17" s="136"/>
      <c r="D17" s="136"/>
      <c r="E17" s="136"/>
      <c r="F17" s="136"/>
      <c r="G17" s="136"/>
      <c r="H17" s="136"/>
      <c r="I17" s="136"/>
      <c r="J17" s="136"/>
      <c r="K17" s="136"/>
      <c r="L17" s="136"/>
      <c r="M17" s="136"/>
      <c r="N17" s="136"/>
      <c r="O17" s="136"/>
      <c r="P17" s="136"/>
      <c r="Q17" s="136"/>
      <c r="R17" s="136"/>
      <c r="S17" s="136"/>
      <c r="T17" s="136"/>
      <c r="U17" s="136"/>
      <c r="V17" s="138"/>
      <c r="W17" s="138"/>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row>
    <row r="18" spans="1:48" s="21" customFormat="1" ht="22.5" customHeight="1" x14ac:dyDescent="0.25">
      <c r="V18" s="141"/>
      <c r="W18" s="141"/>
    </row>
    <row r="19" spans="1:48" s="21" customFormat="1" ht="22.5" customHeight="1" x14ac:dyDescent="0.25">
      <c r="V19" s="141"/>
      <c r="W19" s="141"/>
    </row>
    <row r="20" spans="1:48" s="21" customFormat="1" ht="22.5" customHeight="1" x14ac:dyDescent="0.25">
      <c r="V20" s="141"/>
      <c r="W20" s="141"/>
    </row>
    <row r="21" spans="1:48" s="21" customFormat="1" ht="22.5" customHeight="1" x14ac:dyDescent="0.25">
      <c r="V21" s="141"/>
      <c r="W21" s="141"/>
    </row>
    <row r="22" spans="1:48" s="21" customFormat="1" ht="22.5" customHeight="1" x14ac:dyDescent="0.25">
      <c r="V22" s="141"/>
      <c r="W22" s="141"/>
    </row>
    <row r="23" spans="1:48" s="21" customFormat="1" ht="22.5" customHeight="1" x14ac:dyDescent="0.25">
      <c r="V23" s="141"/>
      <c r="W23" s="141"/>
    </row>
    <row r="24" spans="1:48" s="21" customFormat="1" ht="22.5" customHeight="1" x14ac:dyDescent="0.25">
      <c r="V24" s="141"/>
      <c r="W24" s="141"/>
    </row>
    <row r="25" spans="1:48" s="21" customFormat="1" ht="22.5" customHeight="1" x14ac:dyDescent="0.25">
      <c r="V25" s="141"/>
      <c r="W25" s="141"/>
    </row>
    <row r="26" spans="1:48" s="21" customFormat="1" ht="22.5" customHeight="1" x14ac:dyDescent="0.25">
      <c r="V26" s="141"/>
      <c r="W26" s="141"/>
    </row>
    <row r="27" spans="1:48" s="21" customFormat="1" ht="22.5" customHeight="1" x14ac:dyDescent="0.25">
      <c r="V27" s="141"/>
      <c r="W27" s="141"/>
    </row>
    <row r="28" spans="1:48" s="21" customFormat="1" ht="22.5" customHeight="1" x14ac:dyDescent="0.25">
      <c r="V28" s="141"/>
      <c r="W28" s="141"/>
    </row>
    <row r="29" spans="1:48" s="21" customFormat="1" ht="22.5" customHeight="1" x14ac:dyDescent="0.25">
      <c r="V29" s="141"/>
      <c r="W29" s="141"/>
    </row>
    <row r="30" spans="1:48" s="21" customFormat="1" ht="22.5" customHeight="1" x14ac:dyDescent="0.25">
      <c r="V30" s="141"/>
      <c r="W30" s="141"/>
    </row>
    <row r="31" spans="1:48" s="21" customFormat="1" ht="22.5" customHeight="1" x14ac:dyDescent="0.25">
      <c r="V31" s="141"/>
      <c r="W31" s="141"/>
    </row>
    <row r="32" spans="1:48" s="21" customFormat="1" ht="22.5" customHeight="1" x14ac:dyDescent="0.25">
      <c r="V32" s="141"/>
      <c r="W32" s="141"/>
    </row>
    <row r="33" spans="22:23" s="21" customFormat="1" ht="22.5" customHeight="1" x14ac:dyDescent="0.25">
      <c r="V33" s="141"/>
      <c r="W33" s="141"/>
    </row>
    <row r="34" spans="22:23" s="21" customFormat="1" ht="22.5" customHeight="1" x14ac:dyDescent="0.25">
      <c r="V34" s="141"/>
      <c r="W34" s="141"/>
    </row>
    <row r="35" spans="22:23" s="21" customFormat="1" ht="22.5" customHeight="1" x14ac:dyDescent="0.25">
      <c r="V35" s="141"/>
      <c r="W35" s="141"/>
    </row>
    <row r="36" spans="22:23" s="21" customFormat="1" ht="22.5" customHeight="1" x14ac:dyDescent="0.25">
      <c r="V36" s="141"/>
      <c r="W36" s="141"/>
    </row>
    <row r="37" spans="22:23" s="21" customFormat="1" ht="22.5" customHeight="1" x14ac:dyDescent="0.25">
      <c r="V37" s="141"/>
      <c r="W37" s="141"/>
    </row>
    <row r="38" spans="22:23" s="21" customFormat="1" ht="22.5" customHeight="1" x14ac:dyDescent="0.25">
      <c r="V38" s="141"/>
      <c r="W38" s="141"/>
    </row>
    <row r="39" spans="22:23" s="21" customFormat="1" ht="22.5" customHeight="1" x14ac:dyDescent="0.25">
      <c r="V39" s="141"/>
      <c r="W39" s="141"/>
    </row>
    <row r="40" spans="22:23" s="21" customFormat="1" ht="22.5" customHeight="1" x14ac:dyDescent="0.25">
      <c r="V40" s="141"/>
      <c r="W40" s="141"/>
    </row>
    <row r="41" spans="22:23" s="21" customFormat="1" ht="22.5" customHeight="1" x14ac:dyDescent="0.25">
      <c r="V41" s="141"/>
      <c r="W41" s="141"/>
    </row>
    <row r="42" spans="22:23" s="21" customFormat="1" ht="22.5" customHeight="1" x14ac:dyDescent="0.25">
      <c r="V42" s="141"/>
      <c r="W42" s="141"/>
    </row>
    <row r="43" spans="22:23" s="21" customFormat="1" ht="22.5" customHeight="1" x14ac:dyDescent="0.25">
      <c r="V43" s="141"/>
      <c r="W43" s="141"/>
    </row>
    <row r="44" spans="22:23" s="21" customFormat="1" ht="22.5" customHeight="1" x14ac:dyDescent="0.25">
      <c r="V44" s="141"/>
      <c r="W44" s="141"/>
    </row>
    <row r="45" spans="22:23" s="21" customFormat="1" ht="22.5" customHeight="1" x14ac:dyDescent="0.25">
      <c r="V45" s="141"/>
      <c r="W45" s="141"/>
    </row>
    <row r="46" spans="22:23" s="21" customFormat="1" ht="22.5" customHeight="1" x14ac:dyDescent="0.25">
      <c r="V46" s="141"/>
      <c r="W46" s="141"/>
    </row>
    <row r="47" spans="22:23" s="21" customFormat="1" ht="22.5" customHeight="1" x14ac:dyDescent="0.25">
      <c r="V47" s="141"/>
      <c r="W47" s="141"/>
    </row>
    <row r="48" spans="22:23" s="21" customFormat="1" ht="22.5" customHeight="1" x14ac:dyDescent="0.25">
      <c r="V48" s="141"/>
      <c r="W48" s="141"/>
    </row>
    <row r="49" spans="22:23" s="21" customFormat="1" ht="22.5" customHeight="1" x14ac:dyDescent="0.25">
      <c r="V49" s="141"/>
      <c r="W49" s="141"/>
    </row>
    <row r="50" spans="22:23" s="21" customFormat="1" ht="22.5" customHeight="1" x14ac:dyDescent="0.25">
      <c r="V50" s="141"/>
      <c r="W50" s="141"/>
    </row>
    <row r="51" spans="22:23" s="21" customFormat="1" ht="22.5" customHeight="1" x14ac:dyDescent="0.25">
      <c r="V51" s="141"/>
      <c r="W51" s="141"/>
    </row>
    <row r="52" spans="22:23" s="21" customFormat="1" ht="22.5" customHeight="1" x14ac:dyDescent="0.25">
      <c r="V52" s="141"/>
      <c r="W52" s="141"/>
    </row>
    <row r="53" spans="22:23" s="21" customFormat="1" ht="22.5" customHeight="1" x14ac:dyDescent="0.25">
      <c r="V53" s="141"/>
      <c r="W53" s="141"/>
    </row>
    <row r="54" spans="22:23" s="21" customFormat="1" ht="22.5" customHeight="1" x14ac:dyDescent="0.25">
      <c r="V54" s="141"/>
      <c r="W54" s="141"/>
    </row>
    <row r="55" spans="22:23" s="21" customFormat="1" ht="22.5" customHeight="1" x14ac:dyDescent="0.25">
      <c r="V55" s="141"/>
      <c r="W55" s="141"/>
    </row>
    <row r="56" spans="22:23" s="21" customFormat="1" ht="22.5" customHeight="1" x14ac:dyDescent="0.25">
      <c r="V56" s="141"/>
      <c r="W56" s="141"/>
    </row>
    <row r="57" spans="22:23" s="21" customFormat="1" ht="22.5" customHeight="1" x14ac:dyDescent="0.25">
      <c r="V57" s="141"/>
      <c r="W57" s="141"/>
    </row>
    <row r="58" spans="22:23" s="21" customFormat="1" ht="22.5" customHeight="1" x14ac:dyDescent="0.25">
      <c r="V58" s="141"/>
      <c r="W58" s="141"/>
    </row>
    <row r="59" spans="22:23" s="21" customFormat="1" ht="22.5" customHeight="1" x14ac:dyDescent="0.25">
      <c r="V59" s="141"/>
      <c r="W59" s="141"/>
    </row>
    <row r="60" spans="22:23" s="21" customFormat="1" ht="22.5" customHeight="1" x14ac:dyDescent="0.25">
      <c r="V60" s="141"/>
      <c r="W60" s="141"/>
    </row>
    <row r="61" spans="22:23" s="21" customFormat="1" ht="22.5" customHeight="1" x14ac:dyDescent="0.25">
      <c r="V61" s="141"/>
      <c r="W61" s="141"/>
    </row>
    <row r="62" spans="22:23" s="21" customFormat="1" ht="22.5" customHeight="1" x14ac:dyDescent="0.25">
      <c r="V62" s="141"/>
      <c r="W62" s="141"/>
    </row>
    <row r="63" spans="22:23" s="21" customFormat="1" ht="22.5" customHeight="1" x14ac:dyDescent="0.25">
      <c r="V63" s="141"/>
      <c r="W63" s="141"/>
    </row>
    <row r="64" spans="22:23" s="21" customFormat="1" ht="22.5" customHeight="1" x14ac:dyDescent="0.25">
      <c r="V64" s="141"/>
      <c r="W64" s="141"/>
    </row>
    <row r="65" spans="22:23" s="21" customFormat="1" ht="22.5" customHeight="1" x14ac:dyDescent="0.25">
      <c r="V65" s="141"/>
      <c r="W65" s="141"/>
    </row>
    <row r="66" spans="22:23" s="21" customFormat="1" ht="22.5" customHeight="1" x14ac:dyDescent="0.25">
      <c r="V66" s="141"/>
      <c r="W66" s="141"/>
    </row>
    <row r="67" spans="22:23" s="21" customFormat="1" ht="22.5" customHeight="1" x14ac:dyDescent="0.25">
      <c r="V67" s="141"/>
      <c r="W67" s="141"/>
    </row>
    <row r="68" spans="22:23" s="21" customFormat="1" ht="22.5" customHeight="1" x14ac:dyDescent="0.25">
      <c r="V68" s="141"/>
      <c r="W68" s="141"/>
    </row>
    <row r="69" spans="22:23" s="21" customFormat="1" ht="22.5" customHeight="1" x14ac:dyDescent="0.25">
      <c r="V69" s="141"/>
      <c r="W69" s="141"/>
    </row>
    <row r="70" spans="22:23" s="21" customFormat="1" ht="22.5" customHeight="1" x14ac:dyDescent="0.25">
      <c r="V70" s="141"/>
      <c r="W70" s="141"/>
    </row>
    <row r="71" spans="22:23" s="21" customFormat="1" ht="22.5" customHeight="1" x14ac:dyDescent="0.25">
      <c r="V71" s="141"/>
      <c r="W71" s="141"/>
    </row>
    <row r="72" spans="22:23" s="21" customFormat="1" ht="22.5" customHeight="1" x14ac:dyDescent="0.25">
      <c r="V72" s="141"/>
      <c r="W72" s="141"/>
    </row>
    <row r="73" spans="22:23" s="21" customFormat="1" ht="22.5" customHeight="1" x14ac:dyDescent="0.25">
      <c r="V73" s="141"/>
      <c r="W73" s="141"/>
    </row>
    <row r="74" spans="22:23" s="21" customFormat="1" ht="22.5" customHeight="1" x14ac:dyDescent="0.25">
      <c r="V74" s="141"/>
      <c r="W74" s="141"/>
    </row>
    <row r="75" spans="22:23" s="21" customFormat="1" ht="22.5" customHeight="1" x14ac:dyDescent="0.25">
      <c r="V75" s="141"/>
      <c r="W75" s="141"/>
    </row>
    <row r="76" spans="22:23" s="21" customFormat="1" ht="22.5" customHeight="1" x14ac:dyDescent="0.25">
      <c r="V76" s="141"/>
      <c r="W76" s="141"/>
    </row>
    <row r="77" spans="22:23" s="21" customFormat="1" ht="22.5" customHeight="1" x14ac:dyDescent="0.25">
      <c r="V77" s="141"/>
      <c r="W77" s="141"/>
    </row>
    <row r="78" spans="22:23" s="21" customFormat="1" ht="22.5" customHeight="1" x14ac:dyDescent="0.25">
      <c r="V78" s="141"/>
      <c r="W78" s="141"/>
    </row>
    <row r="79" spans="22:23" s="21" customFormat="1" ht="22.5" customHeight="1" x14ac:dyDescent="0.25">
      <c r="V79" s="141"/>
      <c r="W79" s="141"/>
    </row>
    <row r="80" spans="22:23" s="21" customFormat="1" ht="22.5" customHeight="1" x14ac:dyDescent="0.25">
      <c r="V80" s="141"/>
      <c r="W80" s="141"/>
    </row>
    <row r="81" spans="22:23" s="21" customFormat="1" ht="22.5" customHeight="1" x14ac:dyDescent="0.25">
      <c r="V81" s="141"/>
      <c r="W81" s="141"/>
    </row>
    <row r="82" spans="22:23" s="21" customFormat="1" ht="22.5" customHeight="1" x14ac:dyDescent="0.25">
      <c r="V82" s="141"/>
      <c r="W82" s="141"/>
    </row>
    <row r="83" spans="22:23" s="21" customFormat="1" ht="22.5" customHeight="1" x14ac:dyDescent="0.25">
      <c r="V83" s="141"/>
      <c r="W83" s="141"/>
    </row>
    <row r="84" spans="22:23" s="21" customFormat="1" ht="22.5" customHeight="1" x14ac:dyDescent="0.25">
      <c r="V84" s="141"/>
      <c r="W84" s="141"/>
    </row>
    <row r="85" spans="22:23" s="21" customFormat="1" ht="22.5" customHeight="1" x14ac:dyDescent="0.25">
      <c r="V85" s="141"/>
      <c r="W85" s="141"/>
    </row>
    <row r="86" spans="22:23" s="21" customFormat="1" ht="22.5" customHeight="1" x14ac:dyDescent="0.25">
      <c r="V86" s="141"/>
      <c r="W86" s="141"/>
    </row>
    <row r="87" spans="22:23" s="21" customFormat="1" ht="22.5" customHeight="1" x14ac:dyDescent="0.25">
      <c r="V87" s="141"/>
      <c r="W87" s="141"/>
    </row>
    <row r="88" spans="22:23" s="21" customFormat="1" ht="22.5" customHeight="1" x14ac:dyDescent="0.25">
      <c r="V88" s="141"/>
      <c r="W88" s="141"/>
    </row>
    <row r="89" spans="22:23" s="21" customFormat="1" ht="22.5" customHeight="1" x14ac:dyDescent="0.25">
      <c r="V89" s="141"/>
      <c r="W89" s="141"/>
    </row>
    <row r="90" spans="22:23" s="21" customFormat="1" ht="22.5" customHeight="1" x14ac:dyDescent="0.25">
      <c r="V90" s="141"/>
      <c r="W90" s="141"/>
    </row>
    <row r="91" spans="22:23" s="21" customFormat="1" ht="22.5" customHeight="1" x14ac:dyDescent="0.25">
      <c r="V91" s="141"/>
      <c r="W91" s="141"/>
    </row>
    <row r="92" spans="22:23" s="21" customFormat="1" ht="22.5" customHeight="1" x14ac:dyDescent="0.25">
      <c r="V92" s="141"/>
      <c r="W92" s="141"/>
    </row>
    <row r="93" spans="22:23" s="21" customFormat="1" ht="22.5" customHeight="1" x14ac:dyDescent="0.25">
      <c r="V93" s="141"/>
      <c r="W93" s="141"/>
    </row>
    <row r="94" spans="22:23" s="21" customFormat="1" ht="22.5" customHeight="1" x14ac:dyDescent="0.25">
      <c r="V94" s="141"/>
      <c r="W94" s="141"/>
    </row>
    <row r="95" spans="22:23" s="21" customFormat="1" ht="22.5" customHeight="1" x14ac:dyDescent="0.25">
      <c r="V95" s="141"/>
      <c r="W95" s="141"/>
    </row>
    <row r="96" spans="22:23" s="21" customFormat="1" ht="22.5" customHeight="1" x14ac:dyDescent="0.25">
      <c r="V96" s="141"/>
      <c r="W96" s="141"/>
    </row>
    <row r="97" spans="22:23" s="21" customFormat="1" ht="22.5" customHeight="1" x14ac:dyDescent="0.25">
      <c r="V97" s="141"/>
      <c r="W97" s="141"/>
    </row>
    <row r="98" spans="22:23" s="21" customFormat="1" ht="22.5" customHeight="1" x14ac:dyDescent="0.25">
      <c r="V98" s="141"/>
      <c r="W98" s="141"/>
    </row>
    <row r="99" spans="22:23" s="21" customFormat="1" ht="22.5" customHeight="1" x14ac:dyDescent="0.25">
      <c r="V99" s="141"/>
      <c r="W99" s="141"/>
    </row>
    <row r="100" spans="22:23" s="21" customFormat="1" ht="22.5" customHeight="1" x14ac:dyDescent="0.25">
      <c r="V100" s="141"/>
      <c r="W100" s="141"/>
    </row>
    <row r="101" spans="22:23" s="21" customFormat="1" ht="22.5" customHeight="1" x14ac:dyDescent="0.25">
      <c r="V101" s="141"/>
      <c r="W101" s="141"/>
    </row>
    <row r="102" spans="22:23" s="21" customFormat="1" ht="22.5" customHeight="1" x14ac:dyDescent="0.25">
      <c r="V102" s="141"/>
      <c r="W102" s="141"/>
    </row>
    <row r="103" spans="22:23" s="21" customFormat="1" ht="22.5" customHeight="1" x14ac:dyDescent="0.25">
      <c r="V103" s="141"/>
      <c r="W103" s="141"/>
    </row>
    <row r="104" spans="22:23" s="21" customFormat="1" ht="22.5" customHeight="1" x14ac:dyDescent="0.25">
      <c r="V104" s="141"/>
      <c r="W104" s="141"/>
    </row>
    <row r="105" spans="22:23" s="21" customFormat="1" ht="22.5" customHeight="1" x14ac:dyDescent="0.25">
      <c r="V105" s="141"/>
      <c r="W105" s="141"/>
    </row>
    <row r="106" spans="22:23" s="21" customFormat="1" ht="22.5" customHeight="1" x14ac:dyDescent="0.25">
      <c r="V106" s="141"/>
      <c r="W106" s="141"/>
    </row>
    <row r="107" spans="22:23" s="21" customFormat="1" ht="22.5" customHeight="1" x14ac:dyDescent="0.25">
      <c r="V107" s="141"/>
      <c r="W107" s="141"/>
    </row>
    <row r="108" spans="22:23" s="21" customFormat="1" ht="22.5" customHeight="1" x14ac:dyDescent="0.25">
      <c r="V108" s="141"/>
      <c r="W108" s="141"/>
    </row>
    <row r="109" spans="22:23" s="21" customFormat="1" ht="22.5" customHeight="1" x14ac:dyDescent="0.25">
      <c r="V109" s="141"/>
      <c r="W109" s="141"/>
    </row>
    <row r="110" spans="22:23" s="21" customFormat="1" ht="22.5" customHeight="1" x14ac:dyDescent="0.25">
      <c r="V110" s="141"/>
      <c r="W110" s="141"/>
    </row>
    <row r="111" spans="22:23" s="21" customFormat="1" ht="22.5" customHeight="1" x14ac:dyDescent="0.25">
      <c r="V111" s="141"/>
      <c r="W111" s="141"/>
    </row>
    <row r="112" spans="22:23" s="21" customFormat="1" ht="22.5" customHeight="1" x14ac:dyDescent="0.25">
      <c r="V112" s="141"/>
      <c r="W112" s="141"/>
    </row>
    <row r="113" spans="22:23" s="21" customFormat="1" ht="22.5" customHeight="1" x14ac:dyDescent="0.25">
      <c r="V113" s="141"/>
      <c r="W113" s="141"/>
    </row>
    <row r="114" spans="22:23" s="21" customFormat="1" ht="22.5" customHeight="1" x14ac:dyDescent="0.25">
      <c r="V114" s="141"/>
      <c r="W114" s="141"/>
    </row>
    <row r="115" spans="22:23" s="21" customFormat="1" ht="22.5" customHeight="1" x14ac:dyDescent="0.25">
      <c r="V115" s="141"/>
      <c r="W115" s="141"/>
    </row>
    <row r="116" spans="22:23" s="21" customFormat="1" ht="22.5" customHeight="1" x14ac:dyDescent="0.25">
      <c r="V116" s="141"/>
      <c r="W116" s="141"/>
    </row>
    <row r="117" spans="22:23" s="21" customFormat="1" ht="22.5" customHeight="1" x14ac:dyDescent="0.25">
      <c r="V117" s="141"/>
      <c r="W117" s="141"/>
    </row>
    <row r="118" spans="22:23" s="21" customFormat="1" ht="22.5" customHeight="1" x14ac:dyDescent="0.25">
      <c r="V118" s="141"/>
      <c r="W118" s="141"/>
    </row>
    <row r="119" spans="22:23" s="21" customFormat="1" ht="22.5" customHeight="1" x14ac:dyDescent="0.25">
      <c r="V119" s="141"/>
      <c r="W119" s="141"/>
    </row>
    <row r="120" spans="22:23" s="21" customFormat="1" ht="22.5" customHeight="1" x14ac:dyDescent="0.25">
      <c r="V120" s="141"/>
      <c r="W120" s="141"/>
    </row>
    <row r="121" spans="22:23" s="21" customFormat="1" ht="22.5" customHeight="1" x14ac:dyDescent="0.25">
      <c r="V121" s="141"/>
      <c r="W121" s="141"/>
    </row>
    <row r="122" spans="22:23" s="21" customFormat="1" ht="22.5" customHeight="1" x14ac:dyDescent="0.25">
      <c r="V122" s="141"/>
      <c r="W122" s="141"/>
    </row>
    <row r="123" spans="22:23" s="21" customFormat="1" ht="22.5" customHeight="1" x14ac:dyDescent="0.25">
      <c r="V123" s="141"/>
      <c r="W123" s="141"/>
    </row>
    <row r="124" spans="22:23" s="21" customFormat="1" ht="22.5" customHeight="1" x14ac:dyDescent="0.25">
      <c r="V124" s="141"/>
      <c r="W124" s="141"/>
    </row>
    <row r="125" spans="22:23" s="21" customFormat="1" ht="22.5" customHeight="1" x14ac:dyDescent="0.25">
      <c r="V125" s="141"/>
      <c r="W125" s="141"/>
    </row>
    <row r="126" spans="22:23" s="21" customFormat="1" ht="22.5" customHeight="1" x14ac:dyDescent="0.25">
      <c r="V126" s="141"/>
      <c r="W126" s="141"/>
    </row>
    <row r="127" spans="22:23" s="21" customFormat="1" ht="22.5" customHeight="1" x14ac:dyDescent="0.25">
      <c r="V127" s="141"/>
      <c r="W127" s="141"/>
    </row>
    <row r="128" spans="22:23" s="21" customFormat="1" ht="22.5" customHeight="1" x14ac:dyDescent="0.25">
      <c r="V128" s="141"/>
      <c r="W128" s="141"/>
    </row>
    <row r="129" spans="22:23" s="21" customFormat="1" ht="22.5" customHeight="1" x14ac:dyDescent="0.25">
      <c r="V129" s="141"/>
      <c r="W129" s="141"/>
    </row>
    <row r="130" spans="22:23" s="21" customFormat="1" ht="22.5" customHeight="1" x14ac:dyDescent="0.25">
      <c r="V130" s="141"/>
      <c r="W130" s="141"/>
    </row>
    <row r="131" spans="22:23" s="21" customFormat="1" ht="22.5" customHeight="1" x14ac:dyDescent="0.25">
      <c r="V131" s="141"/>
      <c r="W131" s="141"/>
    </row>
    <row r="132" spans="22:23" s="21" customFormat="1" ht="22.5" customHeight="1" x14ac:dyDescent="0.25">
      <c r="V132" s="141"/>
      <c r="W132" s="141"/>
    </row>
    <row r="133" spans="22:23" s="21" customFormat="1" ht="22.5" customHeight="1" x14ac:dyDescent="0.25">
      <c r="V133" s="141"/>
      <c r="W133" s="141"/>
    </row>
    <row r="134" spans="22:23" s="21" customFormat="1" ht="22.5" customHeight="1" x14ac:dyDescent="0.25">
      <c r="V134" s="141"/>
      <c r="W134" s="141"/>
    </row>
    <row r="135" spans="22:23" s="21" customFormat="1" ht="22.5" customHeight="1" x14ac:dyDescent="0.25">
      <c r="V135" s="141"/>
      <c r="W135" s="141"/>
    </row>
    <row r="136" spans="22:23" s="21" customFormat="1" ht="22.5" customHeight="1" x14ac:dyDescent="0.25">
      <c r="V136" s="141"/>
      <c r="W136" s="141"/>
    </row>
    <row r="137" spans="22:23" s="21" customFormat="1" ht="22.5" customHeight="1" x14ac:dyDescent="0.25">
      <c r="V137" s="141"/>
      <c r="W137" s="141"/>
    </row>
    <row r="138" spans="22:23" s="21" customFormat="1" ht="22.5" customHeight="1" x14ac:dyDescent="0.25">
      <c r="V138" s="141"/>
      <c r="W138" s="141"/>
    </row>
    <row r="139" spans="22:23" s="21" customFormat="1" ht="22.5" customHeight="1" x14ac:dyDescent="0.25">
      <c r="V139" s="141"/>
      <c r="W139" s="141"/>
    </row>
    <row r="140" spans="22:23" s="21" customFormat="1" ht="22.5" customHeight="1" x14ac:dyDescent="0.25">
      <c r="V140" s="141"/>
      <c r="W140" s="141"/>
    </row>
    <row r="141" spans="22:23" s="21" customFormat="1" ht="22.5" customHeight="1" x14ac:dyDescent="0.25">
      <c r="V141" s="141"/>
      <c r="W141" s="141"/>
    </row>
    <row r="142" spans="22:23" s="21" customFormat="1" ht="22.5" customHeight="1" x14ac:dyDescent="0.25">
      <c r="V142" s="141"/>
      <c r="W142" s="141"/>
    </row>
    <row r="143" spans="22:23" s="21" customFormat="1" ht="22.5" customHeight="1" x14ac:dyDescent="0.25">
      <c r="V143" s="141"/>
      <c r="W143" s="141"/>
    </row>
    <row r="144" spans="22:23" s="21" customFormat="1" ht="22.5" customHeight="1" x14ac:dyDescent="0.25">
      <c r="V144" s="141"/>
      <c r="W144" s="141"/>
    </row>
    <row r="145" spans="22:23" s="21" customFormat="1" ht="22.5" customHeight="1" x14ac:dyDescent="0.25">
      <c r="V145" s="141"/>
      <c r="W145" s="141"/>
    </row>
    <row r="146" spans="22:23" s="21" customFormat="1" ht="22.5" customHeight="1" x14ac:dyDescent="0.25">
      <c r="V146" s="141"/>
      <c r="W146" s="141"/>
    </row>
    <row r="147" spans="22:23" s="21" customFormat="1" ht="22.5" customHeight="1" x14ac:dyDescent="0.25">
      <c r="V147" s="141"/>
      <c r="W147" s="141"/>
    </row>
    <row r="148" spans="22:23" s="21" customFormat="1" ht="22.5" customHeight="1" x14ac:dyDescent="0.25">
      <c r="V148" s="141"/>
      <c r="W148" s="141"/>
    </row>
    <row r="149" spans="22:23" s="21" customFormat="1" ht="22.5" customHeight="1" x14ac:dyDescent="0.25">
      <c r="V149" s="141"/>
      <c r="W149" s="141"/>
    </row>
    <row r="150" spans="22:23" s="21" customFormat="1" ht="22.5" customHeight="1" x14ac:dyDescent="0.25">
      <c r="V150" s="141"/>
      <c r="W150" s="141"/>
    </row>
    <row r="151" spans="22:23" s="21" customFormat="1" ht="22.5" customHeight="1" x14ac:dyDescent="0.25">
      <c r="V151" s="141"/>
      <c r="W151" s="141"/>
    </row>
    <row r="152" spans="22:23" s="21" customFormat="1" ht="22.5" customHeight="1" x14ac:dyDescent="0.25">
      <c r="V152" s="141"/>
      <c r="W152" s="141"/>
    </row>
    <row r="153" spans="22:23" s="21" customFormat="1" ht="22.5" customHeight="1" x14ac:dyDescent="0.25">
      <c r="V153" s="141"/>
      <c r="W153" s="141"/>
    </row>
    <row r="154" spans="22:23" s="21" customFormat="1" ht="22.5" customHeight="1" x14ac:dyDescent="0.25">
      <c r="V154" s="141"/>
      <c r="W154" s="141"/>
    </row>
    <row r="155" spans="22:23" s="21" customFormat="1" ht="22.5" customHeight="1" x14ac:dyDescent="0.25">
      <c r="V155" s="141"/>
      <c r="W155" s="141"/>
    </row>
    <row r="156" spans="22:23" s="21" customFormat="1" ht="22.5" customHeight="1" x14ac:dyDescent="0.25">
      <c r="V156" s="141"/>
      <c r="W156" s="141"/>
    </row>
    <row r="157" spans="22:23" s="21" customFormat="1" ht="22.5" customHeight="1" x14ac:dyDescent="0.25">
      <c r="V157" s="141"/>
      <c r="W157" s="141"/>
    </row>
    <row r="158" spans="22:23" s="21" customFormat="1" ht="22.5" customHeight="1" x14ac:dyDescent="0.25">
      <c r="V158" s="141"/>
      <c r="W158" s="141"/>
    </row>
    <row r="159" spans="22:23" s="21" customFormat="1" ht="22.5" customHeight="1" x14ac:dyDescent="0.25">
      <c r="V159" s="141"/>
      <c r="W159" s="141"/>
    </row>
    <row r="160" spans="22:23" s="21" customFormat="1" ht="22.5" customHeight="1" x14ac:dyDescent="0.25">
      <c r="V160" s="141"/>
      <c r="W160" s="141"/>
    </row>
    <row r="161" spans="22:23" s="21" customFormat="1" ht="22.5" customHeight="1" x14ac:dyDescent="0.25">
      <c r="V161" s="141"/>
      <c r="W161" s="141"/>
    </row>
    <row r="162" spans="22:23" s="21" customFormat="1" ht="22.5" customHeight="1" x14ac:dyDescent="0.25">
      <c r="V162" s="141"/>
      <c r="W162" s="141"/>
    </row>
    <row r="163" spans="22:23" s="21" customFormat="1" ht="22.5" customHeight="1" x14ac:dyDescent="0.25">
      <c r="V163" s="141"/>
      <c r="W163" s="141"/>
    </row>
    <row r="164" spans="22:23" s="21" customFormat="1" ht="22.5" customHeight="1" x14ac:dyDescent="0.25">
      <c r="V164" s="141"/>
      <c r="W164" s="141"/>
    </row>
    <row r="165" spans="22:23" s="21" customFormat="1" ht="22.5" customHeight="1" x14ac:dyDescent="0.25">
      <c r="V165" s="141"/>
      <c r="W165" s="141"/>
    </row>
    <row r="166" spans="22:23" s="21" customFormat="1" ht="22.5" customHeight="1" x14ac:dyDescent="0.25">
      <c r="V166" s="141"/>
      <c r="W166" s="141"/>
    </row>
    <row r="167" spans="22:23" s="21" customFormat="1" ht="22.5" customHeight="1" x14ac:dyDescent="0.25">
      <c r="V167" s="141"/>
      <c r="W167" s="141"/>
    </row>
    <row r="168" spans="22:23" s="21" customFormat="1" ht="22.5" customHeight="1" x14ac:dyDescent="0.25">
      <c r="V168" s="141"/>
      <c r="W168" s="141"/>
    </row>
    <row r="169" spans="22:23" s="21" customFormat="1" ht="22.5" customHeight="1" x14ac:dyDescent="0.25">
      <c r="V169" s="141"/>
      <c r="W169" s="141"/>
    </row>
    <row r="170" spans="22:23" s="21" customFormat="1" ht="22.5" customHeight="1" x14ac:dyDescent="0.25">
      <c r="V170" s="141"/>
      <c r="W170" s="141"/>
    </row>
    <row r="171" spans="22:23" s="21" customFormat="1" ht="22.5" customHeight="1" x14ac:dyDescent="0.25">
      <c r="V171" s="141"/>
      <c r="W171" s="141"/>
    </row>
    <row r="172" spans="22:23" s="21" customFormat="1" ht="22.5" customHeight="1" x14ac:dyDescent="0.25">
      <c r="V172" s="141"/>
      <c r="W172" s="141"/>
    </row>
    <row r="173" spans="22:23" s="21" customFormat="1" ht="22.5" customHeight="1" x14ac:dyDescent="0.25">
      <c r="V173" s="141"/>
      <c r="W173" s="141"/>
    </row>
    <row r="174" spans="22:23" s="21" customFormat="1" ht="22.5" customHeight="1" x14ac:dyDescent="0.25">
      <c r="V174" s="141"/>
      <c r="W174" s="141"/>
    </row>
    <row r="175" spans="22:23" s="21" customFormat="1" ht="22.5" customHeight="1" x14ac:dyDescent="0.25">
      <c r="V175" s="141"/>
      <c r="W175" s="141"/>
    </row>
    <row r="176" spans="22:23" s="21" customFormat="1" ht="22.5" customHeight="1" x14ac:dyDescent="0.25">
      <c r="V176" s="141"/>
      <c r="W176" s="141"/>
    </row>
    <row r="177" spans="22:23" s="21" customFormat="1" ht="22.5" customHeight="1" x14ac:dyDescent="0.25">
      <c r="V177" s="141"/>
      <c r="W177" s="141"/>
    </row>
    <row r="178" spans="22:23" s="21" customFormat="1" ht="22.5" customHeight="1" x14ac:dyDescent="0.25">
      <c r="V178" s="141"/>
      <c r="W178" s="141"/>
    </row>
    <row r="179" spans="22:23" s="21" customFormat="1" ht="22.5" customHeight="1" x14ac:dyDescent="0.25">
      <c r="V179" s="141"/>
      <c r="W179" s="141"/>
    </row>
    <row r="180" spans="22:23" s="21" customFormat="1" ht="22.5" customHeight="1" x14ac:dyDescent="0.25">
      <c r="V180" s="141"/>
      <c r="W180" s="141"/>
    </row>
    <row r="181" spans="22:23" s="21" customFormat="1" ht="22.5" customHeight="1" x14ac:dyDescent="0.25">
      <c r="V181" s="141"/>
      <c r="W181" s="141"/>
    </row>
    <row r="182" spans="22:23" s="21" customFormat="1" ht="22.5" customHeight="1" x14ac:dyDescent="0.25">
      <c r="V182" s="141"/>
      <c r="W182" s="141"/>
    </row>
    <row r="183" spans="22:23" s="21" customFormat="1" ht="22.5" customHeight="1" x14ac:dyDescent="0.25">
      <c r="V183" s="141"/>
      <c r="W183" s="141"/>
    </row>
    <row r="184" spans="22:23" s="21" customFormat="1" ht="22.5" customHeight="1" x14ac:dyDescent="0.25">
      <c r="V184" s="141"/>
      <c r="W184" s="141"/>
    </row>
    <row r="185" spans="22:23" s="21" customFormat="1" ht="22.5" customHeight="1" x14ac:dyDescent="0.25">
      <c r="V185" s="141"/>
      <c r="W185" s="141"/>
    </row>
    <row r="186" spans="22:23" s="21" customFormat="1" ht="22.5" customHeight="1" x14ac:dyDescent="0.25">
      <c r="V186" s="141"/>
      <c r="W186" s="141"/>
    </row>
    <row r="187" spans="22:23" s="21" customFormat="1" ht="22.5" customHeight="1" x14ac:dyDescent="0.25">
      <c r="V187" s="141"/>
      <c r="W187" s="141"/>
    </row>
    <row r="188" spans="22:23" s="21" customFormat="1" ht="22.5" customHeight="1" x14ac:dyDescent="0.25">
      <c r="V188" s="141"/>
      <c r="W188" s="141"/>
    </row>
    <row r="189" spans="22:23" s="21" customFormat="1" ht="22.5" customHeight="1" x14ac:dyDescent="0.25">
      <c r="V189" s="141"/>
      <c r="W189" s="141"/>
    </row>
    <row r="190" spans="22:23" s="21" customFormat="1" ht="22.5" customHeight="1" x14ac:dyDescent="0.25">
      <c r="V190" s="141"/>
      <c r="W190" s="141"/>
    </row>
    <row r="191" spans="22:23" s="21" customFormat="1" ht="22.5" customHeight="1" x14ac:dyDescent="0.25">
      <c r="V191" s="141"/>
      <c r="W191" s="141"/>
    </row>
    <row r="192" spans="22:23" s="21" customFormat="1" ht="22.5" customHeight="1" x14ac:dyDescent="0.25">
      <c r="V192" s="141"/>
      <c r="W192" s="141"/>
    </row>
    <row r="193" spans="22:23" s="21" customFormat="1" ht="22.5" customHeight="1" x14ac:dyDescent="0.25">
      <c r="V193" s="141"/>
      <c r="W193" s="141"/>
    </row>
    <row r="194" spans="22:23" s="21" customFormat="1" ht="22.5" customHeight="1" x14ac:dyDescent="0.25">
      <c r="V194" s="141"/>
      <c r="W194" s="141"/>
    </row>
    <row r="195" spans="22:23" s="21" customFormat="1" ht="22.5" customHeight="1" x14ac:dyDescent="0.25">
      <c r="V195" s="141"/>
      <c r="W195" s="141"/>
    </row>
    <row r="196" spans="22:23" s="21" customFormat="1" ht="22.5" customHeight="1" x14ac:dyDescent="0.25">
      <c r="V196" s="141"/>
      <c r="W196" s="141"/>
    </row>
    <row r="197" spans="22:23" s="21" customFormat="1" ht="22.5" customHeight="1" x14ac:dyDescent="0.25">
      <c r="V197" s="141"/>
      <c r="W197" s="141"/>
    </row>
    <row r="198" spans="22:23" s="21" customFormat="1" ht="22.5" customHeight="1" x14ac:dyDescent="0.25">
      <c r="V198" s="141"/>
      <c r="W198" s="141"/>
    </row>
    <row r="199" spans="22:23" s="21" customFormat="1" ht="22.5" customHeight="1" x14ac:dyDescent="0.25">
      <c r="V199" s="141"/>
      <c r="W199" s="141"/>
    </row>
    <row r="200" spans="22:23" s="21" customFormat="1" ht="22.5" customHeight="1" x14ac:dyDescent="0.25">
      <c r="V200" s="141"/>
      <c r="W200" s="141"/>
    </row>
    <row r="201" spans="22:23" s="21" customFormat="1" ht="22.5" customHeight="1" x14ac:dyDescent="0.25">
      <c r="V201" s="141"/>
      <c r="W201" s="141"/>
    </row>
    <row r="202" spans="22:23" s="21" customFormat="1" ht="22.5" customHeight="1" x14ac:dyDescent="0.25">
      <c r="V202" s="141"/>
      <c r="W202" s="141"/>
    </row>
    <row r="203" spans="22:23" s="21" customFormat="1" ht="22.5" customHeight="1" x14ac:dyDescent="0.25">
      <c r="V203" s="141"/>
      <c r="W203" s="141"/>
    </row>
    <row r="204" spans="22:23" s="21" customFormat="1" ht="22.5" customHeight="1" x14ac:dyDescent="0.25">
      <c r="V204" s="141"/>
      <c r="W204" s="141"/>
    </row>
    <row r="205" spans="22:23" s="21" customFormat="1" ht="22.5" customHeight="1" x14ac:dyDescent="0.25">
      <c r="V205" s="141"/>
      <c r="W205" s="141"/>
    </row>
    <row r="206" spans="22:23" s="21" customFormat="1" ht="22.5" customHeight="1" x14ac:dyDescent="0.25">
      <c r="V206" s="141"/>
      <c r="W206" s="141"/>
    </row>
    <row r="207" spans="22:23" s="21" customFormat="1" ht="22.5" customHeight="1" x14ac:dyDescent="0.25">
      <c r="V207" s="141"/>
      <c r="W207" s="141"/>
    </row>
    <row r="208" spans="22:23" s="21" customFormat="1" ht="22.5" customHeight="1" x14ac:dyDescent="0.25">
      <c r="V208" s="141"/>
      <c r="W208" s="141"/>
    </row>
    <row r="209" spans="22:23" s="21" customFormat="1" ht="22.5" customHeight="1" x14ac:dyDescent="0.25">
      <c r="V209" s="141"/>
      <c r="W209" s="141"/>
    </row>
    <row r="210" spans="22:23" s="21" customFormat="1" ht="22.5" customHeight="1" x14ac:dyDescent="0.25">
      <c r="V210" s="141"/>
      <c r="W210" s="141"/>
    </row>
    <row r="211" spans="22:23" s="21" customFormat="1" ht="22.5" customHeight="1" x14ac:dyDescent="0.25">
      <c r="V211" s="141"/>
      <c r="W211" s="141"/>
    </row>
    <row r="212" spans="22:23" s="21" customFormat="1" ht="22.5" customHeight="1" x14ac:dyDescent="0.25">
      <c r="V212" s="141"/>
      <c r="W212" s="141"/>
    </row>
    <row r="213" spans="22:23" s="21" customFormat="1" ht="22.5" customHeight="1" x14ac:dyDescent="0.25">
      <c r="V213" s="141"/>
      <c r="W213" s="141"/>
    </row>
    <row r="214" spans="22:23" s="21" customFormat="1" ht="22.5" customHeight="1" x14ac:dyDescent="0.25">
      <c r="V214" s="141"/>
      <c r="W214" s="141"/>
    </row>
    <row r="215" spans="22:23" s="21" customFormat="1" ht="22.5" customHeight="1" x14ac:dyDescent="0.25">
      <c r="V215" s="141"/>
      <c r="W215" s="141"/>
    </row>
    <row r="216" spans="22:23" s="21" customFormat="1" ht="22.5" customHeight="1" x14ac:dyDescent="0.25">
      <c r="V216" s="141"/>
      <c r="W216" s="141"/>
    </row>
    <row r="217" spans="22:23" s="21" customFormat="1" ht="22.5" customHeight="1" x14ac:dyDescent="0.25">
      <c r="V217" s="141"/>
      <c r="W217" s="141"/>
    </row>
    <row r="218" spans="22:23" s="21" customFormat="1" ht="22.5" customHeight="1" x14ac:dyDescent="0.25">
      <c r="V218" s="141"/>
      <c r="W218" s="141"/>
    </row>
    <row r="219" spans="22:23" s="21" customFormat="1" ht="22.5" customHeight="1" x14ac:dyDescent="0.25">
      <c r="V219" s="141"/>
      <c r="W219" s="141"/>
    </row>
    <row r="220" spans="22:23" s="21" customFormat="1" ht="22.5" customHeight="1" x14ac:dyDescent="0.25">
      <c r="V220" s="141"/>
      <c r="W220" s="141"/>
    </row>
    <row r="221" spans="22:23" s="21" customFormat="1" ht="22.5" customHeight="1" x14ac:dyDescent="0.25">
      <c r="V221" s="141"/>
      <c r="W221" s="141"/>
    </row>
    <row r="222" spans="22:23" s="21" customFormat="1" ht="22.5" customHeight="1" x14ac:dyDescent="0.25">
      <c r="V222" s="141"/>
      <c r="W222" s="141"/>
    </row>
    <row r="223" spans="22:23" s="21" customFormat="1" ht="22.5" customHeight="1" x14ac:dyDescent="0.25">
      <c r="V223" s="141"/>
      <c r="W223" s="141"/>
    </row>
    <row r="224" spans="22:23" s="21" customFormat="1" ht="22.5" customHeight="1" x14ac:dyDescent="0.25">
      <c r="V224" s="141"/>
      <c r="W224" s="141"/>
    </row>
    <row r="225" spans="22:23" s="21" customFormat="1" ht="22.5" customHeight="1" x14ac:dyDescent="0.25">
      <c r="V225" s="141"/>
      <c r="W225" s="141"/>
    </row>
    <row r="226" spans="22:23" s="21" customFormat="1" ht="22.5" customHeight="1" x14ac:dyDescent="0.25">
      <c r="V226" s="141"/>
      <c r="W226" s="141"/>
    </row>
    <row r="227" spans="22:23" s="21" customFormat="1" ht="22.5" customHeight="1" x14ac:dyDescent="0.25">
      <c r="V227" s="141"/>
      <c r="W227" s="141"/>
    </row>
    <row r="228" spans="22:23" s="21" customFormat="1" ht="22.5" customHeight="1" x14ac:dyDescent="0.25">
      <c r="V228" s="141"/>
      <c r="W228" s="141"/>
    </row>
    <row r="229" spans="22:23" s="21" customFormat="1" ht="22.5" customHeight="1" x14ac:dyDescent="0.25">
      <c r="V229" s="141"/>
      <c r="W229" s="141"/>
    </row>
    <row r="230" spans="22:23" s="21" customFormat="1" ht="22.5" customHeight="1" x14ac:dyDescent="0.25">
      <c r="V230" s="141"/>
      <c r="W230" s="141"/>
    </row>
    <row r="231" spans="22:23" s="21" customFormat="1" ht="22.5" customHeight="1" x14ac:dyDescent="0.25">
      <c r="V231" s="141"/>
      <c r="W231" s="141"/>
    </row>
    <row r="232" spans="22:23" s="21" customFormat="1" ht="22.5" customHeight="1" x14ac:dyDescent="0.25">
      <c r="V232" s="141"/>
      <c r="W232" s="141"/>
    </row>
    <row r="233" spans="22:23" s="21" customFormat="1" ht="22.5" customHeight="1" x14ac:dyDescent="0.25">
      <c r="V233" s="141"/>
      <c r="W233" s="141"/>
    </row>
    <row r="234" spans="22:23" s="21" customFormat="1" ht="22.5" customHeight="1" x14ac:dyDescent="0.25">
      <c r="V234" s="141"/>
      <c r="W234" s="141"/>
    </row>
    <row r="235" spans="22:23" s="21" customFormat="1" ht="22.5" customHeight="1" x14ac:dyDescent="0.25">
      <c r="V235" s="141"/>
      <c r="W235" s="141"/>
    </row>
    <row r="236" spans="22:23" s="21" customFormat="1" ht="22.5" customHeight="1" x14ac:dyDescent="0.25">
      <c r="V236" s="141"/>
      <c r="W236" s="141"/>
    </row>
    <row r="237" spans="22:23" s="21" customFormat="1" ht="22.5" customHeight="1" x14ac:dyDescent="0.25">
      <c r="V237" s="141"/>
      <c r="W237" s="141"/>
    </row>
    <row r="238" spans="22:23" s="21" customFormat="1" ht="22.5" customHeight="1" x14ac:dyDescent="0.25">
      <c r="V238" s="141"/>
      <c r="W238" s="141"/>
    </row>
    <row r="239" spans="22:23" s="21" customFormat="1" ht="22.5" customHeight="1" x14ac:dyDescent="0.25">
      <c r="V239" s="141"/>
      <c r="W239" s="141"/>
    </row>
    <row r="240" spans="22:23" s="21" customFormat="1" ht="22.5" customHeight="1" x14ac:dyDescent="0.25">
      <c r="V240" s="141"/>
      <c r="W240" s="141"/>
    </row>
    <row r="241" spans="22:23" s="21" customFormat="1" ht="22.5" customHeight="1" x14ac:dyDescent="0.25">
      <c r="V241" s="141"/>
      <c r="W241" s="141"/>
    </row>
    <row r="242" spans="22:23" s="21" customFormat="1" ht="22.5" customHeight="1" x14ac:dyDescent="0.25">
      <c r="V242" s="141"/>
      <c r="W242" s="141"/>
    </row>
    <row r="243" spans="22:23" s="21" customFormat="1" ht="22.5" customHeight="1" x14ac:dyDescent="0.25">
      <c r="V243" s="141"/>
      <c r="W243" s="141"/>
    </row>
    <row r="244" spans="22:23" s="21" customFormat="1" ht="22.5" customHeight="1" x14ac:dyDescent="0.25">
      <c r="V244" s="141"/>
      <c r="W244" s="141"/>
    </row>
    <row r="245" spans="22:23" s="21" customFormat="1" ht="22.5" customHeight="1" x14ac:dyDescent="0.25">
      <c r="V245" s="141"/>
      <c r="W245" s="141"/>
    </row>
    <row r="246" spans="22:23" s="21" customFormat="1" ht="22.5" customHeight="1" x14ac:dyDescent="0.25">
      <c r="V246" s="141"/>
      <c r="W246" s="141"/>
    </row>
    <row r="247" spans="22:23" s="21" customFormat="1" ht="22.5" customHeight="1" x14ac:dyDescent="0.25">
      <c r="V247" s="141"/>
      <c r="W247" s="141"/>
    </row>
    <row r="248" spans="22:23" s="21" customFormat="1" ht="22.5" customHeight="1" x14ac:dyDescent="0.25">
      <c r="V248" s="141"/>
      <c r="W248" s="141"/>
    </row>
    <row r="249" spans="22:23" s="21" customFormat="1" ht="22.5" customHeight="1" x14ac:dyDescent="0.25">
      <c r="V249" s="141"/>
      <c r="W249" s="141"/>
    </row>
    <row r="250" spans="22:23" s="21" customFormat="1" ht="22.5" customHeight="1" x14ac:dyDescent="0.25">
      <c r="V250" s="141"/>
      <c r="W250" s="141"/>
    </row>
    <row r="251" spans="22:23" s="21" customFormat="1" ht="22.5" customHeight="1" x14ac:dyDescent="0.25">
      <c r="V251" s="141"/>
      <c r="W251" s="141"/>
    </row>
    <row r="252" spans="22:23" s="21" customFormat="1" ht="22.5" customHeight="1" x14ac:dyDescent="0.25">
      <c r="V252" s="141"/>
      <c r="W252" s="141"/>
    </row>
    <row r="253" spans="22:23" s="21" customFormat="1" ht="22.5" customHeight="1" x14ac:dyDescent="0.25">
      <c r="V253" s="141"/>
      <c r="W253" s="141"/>
    </row>
    <row r="254" spans="22:23" s="21" customFormat="1" ht="22.5" customHeight="1" x14ac:dyDescent="0.25">
      <c r="V254" s="141"/>
      <c r="W254" s="141"/>
    </row>
    <row r="255" spans="22:23" s="21" customFormat="1" ht="22.5" customHeight="1" x14ac:dyDescent="0.25">
      <c r="V255" s="141"/>
      <c r="W255" s="141"/>
    </row>
    <row r="256" spans="22:23" s="21" customFormat="1" ht="22.5" customHeight="1" x14ac:dyDescent="0.25">
      <c r="V256" s="141"/>
      <c r="W256" s="141"/>
    </row>
    <row r="257" spans="22:23" s="21" customFormat="1" ht="22.5" customHeight="1" x14ac:dyDescent="0.25">
      <c r="V257" s="141"/>
      <c r="W257" s="141"/>
    </row>
    <row r="258" spans="22:23" s="21" customFormat="1" ht="22.5" customHeight="1" x14ac:dyDescent="0.25">
      <c r="V258" s="141"/>
      <c r="W258" s="141"/>
    </row>
    <row r="259" spans="22:23" s="21" customFormat="1" ht="22.5" customHeight="1" x14ac:dyDescent="0.25">
      <c r="V259" s="141"/>
      <c r="W259" s="141"/>
    </row>
    <row r="260" spans="22:23" s="21" customFormat="1" ht="22.5" customHeight="1" x14ac:dyDescent="0.25">
      <c r="V260" s="141"/>
      <c r="W260" s="141"/>
    </row>
    <row r="261" spans="22:23" s="21" customFormat="1" ht="22.5" customHeight="1" x14ac:dyDescent="0.25">
      <c r="V261" s="141"/>
      <c r="W261" s="141"/>
    </row>
    <row r="262" spans="22:23" s="21" customFormat="1" ht="22.5" customHeight="1" x14ac:dyDescent="0.25">
      <c r="V262" s="141"/>
      <c r="W262" s="141"/>
    </row>
    <row r="263" spans="22:23" s="21" customFormat="1" ht="22.5" customHeight="1" x14ac:dyDescent="0.25">
      <c r="V263" s="141"/>
      <c r="W263" s="141"/>
    </row>
    <row r="264" spans="22:23" s="21" customFormat="1" ht="22.5" customHeight="1" x14ac:dyDescent="0.25">
      <c r="V264" s="141"/>
      <c r="W264" s="141"/>
    </row>
    <row r="265" spans="22:23" s="21" customFormat="1" ht="22.5" customHeight="1" x14ac:dyDescent="0.25">
      <c r="V265" s="141"/>
      <c r="W265" s="141"/>
    </row>
    <row r="266" spans="22:23" s="21" customFormat="1" ht="22.5" customHeight="1" x14ac:dyDescent="0.25">
      <c r="V266" s="141"/>
      <c r="W266" s="141"/>
    </row>
    <row r="267" spans="22:23" s="21" customFormat="1" ht="22.5" customHeight="1" x14ac:dyDescent="0.25">
      <c r="V267" s="141"/>
      <c r="W267" s="141"/>
    </row>
    <row r="268" spans="22:23" s="21" customFormat="1" ht="22.5" customHeight="1" x14ac:dyDescent="0.25">
      <c r="V268" s="141"/>
      <c r="W268" s="141"/>
    </row>
    <row r="269" spans="22:23" s="21" customFormat="1" ht="22.5" customHeight="1" x14ac:dyDescent="0.25">
      <c r="V269" s="141"/>
      <c r="W269" s="141"/>
    </row>
    <row r="270" spans="22:23" s="21" customFormat="1" ht="22.5" customHeight="1" x14ac:dyDescent="0.25">
      <c r="V270" s="141"/>
      <c r="W270" s="141"/>
    </row>
    <row r="271" spans="22:23" s="21" customFormat="1" ht="22.5" customHeight="1" x14ac:dyDescent="0.25">
      <c r="V271" s="141"/>
      <c r="W271" s="141"/>
    </row>
    <row r="272" spans="22:23" s="21" customFormat="1" ht="22.5" customHeight="1" x14ac:dyDescent="0.25">
      <c r="V272" s="141"/>
      <c r="W272" s="141"/>
    </row>
    <row r="273" spans="22:23" s="21" customFormat="1" ht="22.5" customHeight="1" x14ac:dyDescent="0.25">
      <c r="V273" s="141"/>
      <c r="W273" s="141"/>
    </row>
    <row r="274" spans="22:23" s="21" customFormat="1" ht="22.5" customHeight="1" x14ac:dyDescent="0.25">
      <c r="V274" s="141"/>
      <c r="W274" s="141"/>
    </row>
    <row r="275" spans="22:23" s="21" customFormat="1" ht="22.5" customHeight="1" x14ac:dyDescent="0.25">
      <c r="V275" s="141"/>
      <c r="W275" s="141"/>
    </row>
    <row r="276" spans="22:23" s="21" customFormat="1" ht="22.5" customHeight="1" x14ac:dyDescent="0.25">
      <c r="V276" s="141"/>
      <c r="W276" s="141"/>
    </row>
    <row r="277" spans="22:23" s="21" customFormat="1" ht="22.5" customHeight="1" x14ac:dyDescent="0.25">
      <c r="V277" s="141"/>
      <c r="W277" s="141"/>
    </row>
    <row r="278" spans="22:23" s="21" customFormat="1" ht="22.5" customHeight="1" x14ac:dyDescent="0.25">
      <c r="V278" s="141"/>
      <c r="W278" s="141"/>
    </row>
    <row r="279" spans="22:23" s="21" customFormat="1" ht="22.5" customHeight="1" x14ac:dyDescent="0.25">
      <c r="V279" s="141"/>
      <c r="W279" s="141"/>
    </row>
    <row r="280" spans="22:23" s="21" customFormat="1" ht="22.5" customHeight="1" x14ac:dyDescent="0.25">
      <c r="V280" s="141"/>
      <c r="W280" s="141"/>
    </row>
    <row r="281" spans="22:23" s="21" customFormat="1" ht="22.5" customHeight="1" x14ac:dyDescent="0.25">
      <c r="V281" s="141"/>
      <c r="W281" s="141"/>
    </row>
    <row r="282" spans="22:23" s="21" customFormat="1" ht="22.5" customHeight="1" x14ac:dyDescent="0.25">
      <c r="V282" s="141"/>
      <c r="W282" s="141"/>
    </row>
    <row r="283" spans="22:23" s="21" customFormat="1" ht="22.5" customHeight="1" x14ac:dyDescent="0.25">
      <c r="V283" s="141"/>
      <c r="W283" s="141"/>
    </row>
    <row r="284" spans="22:23" s="21" customFormat="1" ht="22.5" customHeight="1" x14ac:dyDescent="0.25">
      <c r="V284" s="141"/>
      <c r="W284" s="141"/>
    </row>
    <row r="285" spans="22:23" s="21" customFormat="1" ht="22.5" customHeight="1" x14ac:dyDescent="0.25">
      <c r="V285" s="141"/>
      <c r="W285" s="141"/>
    </row>
    <row r="286" spans="22:23" s="21" customFormat="1" ht="22.5" customHeight="1" x14ac:dyDescent="0.25">
      <c r="V286" s="141"/>
      <c r="W286" s="141"/>
    </row>
    <row r="287" spans="22:23" s="21" customFormat="1" ht="22.5" customHeight="1" x14ac:dyDescent="0.25">
      <c r="V287" s="141"/>
      <c r="W287" s="141"/>
    </row>
    <row r="288" spans="22:23" s="21" customFormat="1" ht="22.5" customHeight="1" x14ac:dyDescent="0.25">
      <c r="V288" s="141"/>
      <c r="W288" s="141"/>
    </row>
    <row r="289" spans="22:23" s="21" customFormat="1" ht="22.5" customHeight="1" x14ac:dyDescent="0.25">
      <c r="V289" s="141"/>
      <c r="W289" s="141"/>
    </row>
    <row r="290" spans="22:23" s="21" customFormat="1" ht="22.5" customHeight="1" x14ac:dyDescent="0.25">
      <c r="V290" s="141"/>
      <c r="W290" s="141"/>
    </row>
    <row r="291" spans="22:23" s="21" customFormat="1" ht="22.5" customHeight="1" x14ac:dyDescent="0.25">
      <c r="V291" s="141"/>
      <c r="W291" s="141"/>
    </row>
    <row r="292" spans="22:23" s="21" customFormat="1" ht="22.5" customHeight="1" x14ac:dyDescent="0.25">
      <c r="V292" s="141"/>
      <c r="W292" s="141"/>
    </row>
    <row r="293" spans="22:23" s="21" customFormat="1" ht="22.5" customHeight="1" x14ac:dyDescent="0.25">
      <c r="V293" s="141"/>
      <c r="W293" s="141"/>
    </row>
    <row r="294" spans="22:23" s="21" customFormat="1" ht="22.5" customHeight="1" x14ac:dyDescent="0.25">
      <c r="V294" s="141"/>
      <c r="W294" s="141"/>
    </row>
    <row r="295" spans="22:23" s="21" customFormat="1" ht="22.5" customHeight="1" x14ac:dyDescent="0.25">
      <c r="V295" s="141"/>
      <c r="W295" s="141"/>
    </row>
    <row r="296" spans="22:23" s="21" customFormat="1" ht="22.5" customHeight="1" x14ac:dyDescent="0.25">
      <c r="V296" s="141"/>
      <c r="W296" s="141"/>
    </row>
    <row r="297" spans="22:23" s="21" customFormat="1" ht="22.5" customHeight="1" x14ac:dyDescent="0.25">
      <c r="V297" s="141"/>
      <c r="W297" s="141"/>
    </row>
    <row r="298" spans="22:23" s="21" customFormat="1" ht="22.5" customHeight="1" x14ac:dyDescent="0.25">
      <c r="V298" s="141"/>
      <c r="W298" s="141"/>
    </row>
    <row r="299" spans="22:23" s="21" customFormat="1" ht="22.5" customHeight="1" x14ac:dyDescent="0.25">
      <c r="V299" s="141"/>
      <c r="W299" s="141"/>
    </row>
    <row r="300" spans="22:23" s="21" customFormat="1" ht="22.5" customHeight="1" x14ac:dyDescent="0.25">
      <c r="V300" s="141"/>
      <c r="W300" s="141"/>
    </row>
    <row r="301" spans="22:23" s="21" customFormat="1" ht="22.5" customHeight="1" x14ac:dyDescent="0.25">
      <c r="V301" s="141"/>
      <c r="W301" s="141"/>
    </row>
    <row r="302" spans="22:23" s="21" customFormat="1" ht="22.5" customHeight="1" x14ac:dyDescent="0.25">
      <c r="V302" s="141"/>
      <c r="W302" s="141"/>
    </row>
    <row r="303" spans="22:23" s="21" customFormat="1" ht="22.5" customHeight="1" x14ac:dyDescent="0.25">
      <c r="V303" s="141"/>
      <c r="W303" s="141"/>
    </row>
    <row r="304" spans="22:23" s="21" customFormat="1" ht="22.5" customHeight="1" x14ac:dyDescent="0.25">
      <c r="V304" s="141"/>
      <c r="W304" s="141"/>
    </row>
    <row r="305" spans="22:23" s="21" customFormat="1" ht="22.5" customHeight="1" x14ac:dyDescent="0.25">
      <c r="V305" s="141"/>
      <c r="W305" s="141"/>
    </row>
    <row r="306" spans="22:23" s="21" customFormat="1" ht="22.5" customHeight="1" x14ac:dyDescent="0.25">
      <c r="V306" s="141"/>
      <c r="W306" s="141"/>
    </row>
    <row r="307" spans="22:23" s="21" customFormat="1" ht="22.5" customHeight="1" x14ac:dyDescent="0.25">
      <c r="V307" s="141"/>
      <c r="W307" s="141"/>
    </row>
    <row r="308" spans="22:23" s="21" customFormat="1" ht="22.5" customHeight="1" x14ac:dyDescent="0.25">
      <c r="V308" s="141"/>
      <c r="W308" s="141"/>
    </row>
    <row r="309" spans="22:23" s="21" customFormat="1" ht="22.5" customHeight="1" x14ac:dyDescent="0.25">
      <c r="V309" s="141"/>
      <c r="W309" s="141"/>
    </row>
    <row r="310" spans="22:23" s="21" customFormat="1" ht="22.5" customHeight="1" x14ac:dyDescent="0.25">
      <c r="V310" s="141"/>
      <c r="W310" s="141"/>
    </row>
    <row r="311" spans="22:23" s="21" customFormat="1" ht="22.5" customHeight="1" x14ac:dyDescent="0.25">
      <c r="V311" s="141"/>
      <c r="W311" s="141"/>
    </row>
    <row r="312" spans="22:23" s="21" customFormat="1" ht="22.5" customHeight="1" x14ac:dyDescent="0.25">
      <c r="V312" s="141"/>
      <c r="W312" s="141"/>
    </row>
    <row r="313" spans="22:23" s="21" customFormat="1" ht="22.5" customHeight="1" x14ac:dyDescent="0.25">
      <c r="V313" s="141"/>
      <c r="W313" s="141"/>
    </row>
    <row r="314" spans="22:23" s="21" customFormat="1" ht="22.5" customHeight="1" x14ac:dyDescent="0.25">
      <c r="V314" s="141"/>
      <c r="W314" s="141"/>
    </row>
    <row r="315" spans="22:23" s="21" customFormat="1" ht="22.5" customHeight="1" x14ac:dyDescent="0.25">
      <c r="V315" s="141"/>
      <c r="W315" s="141"/>
    </row>
    <row r="316" spans="22:23" s="21" customFormat="1" ht="22.5" customHeight="1" x14ac:dyDescent="0.25">
      <c r="V316" s="141"/>
      <c r="W316" s="141"/>
    </row>
    <row r="317" spans="22:23" s="21" customFormat="1" ht="22.5" customHeight="1" x14ac:dyDescent="0.25">
      <c r="V317" s="141"/>
      <c r="W317" s="141"/>
    </row>
    <row r="318" spans="22:23" s="21" customFormat="1" ht="22.5" customHeight="1" x14ac:dyDescent="0.25">
      <c r="V318" s="141"/>
      <c r="W318" s="141"/>
    </row>
    <row r="319" spans="22:23" s="21" customFormat="1" ht="22.5" customHeight="1" x14ac:dyDescent="0.25">
      <c r="V319" s="141"/>
      <c r="W319" s="141"/>
    </row>
    <row r="320" spans="22:23" s="21" customFormat="1" ht="22.5" customHeight="1" x14ac:dyDescent="0.25">
      <c r="V320" s="141"/>
      <c r="W320" s="141"/>
    </row>
    <row r="321" spans="22:23" s="21" customFormat="1" ht="22.5" customHeight="1" x14ac:dyDescent="0.25">
      <c r="V321" s="141"/>
      <c r="W321" s="141"/>
    </row>
    <row r="322" spans="22:23" s="21" customFormat="1" ht="22.5" customHeight="1" x14ac:dyDescent="0.25">
      <c r="V322" s="141"/>
      <c r="W322" s="141"/>
    </row>
    <row r="323" spans="22:23" s="21" customFormat="1" ht="22.5" customHeight="1" x14ac:dyDescent="0.25">
      <c r="V323" s="141"/>
      <c r="W323" s="141"/>
    </row>
    <row r="324" spans="22:23" s="21" customFormat="1" ht="22.5" customHeight="1" x14ac:dyDescent="0.25">
      <c r="V324" s="141"/>
      <c r="W324" s="141"/>
    </row>
    <row r="325" spans="22:23" s="21" customFormat="1" ht="22.5" customHeight="1" x14ac:dyDescent="0.25">
      <c r="V325" s="141"/>
      <c r="W325" s="141"/>
    </row>
    <row r="326" spans="22:23" s="21" customFormat="1" ht="22.5" customHeight="1" x14ac:dyDescent="0.25">
      <c r="V326" s="141"/>
      <c r="W326" s="141"/>
    </row>
    <row r="327" spans="22:23" s="21" customFormat="1" ht="22.5" customHeight="1" x14ac:dyDescent="0.25">
      <c r="V327" s="141"/>
      <c r="W327" s="141"/>
    </row>
    <row r="328" spans="22:23" s="21" customFormat="1" ht="22.5" customHeight="1" x14ac:dyDescent="0.25">
      <c r="V328" s="141"/>
      <c r="W328" s="141"/>
    </row>
    <row r="329" spans="22:23" s="21" customFormat="1" ht="22.5" customHeight="1" x14ac:dyDescent="0.25">
      <c r="V329" s="141"/>
      <c r="W329" s="141"/>
    </row>
    <row r="330" spans="22:23" s="21" customFormat="1" ht="22.5" customHeight="1" x14ac:dyDescent="0.25">
      <c r="V330" s="141"/>
      <c r="W330" s="141"/>
    </row>
    <row r="331" spans="22:23" s="21" customFormat="1" ht="22.5" customHeight="1" x14ac:dyDescent="0.25">
      <c r="V331" s="141"/>
      <c r="W331" s="141"/>
    </row>
    <row r="332" spans="22:23" s="21" customFormat="1" ht="22.5" customHeight="1" x14ac:dyDescent="0.25">
      <c r="V332" s="141"/>
      <c r="W332" s="141"/>
    </row>
    <row r="333" spans="22:23" s="21" customFormat="1" ht="22.5" customHeight="1" x14ac:dyDescent="0.25">
      <c r="V333" s="141"/>
      <c r="W333" s="141"/>
    </row>
    <row r="334" spans="22:23" s="21" customFormat="1" ht="22.5" customHeight="1" x14ac:dyDescent="0.25">
      <c r="V334" s="141"/>
      <c r="W334" s="141"/>
    </row>
    <row r="335" spans="22:23" s="21" customFormat="1" ht="22.5" customHeight="1" x14ac:dyDescent="0.25">
      <c r="V335" s="141"/>
      <c r="W335" s="141"/>
    </row>
    <row r="336" spans="22:23" s="21" customFormat="1" ht="22.5" customHeight="1" x14ac:dyDescent="0.25">
      <c r="V336" s="141"/>
      <c r="W336" s="141"/>
    </row>
    <row r="337" spans="22:23" s="21" customFormat="1" ht="22.5" customHeight="1" x14ac:dyDescent="0.25">
      <c r="V337" s="141"/>
      <c r="W337" s="141"/>
    </row>
    <row r="338" spans="22:23" s="21" customFormat="1" ht="22.5" customHeight="1" x14ac:dyDescent="0.25">
      <c r="V338" s="141"/>
      <c r="W338" s="141"/>
    </row>
    <row r="339" spans="22:23" s="21" customFormat="1" ht="22.5" customHeight="1" x14ac:dyDescent="0.25">
      <c r="V339" s="141"/>
      <c r="W339" s="141"/>
    </row>
    <row r="340" spans="22:23" s="21" customFormat="1" ht="22.5" customHeight="1" x14ac:dyDescent="0.25">
      <c r="V340" s="141"/>
      <c r="W340" s="141"/>
    </row>
    <row r="341" spans="22:23" s="21" customFormat="1" ht="22.5" customHeight="1" x14ac:dyDescent="0.25">
      <c r="V341" s="141"/>
      <c r="W341" s="141"/>
    </row>
    <row r="342" spans="22:23" s="21" customFormat="1" ht="22.5" customHeight="1" x14ac:dyDescent="0.25">
      <c r="V342" s="141"/>
      <c r="W342" s="141"/>
    </row>
    <row r="343" spans="22:23" s="21" customFormat="1" ht="22.5" customHeight="1" x14ac:dyDescent="0.25">
      <c r="V343" s="141"/>
      <c r="W343" s="141"/>
    </row>
    <row r="344" spans="22:23" s="21" customFormat="1" ht="22.5" customHeight="1" x14ac:dyDescent="0.25">
      <c r="V344" s="141"/>
      <c r="W344" s="141"/>
    </row>
    <row r="345" spans="22:23" s="21" customFormat="1" ht="22.5" customHeight="1" x14ac:dyDescent="0.25">
      <c r="V345" s="141"/>
      <c r="W345" s="141"/>
    </row>
    <row r="346" spans="22:23" s="21" customFormat="1" ht="22.5" customHeight="1" x14ac:dyDescent="0.25">
      <c r="V346" s="141"/>
      <c r="W346" s="141"/>
    </row>
    <row r="347" spans="22:23" s="21" customFormat="1" ht="22.5" customHeight="1" x14ac:dyDescent="0.25">
      <c r="V347" s="141"/>
      <c r="W347" s="141"/>
    </row>
    <row r="348" spans="22:23" s="21" customFormat="1" ht="22.5" customHeight="1" x14ac:dyDescent="0.25">
      <c r="V348" s="141"/>
      <c r="W348" s="141"/>
    </row>
    <row r="349" spans="22:23" s="21" customFormat="1" ht="22.5" customHeight="1" x14ac:dyDescent="0.25">
      <c r="V349" s="141"/>
      <c r="W349" s="141"/>
    </row>
    <row r="350" spans="22:23" s="21" customFormat="1" ht="22.5" customHeight="1" x14ac:dyDescent="0.25">
      <c r="V350" s="141"/>
      <c r="W350" s="141"/>
    </row>
    <row r="351" spans="22:23" s="21" customFormat="1" ht="22.5" customHeight="1" x14ac:dyDescent="0.25">
      <c r="V351" s="141"/>
      <c r="W351" s="141"/>
    </row>
    <row r="352" spans="22:23" s="21" customFormat="1" ht="22.5" customHeight="1" x14ac:dyDescent="0.25">
      <c r="V352" s="141"/>
      <c r="W352" s="141"/>
    </row>
    <row r="353" spans="22:23" s="21" customFormat="1" ht="22.5" customHeight="1" x14ac:dyDescent="0.25">
      <c r="V353" s="141"/>
      <c r="W353" s="141"/>
    </row>
    <row r="354" spans="22:23" s="21" customFormat="1" ht="22.5" customHeight="1" x14ac:dyDescent="0.25">
      <c r="V354" s="141"/>
      <c r="W354" s="141"/>
    </row>
    <row r="355" spans="22:23" s="21" customFormat="1" ht="22.5" customHeight="1" x14ac:dyDescent="0.25">
      <c r="V355" s="141"/>
      <c r="W355" s="141"/>
    </row>
    <row r="356" spans="22:23" s="21" customFormat="1" ht="22.5" customHeight="1" x14ac:dyDescent="0.25">
      <c r="V356" s="141"/>
      <c r="W356" s="141"/>
    </row>
    <row r="357" spans="22:23" s="21" customFormat="1" ht="22.5" customHeight="1" x14ac:dyDescent="0.25">
      <c r="V357" s="141"/>
      <c r="W357" s="141"/>
    </row>
    <row r="358" spans="22:23" s="21" customFormat="1" ht="22.5" customHeight="1" x14ac:dyDescent="0.25">
      <c r="V358" s="141"/>
      <c r="W358" s="141"/>
    </row>
    <row r="359" spans="22:23" s="21" customFormat="1" ht="22.5" customHeight="1" x14ac:dyDescent="0.25">
      <c r="V359" s="141"/>
      <c r="W359" s="141"/>
    </row>
    <row r="360" spans="22:23" s="21" customFormat="1" ht="22.5" customHeight="1" x14ac:dyDescent="0.25">
      <c r="V360" s="141"/>
      <c r="W360" s="141"/>
    </row>
    <row r="361" spans="22:23" s="21" customFormat="1" ht="22.5" customHeight="1" x14ac:dyDescent="0.25">
      <c r="V361" s="141"/>
      <c r="W361" s="141"/>
    </row>
    <row r="362" spans="22:23" s="21" customFormat="1" ht="22.5" customHeight="1" x14ac:dyDescent="0.25">
      <c r="V362" s="141"/>
      <c r="W362" s="141"/>
    </row>
    <row r="363" spans="22:23" s="21" customFormat="1" ht="22.5" customHeight="1" x14ac:dyDescent="0.25">
      <c r="V363" s="141"/>
      <c r="W363" s="141"/>
    </row>
    <row r="364" spans="22:23" s="21" customFormat="1" ht="22.5" customHeight="1" x14ac:dyDescent="0.25">
      <c r="V364" s="141"/>
      <c r="W364" s="141"/>
    </row>
    <row r="365" spans="22:23" s="21" customFormat="1" ht="22.5" customHeight="1" x14ac:dyDescent="0.25">
      <c r="V365" s="141"/>
      <c r="W365" s="141"/>
    </row>
    <row r="366" spans="22:23" s="21" customFormat="1" ht="22.5" customHeight="1" x14ac:dyDescent="0.25">
      <c r="V366" s="141"/>
      <c r="W366" s="141"/>
    </row>
    <row r="367" spans="22:23" s="21" customFormat="1" ht="22.5" customHeight="1" x14ac:dyDescent="0.25">
      <c r="V367" s="141"/>
      <c r="W367" s="141"/>
    </row>
    <row r="368" spans="22:23" s="21" customFormat="1" ht="22.5" customHeight="1" x14ac:dyDescent="0.25">
      <c r="V368" s="141"/>
      <c r="W368" s="141"/>
    </row>
    <row r="369" spans="22:23" s="21" customFormat="1" ht="22.5" customHeight="1" x14ac:dyDescent="0.25">
      <c r="V369" s="141"/>
      <c r="W369" s="141"/>
    </row>
    <row r="370" spans="22:23" s="21" customFormat="1" ht="22.5" customHeight="1" x14ac:dyDescent="0.25">
      <c r="V370" s="141"/>
      <c r="W370" s="141"/>
    </row>
    <row r="371" spans="22:23" s="21" customFormat="1" ht="22.5" customHeight="1" x14ac:dyDescent="0.25">
      <c r="V371" s="141"/>
      <c r="W371" s="141"/>
    </row>
    <row r="372" spans="22:23" s="21" customFormat="1" ht="22.5" customHeight="1" x14ac:dyDescent="0.25">
      <c r="V372" s="141"/>
      <c r="W372" s="141"/>
    </row>
    <row r="373" spans="22:23" s="21" customFormat="1" ht="22.5" customHeight="1" x14ac:dyDescent="0.25">
      <c r="V373" s="141"/>
      <c r="W373" s="141"/>
    </row>
    <row r="374" spans="22:23" s="21" customFormat="1" ht="22.5" customHeight="1" x14ac:dyDescent="0.25">
      <c r="V374" s="141"/>
      <c r="W374" s="141"/>
    </row>
    <row r="375" spans="22:23" s="21" customFormat="1" ht="22.5" customHeight="1" x14ac:dyDescent="0.25">
      <c r="V375" s="141"/>
      <c r="W375" s="141"/>
    </row>
    <row r="376" spans="22:23" s="21" customFormat="1" ht="22.5" customHeight="1" x14ac:dyDescent="0.25">
      <c r="V376" s="141"/>
      <c r="W376" s="141"/>
    </row>
    <row r="377" spans="22:23" s="21" customFormat="1" ht="22.5" customHeight="1" x14ac:dyDescent="0.25">
      <c r="V377" s="141"/>
      <c r="W377" s="141"/>
    </row>
    <row r="378" spans="22:23" s="21" customFormat="1" ht="22.5" customHeight="1" x14ac:dyDescent="0.25">
      <c r="V378" s="141"/>
      <c r="W378" s="141"/>
    </row>
    <row r="379" spans="22:23" s="21" customFormat="1" ht="22.5" customHeight="1" x14ac:dyDescent="0.25">
      <c r="V379" s="141"/>
      <c r="W379" s="141"/>
    </row>
    <row r="380" spans="22:23" s="21" customFormat="1" ht="22.5" customHeight="1" x14ac:dyDescent="0.25">
      <c r="V380" s="141"/>
      <c r="W380" s="141"/>
    </row>
    <row r="381" spans="22:23" s="21" customFormat="1" ht="22.5" customHeight="1" x14ac:dyDescent="0.25">
      <c r="V381" s="141"/>
      <c r="W381" s="141"/>
    </row>
    <row r="382" spans="22:23" s="21" customFormat="1" ht="22.5" customHeight="1" x14ac:dyDescent="0.25">
      <c r="V382" s="141"/>
      <c r="W382" s="141"/>
    </row>
    <row r="383" spans="22:23" s="21" customFormat="1" ht="22.5" customHeight="1" x14ac:dyDescent="0.25">
      <c r="V383" s="141"/>
      <c r="W383" s="141"/>
    </row>
    <row r="384" spans="22:23" s="21" customFormat="1" ht="22.5" customHeight="1" x14ac:dyDescent="0.25">
      <c r="V384" s="141"/>
      <c r="W384" s="141"/>
    </row>
    <row r="385" spans="22:23" s="21" customFormat="1" ht="22.5" customHeight="1" x14ac:dyDescent="0.25">
      <c r="V385" s="141"/>
      <c r="W385" s="141"/>
    </row>
    <row r="386" spans="22:23" s="21" customFormat="1" ht="22.5" customHeight="1" x14ac:dyDescent="0.25">
      <c r="V386" s="141"/>
      <c r="W386" s="141"/>
    </row>
    <row r="387" spans="22:23" s="21" customFormat="1" ht="22.5" customHeight="1" x14ac:dyDescent="0.25">
      <c r="V387" s="141"/>
      <c r="W387" s="141"/>
    </row>
    <row r="388" spans="22:23" s="21" customFormat="1" ht="22.5" customHeight="1" x14ac:dyDescent="0.25">
      <c r="V388" s="141"/>
      <c r="W388" s="141"/>
    </row>
    <row r="389" spans="22:23" s="21" customFormat="1" ht="22.5" customHeight="1" x14ac:dyDescent="0.25">
      <c r="V389" s="141"/>
      <c r="W389" s="141"/>
    </row>
    <row r="390" spans="22:23" s="21" customFormat="1" ht="22.5" customHeight="1" x14ac:dyDescent="0.25">
      <c r="V390" s="141"/>
      <c r="W390" s="141"/>
    </row>
    <row r="391" spans="22:23" s="21" customFormat="1" ht="22.5" customHeight="1" x14ac:dyDescent="0.25">
      <c r="V391" s="141"/>
      <c r="W391" s="141"/>
    </row>
    <row r="392" spans="22:23" s="21" customFormat="1" ht="22.5" customHeight="1" x14ac:dyDescent="0.25">
      <c r="V392" s="141"/>
      <c r="W392" s="141"/>
    </row>
    <row r="393" spans="22:23" s="21" customFormat="1" ht="22.5" customHeight="1" x14ac:dyDescent="0.25">
      <c r="V393" s="141"/>
      <c r="W393" s="141"/>
    </row>
    <row r="394" spans="22:23" s="21" customFormat="1" ht="22.5" customHeight="1" x14ac:dyDescent="0.25">
      <c r="V394" s="141"/>
      <c r="W394" s="141"/>
    </row>
    <row r="395" spans="22:23" s="21" customFormat="1" ht="22.5" customHeight="1" x14ac:dyDescent="0.25">
      <c r="V395" s="141"/>
      <c r="W395" s="141"/>
    </row>
    <row r="396" spans="22:23" s="21" customFormat="1" ht="22.5" customHeight="1" x14ac:dyDescent="0.25">
      <c r="V396" s="141"/>
      <c r="W396" s="141"/>
    </row>
    <row r="397" spans="22:23" s="21" customFormat="1" ht="22.5" customHeight="1" x14ac:dyDescent="0.25">
      <c r="V397" s="141"/>
      <c r="W397" s="141"/>
    </row>
    <row r="398" spans="22:23" s="21" customFormat="1" ht="22.5" customHeight="1" x14ac:dyDescent="0.25">
      <c r="V398" s="141"/>
      <c r="W398" s="141"/>
    </row>
    <row r="399" spans="22:23" s="21" customFormat="1" ht="22.5" customHeight="1" x14ac:dyDescent="0.25">
      <c r="V399" s="141"/>
      <c r="W399" s="141"/>
    </row>
    <row r="400" spans="22:23" s="21" customFormat="1" ht="22.5" customHeight="1" x14ac:dyDescent="0.25">
      <c r="V400" s="141"/>
      <c r="W400" s="141"/>
    </row>
    <row r="401" spans="22:23" s="21" customFormat="1" ht="22.5" customHeight="1" x14ac:dyDescent="0.25">
      <c r="V401" s="141"/>
      <c r="W401" s="141"/>
    </row>
    <row r="402" spans="22:23" s="21" customFormat="1" ht="22.5" customHeight="1" x14ac:dyDescent="0.25">
      <c r="V402" s="141"/>
      <c r="W402" s="141"/>
    </row>
    <row r="403" spans="22:23" s="21" customFormat="1" ht="22.5" customHeight="1" x14ac:dyDescent="0.25">
      <c r="V403" s="141"/>
      <c r="W403" s="141"/>
    </row>
    <row r="404" spans="22:23" s="21" customFormat="1" ht="22.5" customHeight="1" x14ac:dyDescent="0.25">
      <c r="V404" s="141"/>
      <c r="W404" s="141"/>
    </row>
    <row r="405" spans="22:23" s="21" customFormat="1" ht="22.5" customHeight="1" x14ac:dyDescent="0.25">
      <c r="V405" s="141"/>
      <c r="W405" s="141"/>
    </row>
    <row r="406" spans="22:23" s="21" customFormat="1" ht="22.5" customHeight="1" x14ac:dyDescent="0.25">
      <c r="V406" s="141"/>
      <c r="W406" s="141"/>
    </row>
    <row r="407" spans="22:23" s="21" customFormat="1" ht="22.5" customHeight="1" x14ac:dyDescent="0.25">
      <c r="V407" s="141"/>
      <c r="W407" s="141"/>
    </row>
    <row r="408" spans="22:23" s="21" customFormat="1" ht="22.5" customHeight="1" x14ac:dyDescent="0.25">
      <c r="V408" s="141"/>
      <c r="W408" s="141"/>
    </row>
    <row r="409" spans="22:23" s="21" customFormat="1" ht="22.5" customHeight="1" x14ac:dyDescent="0.25">
      <c r="V409" s="141"/>
      <c r="W409" s="141"/>
    </row>
    <row r="410" spans="22:23" s="21" customFormat="1" ht="22.5" customHeight="1" x14ac:dyDescent="0.25">
      <c r="V410" s="141"/>
      <c r="W410" s="141"/>
    </row>
    <row r="411" spans="22:23" s="21" customFormat="1" ht="22.5" customHeight="1" x14ac:dyDescent="0.25">
      <c r="V411" s="141"/>
      <c r="W411" s="141"/>
    </row>
    <row r="412" spans="22:23" s="21" customFormat="1" ht="22.5" customHeight="1" x14ac:dyDescent="0.25">
      <c r="V412" s="141"/>
      <c r="W412" s="141"/>
    </row>
    <row r="413" spans="22:23" s="21" customFormat="1" ht="22.5" customHeight="1" x14ac:dyDescent="0.25">
      <c r="V413" s="141"/>
      <c r="W413" s="141"/>
    </row>
    <row r="414" spans="22:23" s="21" customFormat="1" ht="22.5" customHeight="1" x14ac:dyDescent="0.25">
      <c r="V414" s="141"/>
      <c r="W414" s="141"/>
    </row>
    <row r="415" spans="22:23" s="21" customFormat="1" ht="22.5" customHeight="1" x14ac:dyDescent="0.25">
      <c r="V415" s="141"/>
      <c r="W415" s="141"/>
    </row>
    <row r="416" spans="22:23" s="21" customFormat="1" ht="22.5" customHeight="1" x14ac:dyDescent="0.25">
      <c r="V416" s="141"/>
      <c r="W416" s="141"/>
    </row>
    <row r="417" spans="22:23" s="21" customFormat="1" ht="22.5" customHeight="1" x14ac:dyDescent="0.25">
      <c r="V417" s="141"/>
      <c r="W417" s="141"/>
    </row>
    <row r="418" spans="22:23" s="21" customFormat="1" ht="22.5" customHeight="1" x14ac:dyDescent="0.25">
      <c r="V418" s="141"/>
      <c r="W418" s="141"/>
    </row>
    <row r="419" spans="22:23" s="21" customFormat="1" ht="22.5" customHeight="1" x14ac:dyDescent="0.25">
      <c r="V419" s="141"/>
      <c r="W419" s="141"/>
    </row>
    <row r="420" spans="22:23" s="21" customFormat="1" ht="22.5" customHeight="1" x14ac:dyDescent="0.25">
      <c r="V420" s="141"/>
      <c r="W420" s="141"/>
    </row>
    <row r="421" spans="22:23" s="21" customFormat="1" ht="22.5" customHeight="1" x14ac:dyDescent="0.25">
      <c r="V421" s="141"/>
      <c r="W421" s="141"/>
    </row>
    <row r="422" spans="22:23" s="21" customFormat="1" ht="22.5" customHeight="1" x14ac:dyDescent="0.25">
      <c r="V422" s="141"/>
      <c r="W422" s="141"/>
    </row>
    <row r="423" spans="22:23" s="21" customFormat="1" ht="22.5" customHeight="1" x14ac:dyDescent="0.25">
      <c r="V423" s="141"/>
      <c r="W423" s="141"/>
    </row>
    <row r="424" spans="22:23" s="21" customFormat="1" ht="22.5" customHeight="1" x14ac:dyDescent="0.25">
      <c r="V424" s="141"/>
      <c r="W424" s="141"/>
    </row>
    <row r="425" spans="22:23" s="21" customFormat="1" ht="22.5" customHeight="1" x14ac:dyDescent="0.25">
      <c r="V425" s="141"/>
      <c r="W425" s="141"/>
    </row>
    <row r="426" spans="22:23" s="21" customFormat="1" ht="22.5" customHeight="1" x14ac:dyDescent="0.25">
      <c r="V426" s="141"/>
      <c r="W426" s="141"/>
    </row>
    <row r="427" spans="22:23" s="21" customFormat="1" ht="22.5" customHeight="1" x14ac:dyDescent="0.25">
      <c r="V427" s="141"/>
      <c r="W427" s="141"/>
    </row>
    <row r="428" spans="22:23" s="21" customFormat="1" ht="22.5" customHeight="1" x14ac:dyDescent="0.25">
      <c r="V428" s="141"/>
      <c r="W428" s="141"/>
    </row>
    <row r="429" spans="22:23" s="21" customFormat="1" ht="22.5" customHeight="1" x14ac:dyDescent="0.25">
      <c r="V429" s="141"/>
      <c r="W429" s="141"/>
    </row>
    <row r="430" spans="22:23" s="21" customFormat="1" ht="22.5" customHeight="1" x14ac:dyDescent="0.25">
      <c r="V430" s="141"/>
      <c r="W430" s="141"/>
    </row>
    <row r="431" spans="22:23" s="21" customFormat="1" ht="22.5" customHeight="1" x14ac:dyDescent="0.25">
      <c r="V431" s="141"/>
      <c r="W431" s="141"/>
    </row>
    <row r="432" spans="22:23" s="21" customFormat="1" ht="22.5" customHeight="1" x14ac:dyDescent="0.25">
      <c r="V432" s="141"/>
      <c r="W432" s="141"/>
    </row>
    <row r="433" spans="22:23" s="21" customFormat="1" ht="22.5" customHeight="1" x14ac:dyDescent="0.25">
      <c r="V433" s="141"/>
      <c r="W433" s="141"/>
    </row>
    <row r="434" spans="22:23" s="21" customFormat="1" ht="22.5" customHeight="1" x14ac:dyDescent="0.25">
      <c r="V434" s="141"/>
      <c r="W434" s="141"/>
    </row>
    <row r="435" spans="22:23" s="21" customFormat="1" ht="22.5" customHeight="1" x14ac:dyDescent="0.25">
      <c r="V435" s="141"/>
      <c r="W435" s="141"/>
    </row>
    <row r="436" spans="22:23" s="21" customFormat="1" ht="22.5" customHeight="1" x14ac:dyDescent="0.25">
      <c r="V436" s="141"/>
      <c r="W436" s="141"/>
    </row>
    <row r="437" spans="22:23" s="21" customFormat="1" ht="22.5" customHeight="1" x14ac:dyDescent="0.25">
      <c r="V437" s="141"/>
      <c r="W437" s="141"/>
    </row>
    <row r="438" spans="22:23" s="21" customFormat="1" ht="22.5" customHeight="1" x14ac:dyDescent="0.25">
      <c r="V438" s="141"/>
      <c r="W438" s="141"/>
    </row>
    <row r="439" spans="22:23" s="21" customFormat="1" ht="22.5" customHeight="1" x14ac:dyDescent="0.25">
      <c r="V439" s="141"/>
      <c r="W439" s="141"/>
    </row>
    <row r="440" spans="22:23" s="21" customFormat="1" ht="22.5" customHeight="1" x14ac:dyDescent="0.25">
      <c r="V440" s="141"/>
      <c r="W440" s="141"/>
    </row>
    <row r="441" spans="22:23" s="21" customFormat="1" ht="22.5" customHeight="1" x14ac:dyDescent="0.25">
      <c r="V441" s="141"/>
      <c r="W441" s="141"/>
    </row>
    <row r="442" spans="22:23" s="21" customFormat="1" ht="22.5" customHeight="1" x14ac:dyDescent="0.25">
      <c r="V442" s="141"/>
      <c r="W442" s="141"/>
    </row>
    <row r="443" spans="22:23" s="21" customFormat="1" ht="22.5" customHeight="1" x14ac:dyDescent="0.25">
      <c r="V443" s="141"/>
      <c r="W443" s="141"/>
    </row>
    <row r="444" spans="22:23" s="21" customFormat="1" ht="22.5" customHeight="1" x14ac:dyDescent="0.25">
      <c r="V444" s="141"/>
      <c r="W444" s="141"/>
    </row>
    <row r="445" spans="22:23" s="21" customFormat="1" ht="22.5" customHeight="1" x14ac:dyDescent="0.25">
      <c r="V445" s="141"/>
      <c r="W445" s="141"/>
    </row>
    <row r="446" spans="22:23" s="21" customFormat="1" ht="22.5" customHeight="1" x14ac:dyDescent="0.25">
      <c r="V446" s="141"/>
      <c r="W446" s="141"/>
    </row>
    <row r="447" spans="22:23" s="21" customFormat="1" ht="22.5" customHeight="1" x14ac:dyDescent="0.25">
      <c r="V447" s="141"/>
      <c r="W447" s="141"/>
    </row>
    <row r="448" spans="22:23" s="21" customFormat="1" ht="22.5" customHeight="1" x14ac:dyDescent="0.25">
      <c r="V448" s="141"/>
      <c r="W448" s="141"/>
    </row>
    <row r="449" spans="22:23" s="21" customFormat="1" ht="22.5" customHeight="1" x14ac:dyDescent="0.25">
      <c r="V449" s="141"/>
      <c r="W449" s="141"/>
    </row>
    <row r="450" spans="22:23" s="21" customFormat="1" ht="22.5" customHeight="1" x14ac:dyDescent="0.25">
      <c r="V450" s="141"/>
      <c r="W450" s="141"/>
    </row>
    <row r="451" spans="22:23" s="21" customFormat="1" ht="22.5" customHeight="1" x14ac:dyDescent="0.25">
      <c r="V451" s="141"/>
      <c r="W451" s="141"/>
    </row>
    <row r="452" spans="22:23" s="21" customFormat="1" ht="22.5" customHeight="1" x14ac:dyDescent="0.25">
      <c r="V452" s="141"/>
      <c r="W452" s="141"/>
    </row>
    <row r="453" spans="22:23" s="21" customFormat="1" ht="22.5" customHeight="1" x14ac:dyDescent="0.25">
      <c r="V453" s="141"/>
      <c r="W453" s="141"/>
    </row>
    <row r="454" spans="22:23" s="21" customFormat="1" ht="22.5" customHeight="1" x14ac:dyDescent="0.25">
      <c r="V454" s="141"/>
      <c r="W454" s="141"/>
    </row>
    <row r="455" spans="22:23" s="21" customFormat="1" ht="22.5" customHeight="1" x14ac:dyDescent="0.25">
      <c r="V455" s="141"/>
      <c r="W455" s="141"/>
    </row>
    <row r="456" spans="22:23" s="21" customFormat="1" ht="22.5" customHeight="1" x14ac:dyDescent="0.25">
      <c r="V456" s="141"/>
      <c r="W456" s="141"/>
    </row>
    <row r="457" spans="22:23" s="21" customFormat="1" ht="22.5" customHeight="1" x14ac:dyDescent="0.25">
      <c r="V457" s="141"/>
      <c r="W457" s="141"/>
    </row>
    <row r="458" spans="22:23" s="21" customFormat="1" ht="22.5" customHeight="1" x14ac:dyDescent="0.25">
      <c r="V458" s="141"/>
      <c r="W458" s="141"/>
    </row>
    <row r="459" spans="22:23" s="21" customFormat="1" ht="22.5" customHeight="1" x14ac:dyDescent="0.25">
      <c r="V459" s="141"/>
      <c r="W459" s="141"/>
    </row>
    <row r="460" spans="22:23" s="21" customFormat="1" ht="22.5" customHeight="1" x14ac:dyDescent="0.25">
      <c r="V460" s="141"/>
      <c r="W460" s="141"/>
    </row>
    <row r="461" spans="22:23" s="21" customFormat="1" ht="22.5" customHeight="1" x14ac:dyDescent="0.25">
      <c r="V461" s="141"/>
      <c r="W461" s="141"/>
    </row>
    <row r="462" spans="22:23" s="21" customFormat="1" ht="22.5" customHeight="1" x14ac:dyDescent="0.25">
      <c r="V462" s="141"/>
      <c r="W462" s="141"/>
    </row>
    <row r="463" spans="22:23" s="21" customFormat="1" ht="22.5" customHeight="1" x14ac:dyDescent="0.25">
      <c r="V463" s="141"/>
      <c r="W463" s="141"/>
    </row>
    <row r="464" spans="22:23" s="21" customFormat="1" ht="22.5" customHeight="1" x14ac:dyDescent="0.25">
      <c r="V464" s="141"/>
      <c r="W464" s="141"/>
    </row>
    <row r="465" spans="22:23" s="21" customFormat="1" ht="22.5" customHeight="1" x14ac:dyDescent="0.25">
      <c r="V465" s="141"/>
      <c r="W465" s="141"/>
    </row>
    <row r="466" spans="22:23" s="21" customFormat="1" ht="22.5" customHeight="1" x14ac:dyDescent="0.25">
      <c r="V466" s="141"/>
      <c r="W466" s="141"/>
    </row>
    <row r="467" spans="22:23" s="21" customFormat="1" ht="22.5" customHeight="1" x14ac:dyDescent="0.25">
      <c r="V467" s="141"/>
      <c r="W467" s="141"/>
    </row>
    <row r="468" spans="22:23" s="21" customFormat="1" ht="22.5" customHeight="1" x14ac:dyDescent="0.25">
      <c r="V468" s="141"/>
      <c r="W468" s="141"/>
    </row>
    <row r="469" spans="22:23" s="21" customFormat="1" ht="22.5" customHeight="1" x14ac:dyDescent="0.25">
      <c r="V469" s="141"/>
      <c r="W469" s="141"/>
    </row>
    <row r="470" spans="22:23" s="21" customFormat="1" ht="22.5" customHeight="1" x14ac:dyDescent="0.25">
      <c r="V470" s="141"/>
      <c r="W470" s="141"/>
    </row>
    <row r="471" spans="22:23" s="21" customFormat="1" ht="22.5" customHeight="1" x14ac:dyDescent="0.25">
      <c r="V471" s="141"/>
      <c r="W471" s="141"/>
    </row>
    <row r="472" spans="22:23" s="21" customFormat="1" ht="22.5" customHeight="1" x14ac:dyDescent="0.25">
      <c r="V472" s="141"/>
      <c r="W472" s="141"/>
    </row>
    <row r="473" spans="22:23" s="21" customFormat="1" ht="22.5" customHeight="1" x14ac:dyDescent="0.25">
      <c r="V473" s="141"/>
      <c r="W473" s="141"/>
    </row>
    <row r="474" spans="22:23" s="21" customFormat="1" ht="22.5" customHeight="1" x14ac:dyDescent="0.25">
      <c r="V474" s="141"/>
      <c r="W474" s="141"/>
    </row>
    <row r="475" spans="22:23" s="21" customFormat="1" ht="22.5" customHeight="1" x14ac:dyDescent="0.25">
      <c r="V475" s="141"/>
      <c r="W475" s="141"/>
    </row>
    <row r="476" spans="22:23" s="21" customFormat="1" ht="22.5" customHeight="1" x14ac:dyDescent="0.25">
      <c r="V476" s="141"/>
      <c r="W476" s="141"/>
    </row>
    <row r="477" spans="22:23" s="21" customFormat="1" ht="22.5" customHeight="1" x14ac:dyDescent="0.25">
      <c r="V477" s="141"/>
      <c r="W477" s="141"/>
    </row>
    <row r="478" spans="22:23" s="21" customFormat="1" ht="22.5" customHeight="1" x14ac:dyDescent="0.25">
      <c r="V478" s="141"/>
      <c r="W478" s="141"/>
    </row>
    <row r="479" spans="22:23" s="21" customFormat="1" ht="22.5" customHeight="1" x14ac:dyDescent="0.25">
      <c r="V479" s="141"/>
      <c r="W479" s="141"/>
    </row>
    <row r="480" spans="22:23" s="21" customFormat="1" ht="22.5" customHeight="1" x14ac:dyDescent="0.25">
      <c r="V480" s="141"/>
      <c r="W480" s="141"/>
    </row>
    <row r="481" spans="22:23" s="21" customFormat="1" ht="22.5" customHeight="1" x14ac:dyDescent="0.25">
      <c r="V481" s="141"/>
      <c r="W481" s="141"/>
    </row>
    <row r="482" spans="22:23" s="21" customFormat="1" ht="22.5" customHeight="1" x14ac:dyDescent="0.25">
      <c r="V482" s="141"/>
      <c r="W482" s="141"/>
    </row>
    <row r="483" spans="22:23" s="21" customFormat="1" ht="22.5" customHeight="1" x14ac:dyDescent="0.25">
      <c r="V483" s="141"/>
      <c r="W483" s="141"/>
    </row>
    <row r="484" spans="22:23" s="21" customFormat="1" ht="22.5" customHeight="1" x14ac:dyDescent="0.25">
      <c r="V484" s="141"/>
      <c r="W484" s="141"/>
    </row>
    <row r="485" spans="22:23" s="21" customFormat="1" ht="22.5" customHeight="1" x14ac:dyDescent="0.25">
      <c r="V485" s="141"/>
      <c r="W485" s="141"/>
    </row>
    <row r="486" spans="22:23" s="21" customFormat="1" ht="22.5" customHeight="1" x14ac:dyDescent="0.25">
      <c r="V486" s="141"/>
      <c r="W486" s="141"/>
    </row>
    <row r="487" spans="22:23" s="21" customFormat="1" ht="22.5" customHeight="1" x14ac:dyDescent="0.25">
      <c r="V487" s="141"/>
      <c r="W487" s="141"/>
    </row>
    <row r="488" spans="22:23" s="21" customFormat="1" ht="22.5" customHeight="1" x14ac:dyDescent="0.25">
      <c r="V488" s="141"/>
      <c r="W488" s="141"/>
    </row>
    <row r="489" spans="22:23" s="21" customFormat="1" ht="22.5" customHeight="1" x14ac:dyDescent="0.25">
      <c r="V489" s="141"/>
      <c r="W489" s="141"/>
    </row>
    <row r="490" spans="22:23" s="21" customFormat="1" ht="22.5" customHeight="1" x14ac:dyDescent="0.25">
      <c r="V490" s="141"/>
      <c r="W490" s="141"/>
    </row>
    <row r="491" spans="22:23" s="21" customFormat="1" ht="22.5" customHeight="1" x14ac:dyDescent="0.25">
      <c r="V491" s="141"/>
      <c r="W491" s="141"/>
    </row>
    <row r="492" spans="22:23" s="21" customFormat="1" ht="22.5" customHeight="1" x14ac:dyDescent="0.25">
      <c r="V492" s="141"/>
      <c r="W492" s="141"/>
    </row>
    <row r="493" spans="22:23" s="21" customFormat="1" ht="22.5" customHeight="1" x14ac:dyDescent="0.25">
      <c r="V493" s="141"/>
      <c r="W493" s="141"/>
    </row>
    <row r="494" spans="22:23" s="21" customFormat="1" ht="22.5" customHeight="1" x14ac:dyDescent="0.25">
      <c r="V494" s="141"/>
      <c r="W494" s="141"/>
    </row>
    <row r="495" spans="22:23" s="21" customFormat="1" ht="22.5" customHeight="1" x14ac:dyDescent="0.25">
      <c r="V495" s="141"/>
      <c r="W495" s="141"/>
    </row>
    <row r="496" spans="22:23" s="21" customFormat="1" ht="22.5" customHeight="1" x14ac:dyDescent="0.25">
      <c r="V496" s="141"/>
      <c r="W496" s="141"/>
    </row>
    <row r="497" spans="22:23" s="21" customFormat="1" ht="22.5" customHeight="1" x14ac:dyDescent="0.25">
      <c r="V497" s="141"/>
      <c r="W497" s="141"/>
    </row>
    <row r="498" spans="22:23" s="21" customFormat="1" ht="22.5" customHeight="1" x14ac:dyDescent="0.25">
      <c r="V498" s="141"/>
      <c r="W498" s="141"/>
    </row>
    <row r="499" spans="22:23" s="21" customFormat="1" ht="22.5" customHeight="1" x14ac:dyDescent="0.25">
      <c r="V499" s="141"/>
      <c r="W499" s="141"/>
    </row>
    <row r="500" spans="22:23" s="21" customFormat="1" ht="22.5" customHeight="1" x14ac:dyDescent="0.25">
      <c r="V500" s="141"/>
      <c r="W500" s="141"/>
    </row>
    <row r="501" spans="22:23" s="21" customFormat="1" ht="22.5" customHeight="1" x14ac:dyDescent="0.25">
      <c r="V501" s="141"/>
      <c r="W501" s="141"/>
    </row>
    <row r="502" spans="22:23" s="21" customFormat="1" ht="22.5" customHeight="1" x14ac:dyDescent="0.25">
      <c r="V502" s="141"/>
      <c r="W502" s="141"/>
    </row>
    <row r="503" spans="22:23" s="21" customFormat="1" ht="22.5" customHeight="1" x14ac:dyDescent="0.25">
      <c r="V503" s="141"/>
      <c r="W503" s="141"/>
    </row>
    <row r="504" spans="22:23" s="21" customFormat="1" ht="22.5" customHeight="1" x14ac:dyDescent="0.25">
      <c r="V504" s="141"/>
      <c r="W504" s="141"/>
    </row>
    <row r="505" spans="22:23" s="21" customFormat="1" ht="22.5" customHeight="1" x14ac:dyDescent="0.25">
      <c r="V505" s="141"/>
      <c r="W505" s="141"/>
    </row>
    <row r="506" spans="22:23" s="21" customFormat="1" ht="22.5" customHeight="1" x14ac:dyDescent="0.25">
      <c r="V506" s="141"/>
      <c r="W506" s="141"/>
    </row>
    <row r="507" spans="22:23" s="21" customFormat="1" ht="22.5" customHeight="1" x14ac:dyDescent="0.25">
      <c r="V507" s="141"/>
      <c r="W507" s="141"/>
    </row>
    <row r="508" spans="22:23" s="21" customFormat="1" ht="22.5" customHeight="1" x14ac:dyDescent="0.25">
      <c r="V508" s="141"/>
      <c r="W508" s="141"/>
    </row>
    <row r="509" spans="22:23" s="21" customFormat="1" ht="22.5" customHeight="1" x14ac:dyDescent="0.25">
      <c r="V509" s="141"/>
      <c r="W509" s="141"/>
    </row>
    <row r="510" spans="22:23" s="21" customFormat="1" ht="22.5" customHeight="1" x14ac:dyDescent="0.25">
      <c r="V510" s="141"/>
      <c r="W510" s="141"/>
    </row>
    <row r="511" spans="22:23" s="21" customFormat="1" ht="22.5" customHeight="1" x14ac:dyDescent="0.25">
      <c r="V511" s="141"/>
      <c r="W511" s="141"/>
    </row>
    <row r="512" spans="22:23" s="21" customFormat="1" ht="22.5" customHeight="1" x14ac:dyDescent="0.25">
      <c r="V512" s="141"/>
      <c r="W512" s="141"/>
    </row>
    <row r="513" spans="22:23" s="21" customFormat="1" ht="22.5" customHeight="1" x14ac:dyDescent="0.25">
      <c r="V513" s="141"/>
      <c r="W513" s="141"/>
    </row>
    <row r="514" spans="22:23" s="21" customFormat="1" ht="22.5" customHeight="1" x14ac:dyDescent="0.25">
      <c r="V514" s="141"/>
      <c r="W514" s="141"/>
    </row>
    <row r="515" spans="22:23" s="21" customFormat="1" ht="22.5" customHeight="1" x14ac:dyDescent="0.25">
      <c r="V515" s="141"/>
      <c r="W515" s="141"/>
    </row>
    <row r="516" spans="22:23" s="21" customFormat="1" ht="22.5" customHeight="1" x14ac:dyDescent="0.25">
      <c r="V516" s="141"/>
      <c r="W516" s="141"/>
    </row>
    <row r="517" spans="22:23" s="21" customFormat="1" ht="22.5" customHeight="1" x14ac:dyDescent="0.25">
      <c r="V517" s="141"/>
      <c r="W517" s="141"/>
    </row>
    <row r="518" spans="22:23" s="21" customFormat="1" ht="22.5" customHeight="1" x14ac:dyDescent="0.25">
      <c r="V518" s="141"/>
      <c r="W518" s="141"/>
    </row>
    <row r="519" spans="22:23" s="21" customFormat="1" ht="22.5" customHeight="1" x14ac:dyDescent="0.25">
      <c r="V519" s="141"/>
      <c r="W519" s="141"/>
    </row>
    <row r="520" spans="22:23" s="21" customFormat="1" ht="22.5" customHeight="1" x14ac:dyDescent="0.25">
      <c r="V520" s="141"/>
      <c r="W520" s="141"/>
    </row>
    <row r="521" spans="22:23" s="21" customFormat="1" ht="22.5" customHeight="1" x14ac:dyDescent="0.25">
      <c r="V521" s="141"/>
      <c r="W521" s="141"/>
    </row>
    <row r="522" spans="22:23" s="21" customFormat="1" ht="22.5" customHeight="1" x14ac:dyDescent="0.25">
      <c r="V522" s="141"/>
      <c r="W522" s="141"/>
    </row>
    <row r="523" spans="22:23" s="21" customFormat="1" ht="22.5" customHeight="1" x14ac:dyDescent="0.25">
      <c r="V523" s="141"/>
      <c r="W523" s="141"/>
    </row>
    <row r="524" spans="22:23" s="21" customFormat="1" ht="22.5" customHeight="1" x14ac:dyDescent="0.25">
      <c r="V524" s="141"/>
      <c r="W524" s="141"/>
    </row>
    <row r="525" spans="22:23" s="21" customFormat="1" ht="22.5" customHeight="1" x14ac:dyDescent="0.25">
      <c r="V525" s="141"/>
      <c r="W525" s="141"/>
    </row>
    <row r="526" spans="22:23" s="21" customFormat="1" ht="22.5" customHeight="1" x14ac:dyDescent="0.25">
      <c r="V526" s="141"/>
      <c r="W526" s="141"/>
    </row>
    <row r="527" spans="22:23" s="21" customFormat="1" ht="22.5" customHeight="1" x14ac:dyDescent="0.25">
      <c r="V527" s="141"/>
      <c r="W527" s="141"/>
    </row>
    <row r="528" spans="22:23" s="21" customFormat="1" ht="22.5" customHeight="1" x14ac:dyDescent="0.25">
      <c r="V528" s="141"/>
      <c r="W528" s="141"/>
    </row>
    <row r="529" spans="22:23" s="21" customFormat="1" ht="22.5" customHeight="1" x14ac:dyDescent="0.25">
      <c r="V529" s="141"/>
      <c r="W529" s="141"/>
    </row>
    <row r="530" spans="22:23" s="21" customFormat="1" ht="22.5" customHeight="1" x14ac:dyDescent="0.25">
      <c r="V530" s="141"/>
      <c r="W530" s="141"/>
    </row>
    <row r="531" spans="22:23" s="21" customFormat="1" ht="22.5" customHeight="1" x14ac:dyDescent="0.25">
      <c r="V531" s="141"/>
      <c r="W531" s="141"/>
    </row>
    <row r="532" spans="22:23" s="21" customFormat="1" ht="22.5" customHeight="1" x14ac:dyDescent="0.25">
      <c r="V532" s="141"/>
      <c r="W532" s="141"/>
    </row>
    <row r="533" spans="22:23" s="21" customFormat="1" ht="22.5" customHeight="1" x14ac:dyDescent="0.25">
      <c r="V533" s="141"/>
      <c r="W533" s="141"/>
    </row>
    <row r="534" spans="22:23" s="21" customFormat="1" ht="22.5" customHeight="1" x14ac:dyDescent="0.25">
      <c r="V534" s="141"/>
      <c r="W534" s="141"/>
    </row>
    <row r="535" spans="22:23" s="21" customFormat="1" ht="22.5" customHeight="1" x14ac:dyDescent="0.25">
      <c r="V535" s="141"/>
      <c r="W535" s="141"/>
    </row>
    <row r="536" spans="22:23" s="21" customFormat="1" ht="22.5" customHeight="1" x14ac:dyDescent="0.25">
      <c r="V536" s="141"/>
      <c r="W536" s="141"/>
    </row>
    <row r="537" spans="22:23" s="21" customFormat="1" ht="22.5" customHeight="1" x14ac:dyDescent="0.25">
      <c r="V537" s="141"/>
      <c r="W537" s="141"/>
    </row>
    <row r="538" spans="22:23" s="21" customFormat="1" ht="22.5" customHeight="1" x14ac:dyDescent="0.25">
      <c r="V538" s="141"/>
      <c r="W538" s="141"/>
    </row>
    <row r="539" spans="22:23" s="21" customFormat="1" ht="22.5" customHeight="1" x14ac:dyDescent="0.25">
      <c r="V539" s="141"/>
      <c r="W539" s="141"/>
    </row>
    <row r="540" spans="22:23" s="21" customFormat="1" ht="22.5" customHeight="1" x14ac:dyDescent="0.25">
      <c r="V540" s="141"/>
      <c r="W540" s="141"/>
    </row>
    <row r="541" spans="22:23" s="21" customFormat="1" ht="22.5" customHeight="1" x14ac:dyDescent="0.25">
      <c r="V541" s="141"/>
      <c r="W541" s="141"/>
    </row>
    <row r="542" spans="22:23" s="21" customFormat="1" ht="22.5" customHeight="1" x14ac:dyDescent="0.25">
      <c r="V542" s="141"/>
      <c r="W542" s="141"/>
    </row>
    <row r="543" spans="22:23" s="21" customFormat="1" ht="22.5" customHeight="1" x14ac:dyDescent="0.25">
      <c r="V543" s="141"/>
      <c r="W543" s="141"/>
    </row>
    <row r="544" spans="22:23" s="21" customFormat="1" ht="22.5" customHeight="1" x14ac:dyDescent="0.25">
      <c r="V544" s="141"/>
      <c r="W544" s="141"/>
    </row>
    <row r="545" spans="22:23" s="21" customFormat="1" ht="22.5" customHeight="1" x14ac:dyDescent="0.25">
      <c r="V545" s="141"/>
      <c r="W545" s="141"/>
    </row>
    <row r="546" spans="22:23" s="21" customFormat="1" ht="22.5" customHeight="1" x14ac:dyDescent="0.25">
      <c r="V546" s="141"/>
      <c r="W546" s="141"/>
    </row>
    <row r="547" spans="22:23" s="21" customFormat="1" ht="22.5" customHeight="1" x14ac:dyDescent="0.25">
      <c r="V547" s="141"/>
      <c r="W547" s="141"/>
    </row>
    <row r="548" spans="22:23" s="21" customFormat="1" ht="22.5" customHeight="1" x14ac:dyDescent="0.25">
      <c r="V548" s="141"/>
      <c r="W548" s="141"/>
    </row>
    <row r="549" spans="22:23" s="21" customFormat="1" ht="22.5" customHeight="1" x14ac:dyDescent="0.25">
      <c r="V549" s="141"/>
      <c r="W549" s="141"/>
    </row>
    <row r="550" spans="22:23" s="21" customFormat="1" ht="22.5" customHeight="1" x14ac:dyDescent="0.25">
      <c r="V550" s="141"/>
      <c r="W550" s="141"/>
    </row>
    <row r="551" spans="22:23" s="21" customFormat="1" ht="22.5" customHeight="1" x14ac:dyDescent="0.25">
      <c r="V551" s="141"/>
      <c r="W551" s="141"/>
    </row>
    <row r="552" spans="22:23" s="21" customFormat="1" ht="22.5" customHeight="1" x14ac:dyDescent="0.25">
      <c r="V552" s="141"/>
      <c r="W552" s="141"/>
    </row>
    <row r="553" spans="22:23" s="21" customFormat="1" ht="22.5" customHeight="1" x14ac:dyDescent="0.25">
      <c r="V553" s="141"/>
      <c r="W553" s="141"/>
    </row>
    <row r="554" spans="22:23" s="21" customFormat="1" ht="22.5" customHeight="1" x14ac:dyDescent="0.25">
      <c r="V554" s="141"/>
      <c r="W554" s="141"/>
    </row>
    <row r="555" spans="22:23" s="21" customFormat="1" ht="22.5" customHeight="1" x14ac:dyDescent="0.25">
      <c r="V555" s="141"/>
      <c r="W555" s="141"/>
    </row>
    <row r="556" spans="22:23" s="21" customFormat="1" ht="22.5" customHeight="1" x14ac:dyDescent="0.25">
      <c r="V556" s="141"/>
      <c r="W556" s="141"/>
    </row>
  </sheetData>
  <sheetProtection algorithmName="SHA-512" hashValue="XBu9XvX4L12ZOXDVB9M4kXlE/GNm6FjO9JO4gXLYdMV4sqrVrnwN36sdTfR8j5jWbOthERUsA2uPpkyFUu0e3w==" saltValue="Qr3Z55eT6ijVaHbZDp1sYQ==" spinCount="100000" sheet="1" objects="1" scenarios="1" selectLockedCells="1" selectUnlockedCells="1"/>
  <mergeCells count="26">
    <mergeCell ref="AG5:AJ5"/>
    <mergeCell ref="AK5:AN5"/>
    <mergeCell ref="AO5:AR5"/>
    <mergeCell ref="AS5:AV5"/>
    <mergeCell ref="Y15:Z15"/>
    <mergeCell ref="AC15:AD15"/>
    <mergeCell ref="AG15:AH15"/>
    <mergeCell ref="AK15:AL15"/>
    <mergeCell ref="AO15:AP15"/>
    <mergeCell ref="AS15:AT15"/>
    <mergeCell ref="Y4:AF4"/>
    <mergeCell ref="AG4:AN4"/>
    <mergeCell ref="AO4:AV4"/>
    <mergeCell ref="A5:C5"/>
    <mergeCell ref="E5:F5"/>
    <mergeCell ref="G5:I5"/>
    <mergeCell ref="J5:J6"/>
    <mergeCell ref="K5:K6"/>
    <mergeCell ref="Y5:AB5"/>
    <mergeCell ref="AC5:AF5"/>
    <mergeCell ref="C1:X3"/>
    <mergeCell ref="A4:K4"/>
    <mergeCell ref="L4:P5"/>
    <mergeCell ref="Q4:U5"/>
    <mergeCell ref="V4:W5"/>
    <mergeCell ref="X4:X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CF8E7-6479-47E2-9661-F9590675E1FA}">
  <sheetPr>
    <tabColor rgb="FFFF0000"/>
  </sheetPr>
  <dimension ref="A1:BU410"/>
  <sheetViews>
    <sheetView topLeftCell="AN1" zoomScale="96" zoomScaleNormal="96" workbookViewId="0">
      <selection activeCell="AV13" sqref="AV13"/>
    </sheetView>
  </sheetViews>
  <sheetFormatPr baseColWidth="10" defaultRowHeight="15" x14ac:dyDescent="0.25"/>
  <cols>
    <col min="1" max="1" width="21.140625" style="260" customWidth="1"/>
    <col min="2" max="2" width="17.85546875" style="260" customWidth="1"/>
    <col min="3" max="3" width="24.140625" style="260" customWidth="1"/>
    <col min="4" max="4" width="26.42578125" style="260" customWidth="1"/>
    <col min="5" max="5" width="18.140625" style="260" customWidth="1"/>
    <col min="6" max="6" width="20.5703125" style="260" customWidth="1"/>
    <col min="7" max="7" width="14" style="260" customWidth="1"/>
    <col min="8" max="8" width="16.5703125" style="260" customWidth="1"/>
    <col min="9" max="9" width="15.140625" style="260" customWidth="1"/>
    <col min="10" max="10" width="15.85546875" style="260" customWidth="1"/>
    <col min="11" max="11" width="16.42578125" style="260" customWidth="1"/>
    <col min="12" max="12" width="21.85546875" style="260" customWidth="1"/>
    <col min="13" max="13" width="23" style="260" customWidth="1"/>
    <col min="14" max="14" width="11.42578125" style="260"/>
    <col min="15" max="15" width="13.5703125" style="260" customWidth="1"/>
    <col min="16" max="16" width="11.42578125" style="260"/>
    <col min="17" max="17" width="20.28515625" style="260" customWidth="1"/>
    <col min="18" max="18" width="20.140625" style="260" customWidth="1"/>
    <col min="19" max="19" width="12.28515625" style="260" customWidth="1"/>
    <col min="20" max="20" width="11.42578125" style="260"/>
    <col min="21" max="21" width="11.5703125" style="260" customWidth="1"/>
    <col min="22" max="22" width="15.5703125" style="261" customWidth="1"/>
    <col min="23" max="23" width="16.7109375" style="261" customWidth="1"/>
    <col min="24" max="24" width="16.7109375" style="260" customWidth="1"/>
    <col min="25" max="25" width="16.28515625" style="260" customWidth="1"/>
    <col min="26" max="26" width="11.42578125" style="260"/>
    <col min="27" max="27" width="16" style="260" customWidth="1"/>
    <col min="28" max="28" width="40.5703125" style="260" customWidth="1"/>
    <col min="29" max="29" width="14.5703125" style="260" customWidth="1"/>
    <col min="30" max="30" width="11.42578125" style="260"/>
    <col min="31" max="31" width="13" style="260" customWidth="1"/>
    <col min="32" max="32" width="32.85546875" style="260" customWidth="1"/>
    <col min="33" max="33" width="18.140625" style="260" bestFit="1" customWidth="1"/>
    <col min="34" max="34" width="11.42578125" style="260"/>
    <col min="35" max="35" width="16" style="260" customWidth="1"/>
    <col min="36" max="36" width="40.5703125" style="260" customWidth="1"/>
    <col min="37" max="37" width="17.140625" style="260" bestFit="1" customWidth="1"/>
    <col min="38" max="38" width="11.42578125" style="260"/>
    <col min="39" max="39" width="13" style="260" customWidth="1"/>
    <col min="40" max="40" width="32.85546875" style="260" customWidth="1"/>
    <col min="41" max="41" width="18.140625" style="260" bestFit="1" customWidth="1"/>
    <col min="42" max="42" width="11.42578125" style="260"/>
    <col min="43" max="43" width="16" style="260" customWidth="1"/>
    <col min="44" max="44" width="40.5703125" style="260" customWidth="1"/>
    <col min="45" max="45" width="17.140625" style="260" bestFit="1" customWidth="1"/>
    <col min="46" max="46" width="11.42578125" style="260"/>
    <col min="47" max="47" width="13" style="260" customWidth="1"/>
    <col min="48" max="48" width="32.85546875" style="260" customWidth="1"/>
    <col min="49" max="49" width="16.42578125" style="285" customWidth="1"/>
    <col min="50" max="73" width="11.42578125" style="285"/>
    <col min="74" max="16384" width="11.42578125" style="260"/>
  </cols>
  <sheetData>
    <row r="1" spans="1:73"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73"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73"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73" s="203" customFormat="1" x14ac:dyDescent="0.25">
      <c r="A4" s="414" t="s">
        <v>5</v>
      </c>
      <c r="B4" s="415"/>
      <c r="C4" s="415"/>
      <c r="D4" s="415"/>
      <c r="E4" s="415"/>
      <c r="F4" s="415"/>
      <c r="G4" s="415"/>
      <c r="H4" s="415"/>
      <c r="I4" s="415"/>
      <c r="J4" s="415"/>
      <c r="K4" s="416"/>
      <c r="L4" s="417" t="s">
        <v>6</v>
      </c>
      <c r="M4" s="418"/>
      <c r="N4" s="418"/>
      <c r="O4" s="418"/>
      <c r="P4" s="419"/>
      <c r="Q4" s="417" t="s">
        <v>7</v>
      </c>
      <c r="R4" s="418"/>
      <c r="S4" s="418"/>
      <c r="T4" s="418"/>
      <c r="U4" s="419"/>
      <c r="V4" s="420" t="s">
        <v>8</v>
      </c>
      <c r="W4" s="421"/>
      <c r="X4" s="424" t="s">
        <v>9</v>
      </c>
      <c r="Y4" s="403" t="s">
        <v>10</v>
      </c>
      <c r="Z4" s="404"/>
      <c r="AA4" s="404"/>
      <c r="AB4" s="404"/>
      <c r="AC4" s="404"/>
      <c r="AD4" s="404"/>
      <c r="AE4" s="404"/>
      <c r="AF4" s="405"/>
      <c r="AG4" s="403" t="s">
        <v>11</v>
      </c>
      <c r="AH4" s="404"/>
      <c r="AI4" s="404"/>
      <c r="AJ4" s="404"/>
      <c r="AK4" s="404"/>
      <c r="AL4" s="404"/>
      <c r="AM4" s="404"/>
      <c r="AN4" s="405"/>
      <c r="AO4" s="403" t="s">
        <v>12</v>
      </c>
      <c r="AP4" s="404"/>
      <c r="AQ4" s="404"/>
      <c r="AR4" s="404"/>
      <c r="AS4" s="404"/>
      <c r="AT4" s="404"/>
      <c r="AU4" s="404"/>
      <c r="AV4" s="405"/>
      <c r="AW4" s="277"/>
      <c r="AX4" s="277"/>
      <c r="AY4" s="277"/>
      <c r="AZ4" s="277"/>
      <c r="BA4" s="277"/>
      <c r="BB4" s="277"/>
      <c r="BC4" s="277"/>
      <c r="BD4" s="277"/>
      <c r="BE4" s="277"/>
      <c r="BF4" s="277"/>
      <c r="BG4" s="277"/>
      <c r="BH4" s="277"/>
      <c r="BI4" s="277"/>
      <c r="BJ4" s="277"/>
      <c r="BK4" s="277"/>
      <c r="BL4" s="277"/>
      <c r="BM4" s="277"/>
      <c r="BN4" s="277"/>
      <c r="BO4" s="277"/>
      <c r="BP4" s="277"/>
      <c r="BQ4" s="277"/>
      <c r="BR4" s="277"/>
      <c r="BS4" s="277"/>
      <c r="BT4" s="277"/>
      <c r="BU4" s="277"/>
    </row>
    <row r="5" spans="1:73" s="203" customFormat="1" ht="30" x14ac:dyDescent="0.25">
      <c r="A5" s="406" t="s">
        <v>13</v>
      </c>
      <c r="B5" s="407"/>
      <c r="C5" s="408"/>
      <c r="D5" s="205" t="s">
        <v>14</v>
      </c>
      <c r="E5" s="406" t="s">
        <v>15</v>
      </c>
      <c r="F5" s="408"/>
      <c r="G5" s="406" t="s">
        <v>16</v>
      </c>
      <c r="H5" s="407"/>
      <c r="I5" s="408"/>
      <c r="J5" s="409" t="s">
        <v>17</v>
      </c>
      <c r="K5" s="409" t="s">
        <v>18</v>
      </c>
      <c r="L5" s="403"/>
      <c r="M5" s="404"/>
      <c r="N5" s="404"/>
      <c r="O5" s="404"/>
      <c r="P5" s="405"/>
      <c r="Q5" s="403"/>
      <c r="R5" s="404"/>
      <c r="S5" s="404"/>
      <c r="T5" s="404"/>
      <c r="U5" s="405"/>
      <c r="V5" s="422"/>
      <c r="W5" s="423"/>
      <c r="X5" s="425"/>
      <c r="Y5" s="406" t="s">
        <v>19</v>
      </c>
      <c r="Z5" s="407"/>
      <c r="AA5" s="407"/>
      <c r="AB5" s="411"/>
      <c r="AC5" s="412" t="s">
        <v>20</v>
      </c>
      <c r="AD5" s="407"/>
      <c r="AE5" s="407"/>
      <c r="AF5" s="408"/>
      <c r="AG5" s="406" t="s">
        <v>19</v>
      </c>
      <c r="AH5" s="407"/>
      <c r="AI5" s="407"/>
      <c r="AJ5" s="411"/>
      <c r="AK5" s="412" t="s">
        <v>20</v>
      </c>
      <c r="AL5" s="407"/>
      <c r="AM5" s="407"/>
      <c r="AN5" s="408"/>
      <c r="AO5" s="406" t="s">
        <v>19</v>
      </c>
      <c r="AP5" s="407"/>
      <c r="AQ5" s="407"/>
      <c r="AR5" s="411"/>
      <c r="AS5" s="412" t="s">
        <v>20</v>
      </c>
      <c r="AT5" s="407"/>
      <c r="AU5" s="407"/>
      <c r="AV5" s="408"/>
      <c r="AW5" s="277"/>
      <c r="AX5" s="277"/>
      <c r="AY5" s="277"/>
      <c r="AZ5" s="277"/>
      <c r="BA5" s="277"/>
      <c r="BB5" s="277"/>
      <c r="BC5" s="277"/>
      <c r="BD5" s="277"/>
      <c r="BE5" s="277"/>
      <c r="BF5" s="277"/>
      <c r="BG5" s="277"/>
      <c r="BH5" s="277"/>
      <c r="BI5" s="277"/>
      <c r="BJ5" s="277"/>
      <c r="BK5" s="277"/>
      <c r="BL5" s="277"/>
      <c r="BM5" s="277"/>
      <c r="BN5" s="277"/>
      <c r="BO5" s="277"/>
      <c r="BP5" s="277"/>
      <c r="BQ5" s="277"/>
      <c r="BR5" s="277"/>
      <c r="BS5" s="277"/>
      <c r="BT5" s="277"/>
      <c r="BU5" s="277"/>
    </row>
    <row r="6" spans="1:73" s="203" customFormat="1" ht="45" x14ac:dyDescent="0.25">
      <c r="A6" s="247" t="s">
        <v>21</v>
      </c>
      <c r="B6" s="247" t="s">
        <v>22</v>
      </c>
      <c r="C6" s="247" t="s">
        <v>23</v>
      </c>
      <c r="D6" s="247" t="s">
        <v>24</v>
      </c>
      <c r="E6" s="247" t="s">
        <v>25</v>
      </c>
      <c r="F6" s="247" t="s">
        <v>26</v>
      </c>
      <c r="G6" s="247" t="s">
        <v>27</v>
      </c>
      <c r="H6" s="247" t="s">
        <v>28</v>
      </c>
      <c r="I6" s="247" t="s">
        <v>29</v>
      </c>
      <c r="J6" s="410"/>
      <c r="K6" s="410"/>
      <c r="L6" s="247" t="s">
        <v>6</v>
      </c>
      <c r="M6" s="247" t="s">
        <v>30</v>
      </c>
      <c r="N6" s="247" t="s">
        <v>31</v>
      </c>
      <c r="O6" s="247" t="s">
        <v>32</v>
      </c>
      <c r="P6" s="247" t="s">
        <v>33</v>
      </c>
      <c r="Q6" s="247" t="s">
        <v>7</v>
      </c>
      <c r="R6" s="247" t="s">
        <v>34</v>
      </c>
      <c r="S6" s="247" t="s">
        <v>31</v>
      </c>
      <c r="T6" s="247" t="s">
        <v>32</v>
      </c>
      <c r="U6" s="247" t="s">
        <v>35</v>
      </c>
      <c r="V6" s="259" t="s">
        <v>36</v>
      </c>
      <c r="W6" s="259" t="s">
        <v>37</v>
      </c>
      <c r="X6" s="247" t="s">
        <v>38</v>
      </c>
      <c r="Y6" s="247" t="s">
        <v>39</v>
      </c>
      <c r="Z6" s="247" t="s">
        <v>40</v>
      </c>
      <c r="AA6" s="247" t="s">
        <v>41</v>
      </c>
      <c r="AB6" s="247" t="s">
        <v>42</v>
      </c>
      <c r="AC6" s="247" t="s">
        <v>39</v>
      </c>
      <c r="AD6" s="247" t="s">
        <v>40</v>
      </c>
      <c r="AE6" s="247" t="s">
        <v>41</v>
      </c>
      <c r="AF6" s="247" t="s">
        <v>42</v>
      </c>
      <c r="AG6" s="247" t="s">
        <v>39</v>
      </c>
      <c r="AH6" s="247" t="s">
        <v>40</v>
      </c>
      <c r="AI6" s="247" t="s">
        <v>41</v>
      </c>
      <c r="AJ6" s="247" t="s">
        <v>42</v>
      </c>
      <c r="AK6" s="247" t="s">
        <v>39</v>
      </c>
      <c r="AL6" s="247" t="s">
        <v>40</v>
      </c>
      <c r="AM6" s="247" t="s">
        <v>41</v>
      </c>
      <c r="AN6" s="247" t="s">
        <v>42</v>
      </c>
      <c r="AO6" s="247" t="s">
        <v>39</v>
      </c>
      <c r="AP6" s="247" t="s">
        <v>40</v>
      </c>
      <c r="AQ6" s="247" t="s">
        <v>41</v>
      </c>
      <c r="AR6" s="247" t="s">
        <v>42</v>
      </c>
      <c r="AS6" s="247" t="s">
        <v>39</v>
      </c>
      <c r="AT6" s="247" t="s">
        <v>40</v>
      </c>
      <c r="AU6" s="247" t="s">
        <v>41</v>
      </c>
      <c r="AV6" s="247" t="s">
        <v>42</v>
      </c>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row>
    <row r="7" spans="1:73" s="263" customFormat="1" ht="132" x14ac:dyDescent="0.25">
      <c r="A7" s="426" t="s">
        <v>43</v>
      </c>
      <c r="B7" s="427" t="s">
        <v>44</v>
      </c>
      <c r="C7" s="393" t="s">
        <v>45</v>
      </c>
      <c r="D7" s="396" t="s">
        <v>306</v>
      </c>
      <c r="E7" s="393" t="s">
        <v>47</v>
      </c>
      <c r="F7" s="396" t="s">
        <v>678</v>
      </c>
      <c r="G7" s="393" t="s">
        <v>377</v>
      </c>
      <c r="H7" s="396" t="s">
        <v>541</v>
      </c>
      <c r="I7" s="393" t="s">
        <v>679</v>
      </c>
      <c r="J7" s="396" t="s">
        <v>680</v>
      </c>
      <c r="K7" s="393" t="s">
        <v>681</v>
      </c>
      <c r="L7" s="391" t="s">
        <v>682</v>
      </c>
      <c r="M7" s="391" t="s">
        <v>683</v>
      </c>
      <c r="N7" s="391" t="s">
        <v>56</v>
      </c>
      <c r="O7" s="391"/>
      <c r="P7" s="391">
        <v>5</v>
      </c>
      <c r="Q7" s="66" t="s">
        <v>684</v>
      </c>
      <c r="R7" s="66" t="s">
        <v>685</v>
      </c>
      <c r="S7" s="67" t="s">
        <v>56</v>
      </c>
      <c r="T7" s="67"/>
      <c r="U7" s="67">
        <v>8</v>
      </c>
      <c r="V7" s="254">
        <v>2197500000</v>
      </c>
      <c r="W7" s="399">
        <v>10000000000</v>
      </c>
      <c r="X7" s="402" t="s">
        <v>686</v>
      </c>
      <c r="Y7" s="391">
        <v>0</v>
      </c>
      <c r="Z7" s="391">
        <v>5</v>
      </c>
      <c r="AA7" s="391">
        <v>0</v>
      </c>
      <c r="AB7" s="391" t="s">
        <v>687</v>
      </c>
      <c r="AC7" s="67">
        <v>0</v>
      </c>
      <c r="AD7" s="67">
        <v>8</v>
      </c>
      <c r="AE7" s="68">
        <v>0</v>
      </c>
      <c r="AF7" s="67" t="s">
        <v>688</v>
      </c>
      <c r="AG7" s="391">
        <v>0</v>
      </c>
      <c r="AH7" s="391">
        <v>5</v>
      </c>
      <c r="AI7" s="391">
        <v>0</v>
      </c>
      <c r="AJ7" s="391" t="s">
        <v>687</v>
      </c>
      <c r="AK7" s="67">
        <v>0</v>
      </c>
      <c r="AL7" s="67">
        <v>8</v>
      </c>
      <c r="AM7" s="68">
        <v>0</v>
      </c>
      <c r="AN7" s="67" t="s">
        <v>688</v>
      </c>
      <c r="AO7" s="391">
        <v>0</v>
      </c>
      <c r="AP7" s="391">
        <v>5</v>
      </c>
      <c r="AQ7" s="391">
        <v>0</v>
      </c>
      <c r="AR7" s="391" t="s">
        <v>689</v>
      </c>
      <c r="AS7" s="67">
        <v>1</v>
      </c>
      <c r="AT7" s="67">
        <v>8</v>
      </c>
      <c r="AU7" s="68">
        <f>+AS7/AT7</f>
        <v>0.125</v>
      </c>
      <c r="AV7" s="67" t="s">
        <v>690</v>
      </c>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row>
    <row r="8" spans="1:73" s="263" customFormat="1" ht="72" x14ac:dyDescent="0.25">
      <c r="A8" s="402"/>
      <c r="B8" s="428"/>
      <c r="C8" s="394"/>
      <c r="D8" s="397"/>
      <c r="E8" s="394"/>
      <c r="F8" s="397"/>
      <c r="G8" s="394"/>
      <c r="H8" s="397"/>
      <c r="I8" s="394"/>
      <c r="J8" s="397"/>
      <c r="K8" s="394"/>
      <c r="L8" s="391"/>
      <c r="M8" s="391"/>
      <c r="N8" s="391"/>
      <c r="O8" s="391"/>
      <c r="P8" s="391"/>
      <c r="Q8" s="73" t="s">
        <v>691</v>
      </c>
      <c r="R8" s="73" t="s">
        <v>692</v>
      </c>
      <c r="S8" s="80" t="s">
        <v>56</v>
      </c>
      <c r="T8" s="80"/>
      <c r="U8" s="80">
        <v>4</v>
      </c>
      <c r="V8" s="256">
        <v>3024477452</v>
      </c>
      <c r="W8" s="400"/>
      <c r="X8" s="402"/>
      <c r="Y8" s="391"/>
      <c r="Z8" s="391"/>
      <c r="AA8" s="391"/>
      <c r="AB8" s="391"/>
      <c r="AC8" s="80">
        <v>0</v>
      </c>
      <c r="AD8" s="80">
        <v>4</v>
      </c>
      <c r="AE8" s="81">
        <v>0</v>
      </c>
      <c r="AF8" s="80" t="s">
        <v>688</v>
      </c>
      <c r="AG8" s="391"/>
      <c r="AH8" s="391"/>
      <c r="AI8" s="391"/>
      <c r="AJ8" s="391"/>
      <c r="AK8" s="80">
        <v>0</v>
      </c>
      <c r="AL8" s="80">
        <v>4</v>
      </c>
      <c r="AM8" s="81">
        <v>0</v>
      </c>
      <c r="AN8" s="80" t="s">
        <v>688</v>
      </c>
      <c r="AO8" s="391"/>
      <c r="AP8" s="391"/>
      <c r="AQ8" s="391"/>
      <c r="AR8" s="391"/>
      <c r="AS8" s="80">
        <v>0</v>
      </c>
      <c r="AT8" s="80">
        <v>4</v>
      </c>
      <c r="AU8" s="81">
        <v>0</v>
      </c>
      <c r="AV8" s="80" t="s">
        <v>688</v>
      </c>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row>
    <row r="9" spans="1:73" s="263" customFormat="1" ht="156" x14ac:dyDescent="0.25">
      <c r="A9" s="402"/>
      <c r="B9" s="428"/>
      <c r="C9" s="394"/>
      <c r="D9" s="397"/>
      <c r="E9" s="394"/>
      <c r="F9" s="398"/>
      <c r="G9" s="394"/>
      <c r="H9" s="397"/>
      <c r="I9" s="394"/>
      <c r="J9" s="397"/>
      <c r="K9" s="394"/>
      <c r="L9" s="73" t="s">
        <v>693</v>
      </c>
      <c r="M9" s="73" t="s">
        <v>694</v>
      </c>
      <c r="N9" s="73" t="s">
        <v>56</v>
      </c>
      <c r="O9" s="73"/>
      <c r="P9" s="73">
        <v>1000</v>
      </c>
      <c r="Q9" s="73" t="s">
        <v>695</v>
      </c>
      <c r="R9" s="73" t="s">
        <v>696</v>
      </c>
      <c r="S9" s="80" t="s">
        <v>56</v>
      </c>
      <c r="T9" s="73"/>
      <c r="U9" s="80">
        <v>5</v>
      </c>
      <c r="V9" s="254">
        <v>1081803196</v>
      </c>
      <c r="W9" s="400"/>
      <c r="X9" s="402"/>
      <c r="Y9" s="80">
        <v>0</v>
      </c>
      <c r="Z9" s="80">
        <v>1000</v>
      </c>
      <c r="AA9" s="80">
        <v>0</v>
      </c>
      <c r="AB9" s="73" t="s">
        <v>697</v>
      </c>
      <c r="AC9" s="80">
        <v>1</v>
      </c>
      <c r="AD9" s="80">
        <v>5</v>
      </c>
      <c r="AE9" s="81">
        <f>+AC9/AD9</f>
        <v>0.2</v>
      </c>
      <c r="AF9" s="80" t="s">
        <v>698</v>
      </c>
      <c r="AG9" s="80">
        <v>385</v>
      </c>
      <c r="AH9" s="80">
        <v>1000</v>
      </c>
      <c r="AI9" s="81">
        <f>+AG9/AH9</f>
        <v>0.38500000000000001</v>
      </c>
      <c r="AJ9" s="80" t="s">
        <v>699</v>
      </c>
      <c r="AK9" s="80">
        <v>2</v>
      </c>
      <c r="AL9" s="80">
        <v>5</v>
      </c>
      <c r="AM9" s="81">
        <f>+AK9/AL9</f>
        <v>0.4</v>
      </c>
      <c r="AN9" s="80" t="s">
        <v>698</v>
      </c>
      <c r="AO9" s="80">
        <v>385</v>
      </c>
      <c r="AP9" s="80">
        <v>1000</v>
      </c>
      <c r="AQ9" s="81">
        <f>+AO9/AP9</f>
        <v>0.38500000000000001</v>
      </c>
      <c r="AR9" s="80" t="s">
        <v>700</v>
      </c>
      <c r="AS9" s="80">
        <v>3</v>
      </c>
      <c r="AT9" s="80">
        <v>5</v>
      </c>
      <c r="AU9" s="81">
        <f>+AS9/AT9</f>
        <v>0.6</v>
      </c>
      <c r="AV9" s="80" t="s">
        <v>701</v>
      </c>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row>
    <row r="10" spans="1:73" s="263" customFormat="1" ht="72" x14ac:dyDescent="0.25">
      <c r="A10" s="402"/>
      <c r="B10" s="428"/>
      <c r="C10" s="394"/>
      <c r="D10" s="397"/>
      <c r="E10" s="394"/>
      <c r="F10" s="391" t="s">
        <v>326</v>
      </c>
      <c r="G10" s="394"/>
      <c r="H10" s="397"/>
      <c r="I10" s="394"/>
      <c r="J10" s="397"/>
      <c r="K10" s="394"/>
      <c r="L10" s="391" t="s">
        <v>702</v>
      </c>
      <c r="M10" s="391" t="s">
        <v>703</v>
      </c>
      <c r="N10" s="391" t="s">
        <v>56</v>
      </c>
      <c r="O10" s="391"/>
      <c r="P10" s="391">
        <v>5</v>
      </c>
      <c r="Q10" s="66" t="s">
        <v>704</v>
      </c>
      <c r="R10" s="66" t="s">
        <v>705</v>
      </c>
      <c r="S10" s="67" t="s">
        <v>56</v>
      </c>
      <c r="T10" s="67"/>
      <c r="U10" s="67">
        <v>7</v>
      </c>
      <c r="V10" s="256">
        <v>2415200000</v>
      </c>
      <c r="W10" s="400"/>
      <c r="X10" s="402"/>
      <c r="Y10" s="391">
        <v>1</v>
      </c>
      <c r="Z10" s="391">
        <v>5</v>
      </c>
      <c r="AA10" s="392">
        <f>+Y10/Z10</f>
        <v>0.2</v>
      </c>
      <c r="AB10" s="391" t="s">
        <v>706</v>
      </c>
      <c r="AC10" s="67">
        <v>0</v>
      </c>
      <c r="AD10" s="67">
        <v>7</v>
      </c>
      <c r="AE10" s="68">
        <v>0</v>
      </c>
      <c r="AF10" s="67" t="s">
        <v>688</v>
      </c>
      <c r="AG10" s="391">
        <v>2</v>
      </c>
      <c r="AH10" s="391">
        <v>5</v>
      </c>
      <c r="AI10" s="392">
        <f>+AG10/AH10</f>
        <v>0.4</v>
      </c>
      <c r="AJ10" s="391" t="s">
        <v>707</v>
      </c>
      <c r="AK10" s="67">
        <v>0</v>
      </c>
      <c r="AL10" s="67">
        <v>7</v>
      </c>
      <c r="AM10" s="68">
        <v>0</v>
      </c>
      <c r="AN10" s="67" t="s">
        <v>688</v>
      </c>
      <c r="AO10" s="391">
        <v>2</v>
      </c>
      <c r="AP10" s="391">
        <v>5</v>
      </c>
      <c r="AQ10" s="392">
        <f>+AO10/AP10</f>
        <v>0.4</v>
      </c>
      <c r="AR10" s="391" t="s">
        <v>707</v>
      </c>
      <c r="AS10" s="67">
        <v>0</v>
      </c>
      <c r="AT10" s="67">
        <v>7</v>
      </c>
      <c r="AU10" s="68">
        <v>0</v>
      </c>
      <c r="AV10" s="67" t="s">
        <v>688</v>
      </c>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row>
    <row r="11" spans="1:73" s="263" customFormat="1" ht="192" x14ac:dyDescent="0.25">
      <c r="A11" s="402"/>
      <c r="B11" s="428"/>
      <c r="C11" s="394"/>
      <c r="D11" s="397"/>
      <c r="E11" s="394"/>
      <c r="F11" s="391"/>
      <c r="G11" s="394"/>
      <c r="H11" s="397"/>
      <c r="I11" s="394"/>
      <c r="J11" s="397"/>
      <c r="K11" s="394"/>
      <c r="L11" s="391"/>
      <c r="M11" s="391"/>
      <c r="N11" s="391"/>
      <c r="O11" s="391"/>
      <c r="P11" s="391"/>
      <c r="Q11" s="73" t="s">
        <v>708</v>
      </c>
      <c r="R11" s="73" t="s">
        <v>709</v>
      </c>
      <c r="S11" s="73" t="s">
        <v>74</v>
      </c>
      <c r="T11" s="73"/>
      <c r="U11" s="80">
        <v>1</v>
      </c>
      <c r="V11" s="254">
        <v>2415200000</v>
      </c>
      <c r="W11" s="400"/>
      <c r="X11" s="402"/>
      <c r="Y11" s="391"/>
      <c r="Z11" s="391"/>
      <c r="AA11" s="392"/>
      <c r="AB11" s="391"/>
      <c r="AC11" s="81">
        <v>0.05</v>
      </c>
      <c r="AD11" s="80">
        <v>1</v>
      </c>
      <c r="AE11" s="81">
        <v>0.05</v>
      </c>
      <c r="AF11" s="80" t="s">
        <v>710</v>
      </c>
      <c r="AG11" s="391"/>
      <c r="AH11" s="391">
        <v>5</v>
      </c>
      <c r="AI11" s="392"/>
      <c r="AJ11" s="391"/>
      <c r="AK11" s="81">
        <v>0.05</v>
      </c>
      <c r="AL11" s="80">
        <v>1</v>
      </c>
      <c r="AM11" s="81">
        <v>0.05</v>
      </c>
      <c r="AN11" s="80" t="s">
        <v>710</v>
      </c>
      <c r="AO11" s="391"/>
      <c r="AP11" s="391">
        <v>5</v>
      </c>
      <c r="AQ11" s="392"/>
      <c r="AR11" s="391"/>
      <c r="AS11" s="81">
        <v>0.25</v>
      </c>
      <c r="AT11" s="80">
        <v>1</v>
      </c>
      <c r="AU11" s="81">
        <v>0.3</v>
      </c>
      <c r="AV11" s="80" t="s">
        <v>711</v>
      </c>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row>
    <row r="12" spans="1:73" s="263" customFormat="1" ht="144" x14ac:dyDescent="0.25">
      <c r="A12" s="402"/>
      <c r="B12" s="428"/>
      <c r="C12" s="394"/>
      <c r="D12" s="397"/>
      <c r="E12" s="394"/>
      <c r="F12" s="391"/>
      <c r="G12" s="394"/>
      <c r="H12" s="397"/>
      <c r="I12" s="394"/>
      <c r="J12" s="397"/>
      <c r="K12" s="394"/>
      <c r="L12" s="391"/>
      <c r="M12" s="391"/>
      <c r="N12" s="391"/>
      <c r="O12" s="391"/>
      <c r="P12" s="391"/>
      <c r="Q12" s="66" t="s">
        <v>712</v>
      </c>
      <c r="R12" s="66" t="s">
        <v>713</v>
      </c>
      <c r="S12" s="67" t="s">
        <v>74</v>
      </c>
      <c r="T12" s="67"/>
      <c r="U12" s="67">
        <v>1</v>
      </c>
      <c r="V12" s="256">
        <v>2415200000</v>
      </c>
      <c r="W12" s="400"/>
      <c r="X12" s="402"/>
      <c r="Y12" s="391"/>
      <c r="Z12" s="391"/>
      <c r="AA12" s="392"/>
      <c r="AB12" s="391"/>
      <c r="AC12" s="68">
        <v>0.05</v>
      </c>
      <c r="AD12" s="67">
        <v>1</v>
      </c>
      <c r="AE12" s="68">
        <v>0.05</v>
      </c>
      <c r="AF12" s="67" t="s">
        <v>714</v>
      </c>
      <c r="AG12" s="391"/>
      <c r="AH12" s="391"/>
      <c r="AI12" s="392"/>
      <c r="AJ12" s="391"/>
      <c r="AK12" s="68">
        <v>0.05</v>
      </c>
      <c r="AL12" s="67">
        <v>1</v>
      </c>
      <c r="AM12" s="68">
        <v>0.05</v>
      </c>
      <c r="AN12" s="67" t="s">
        <v>714</v>
      </c>
      <c r="AO12" s="391"/>
      <c r="AP12" s="391"/>
      <c r="AQ12" s="392"/>
      <c r="AR12" s="391"/>
      <c r="AS12" s="68">
        <v>0.15</v>
      </c>
      <c r="AT12" s="67">
        <v>1</v>
      </c>
      <c r="AU12" s="68">
        <v>0.2</v>
      </c>
      <c r="AV12" s="67" t="s">
        <v>715</v>
      </c>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row>
    <row r="13" spans="1:73" s="263" customFormat="1" ht="76.5" customHeight="1" x14ac:dyDescent="0.25">
      <c r="A13" s="402"/>
      <c r="B13" s="428"/>
      <c r="C13" s="394"/>
      <c r="D13" s="397"/>
      <c r="E13" s="394"/>
      <c r="F13" s="396" t="s">
        <v>678</v>
      </c>
      <c r="G13" s="394"/>
      <c r="H13" s="397"/>
      <c r="I13" s="394"/>
      <c r="J13" s="397"/>
      <c r="K13" s="394"/>
      <c r="L13" s="390" t="s">
        <v>716</v>
      </c>
      <c r="M13" s="390" t="s">
        <v>713</v>
      </c>
      <c r="N13" s="390" t="s">
        <v>74</v>
      </c>
      <c r="O13" s="390"/>
      <c r="P13" s="390">
        <v>100</v>
      </c>
      <c r="Q13" s="73" t="s">
        <v>717</v>
      </c>
      <c r="R13" s="73" t="s">
        <v>709</v>
      </c>
      <c r="S13" s="80" t="s">
        <v>56</v>
      </c>
      <c r="T13" s="73"/>
      <c r="U13" s="80">
        <v>3</v>
      </c>
      <c r="V13" s="254">
        <v>1281019352</v>
      </c>
      <c r="W13" s="400"/>
      <c r="X13" s="402"/>
      <c r="Y13" s="389">
        <v>0.05</v>
      </c>
      <c r="Z13" s="389">
        <v>1</v>
      </c>
      <c r="AA13" s="389">
        <v>0.05</v>
      </c>
      <c r="AB13" s="390" t="s">
        <v>718</v>
      </c>
      <c r="AC13" s="80">
        <v>1</v>
      </c>
      <c r="AD13" s="80">
        <v>3</v>
      </c>
      <c r="AE13" s="81">
        <f>+AC13/AD13</f>
        <v>0.33333333333333331</v>
      </c>
      <c r="AF13" s="80" t="s">
        <v>719</v>
      </c>
      <c r="AG13" s="389">
        <v>0.05</v>
      </c>
      <c r="AH13" s="389">
        <v>1</v>
      </c>
      <c r="AI13" s="389">
        <v>0.05</v>
      </c>
      <c r="AJ13" s="390" t="s">
        <v>718</v>
      </c>
      <c r="AK13" s="80">
        <v>1</v>
      </c>
      <c r="AL13" s="80">
        <v>3</v>
      </c>
      <c r="AM13" s="81">
        <f>+AK13/AL13</f>
        <v>0.33333333333333331</v>
      </c>
      <c r="AN13" s="80" t="s">
        <v>719</v>
      </c>
      <c r="AO13" s="389">
        <v>0.25</v>
      </c>
      <c r="AP13" s="389">
        <v>1</v>
      </c>
      <c r="AQ13" s="389">
        <f>+AO13/AP13</f>
        <v>0.25</v>
      </c>
      <c r="AR13" s="390" t="s">
        <v>720</v>
      </c>
      <c r="AS13" s="80">
        <v>1</v>
      </c>
      <c r="AT13" s="80">
        <v>3</v>
      </c>
      <c r="AU13" s="81">
        <v>0.33</v>
      </c>
      <c r="AV13" s="80" t="s">
        <v>719</v>
      </c>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row>
    <row r="14" spans="1:73" s="263" customFormat="1" ht="48" x14ac:dyDescent="0.25">
      <c r="A14" s="402"/>
      <c r="B14" s="428"/>
      <c r="C14" s="395"/>
      <c r="D14" s="398"/>
      <c r="E14" s="395"/>
      <c r="F14" s="398"/>
      <c r="G14" s="395"/>
      <c r="H14" s="398"/>
      <c r="I14" s="395"/>
      <c r="J14" s="398"/>
      <c r="K14" s="395"/>
      <c r="L14" s="390"/>
      <c r="M14" s="390"/>
      <c r="N14" s="390"/>
      <c r="O14" s="390"/>
      <c r="P14" s="390"/>
      <c r="Q14" s="66" t="s">
        <v>721</v>
      </c>
      <c r="R14" s="66" t="s">
        <v>722</v>
      </c>
      <c r="S14" s="67" t="s">
        <v>56</v>
      </c>
      <c r="T14" s="67"/>
      <c r="U14" s="67">
        <v>3</v>
      </c>
      <c r="V14" s="287">
        <v>1281019352</v>
      </c>
      <c r="W14" s="401"/>
      <c r="X14" s="402"/>
      <c r="Y14" s="389"/>
      <c r="Z14" s="389"/>
      <c r="AA14" s="389"/>
      <c r="AB14" s="390"/>
      <c r="AC14" s="67">
        <v>0</v>
      </c>
      <c r="AD14" s="67">
        <v>1</v>
      </c>
      <c r="AE14" s="68">
        <v>0</v>
      </c>
      <c r="AF14" s="67" t="s">
        <v>723</v>
      </c>
      <c r="AG14" s="389"/>
      <c r="AH14" s="389"/>
      <c r="AI14" s="389"/>
      <c r="AJ14" s="390"/>
      <c r="AK14" s="67">
        <v>0</v>
      </c>
      <c r="AL14" s="67">
        <v>1</v>
      </c>
      <c r="AM14" s="68">
        <v>0</v>
      </c>
      <c r="AN14" s="67" t="s">
        <v>723</v>
      </c>
      <c r="AO14" s="389"/>
      <c r="AP14" s="389"/>
      <c r="AQ14" s="389"/>
      <c r="AR14" s="390"/>
      <c r="AS14" s="67">
        <v>0</v>
      </c>
      <c r="AT14" s="67">
        <v>1</v>
      </c>
      <c r="AU14" s="68">
        <v>0</v>
      </c>
      <c r="AV14" s="67" t="s">
        <v>723</v>
      </c>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row>
    <row r="15" spans="1:73" s="284" customFormat="1" ht="49.5" customHeight="1" x14ac:dyDescent="0.25">
      <c r="A15" s="281"/>
      <c r="B15" s="281"/>
      <c r="C15" s="281"/>
      <c r="D15" s="281"/>
      <c r="E15" s="281"/>
      <c r="F15" s="281"/>
      <c r="G15" s="281"/>
      <c r="H15" s="281"/>
      <c r="I15" s="281"/>
      <c r="J15" s="281"/>
      <c r="K15" s="281"/>
      <c r="L15" s="281"/>
      <c r="M15" s="281"/>
      <c r="N15" s="281"/>
      <c r="O15" s="281"/>
      <c r="P15" s="281"/>
      <c r="Q15" s="281"/>
      <c r="R15" s="281"/>
      <c r="S15" s="281"/>
      <c r="T15" s="281"/>
      <c r="U15" s="281"/>
      <c r="V15" s="282"/>
      <c r="W15" s="282"/>
      <c r="X15" s="281"/>
      <c r="Y15" s="388" t="s">
        <v>99</v>
      </c>
      <c r="Z15" s="388"/>
      <c r="AA15" s="58">
        <f>+AVERAGE(AA10:AA13)</f>
        <v>0.125</v>
      </c>
      <c r="AB15" s="59"/>
      <c r="AC15" s="388" t="s">
        <v>866</v>
      </c>
      <c r="AD15" s="388"/>
      <c r="AE15" s="58">
        <f>+AVERAGE(AE11:AE13,AE9)</f>
        <v>0.15833333333333333</v>
      </c>
      <c r="AF15" s="281"/>
      <c r="AG15" s="388" t="s">
        <v>865</v>
      </c>
      <c r="AH15" s="388"/>
      <c r="AI15" s="58">
        <f>+AVERAGE(AI9:AI13)</f>
        <v>0.27833333333333338</v>
      </c>
      <c r="AJ15" s="59"/>
      <c r="AK15" s="388" t="s">
        <v>866</v>
      </c>
      <c r="AL15" s="388"/>
      <c r="AM15" s="58">
        <f>+AVERAGE(AM11:AM13,AM9)</f>
        <v>0.20833333333333334</v>
      </c>
      <c r="AN15" s="281"/>
      <c r="AO15" s="388" t="s">
        <v>865</v>
      </c>
      <c r="AP15" s="388"/>
      <c r="AQ15" s="58">
        <f>+AVERAGE(AQ9:AQ13)</f>
        <v>0.34500000000000003</v>
      </c>
      <c r="AR15" s="59"/>
      <c r="AS15" s="388" t="s">
        <v>866</v>
      </c>
      <c r="AT15" s="388"/>
      <c r="AU15" s="58">
        <f>+AVERAGE(AU11:AU13,AU9,AU7)</f>
        <v>0.31100000000000005</v>
      </c>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row>
    <row r="16" spans="1:73" s="285" customFormat="1" x14ac:dyDescent="0.25">
      <c r="V16" s="286"/>
      <c r="W16" s="286"/>
    </row>
    <row r="17" spans="22:23" s="285" customFormat="1" x14ac:dyDescent="0.25">
      <c r="V17" s="286"/>
      <c r="W17" s="286"/>
    </row>
    <row r="18" spans="22:23" s="285" customFormat="1" x14ac:dyDescent="0.25">
      <c r="V18" s="286"/>
      <c r="W18" s="286"/>
    </row>
    <row r="19" spans="22:23" s="285" customFormat="1" x14ac:dyDescent="0.25">
      <c r="V19" s="286"/>
      <c r="W19" s="286"/>
    </row>
    <row r="20" spans="22:23" s="285" customFormat="1" x14ac:dyDescent="0.25">
      <c r="V20" s="286"/>
      <c r="W20" s="286"/>
    </row>
    <row r="21" spans="22:23" s="285" customFormat="1" x14ac:dyDescent="0.25">
      <c r="V21" s="286"/>
      <c r="W21" s="286"/>
    </row>
    <row r="22" spans="22:23" s="285" customFormat="1" x14ac:dyDescent="0.25">
      <c r="V22" s="286"/>
      <c r="W22" s="286"/>
    </row>
    <row r="23" spans="22:23" s="285" customFormat="1" x14ac:dyDescent="0.25">
      <c r="V23" s="286"/>
      <c r="W23" s="286"/>
    </row>
    <row r="24" spans="22:23" s="285" customFormat="1" x14ac:dyDescent="0.25">
      <c r="V24" s="286"/>
      <c r="W24" s="286"/>
    </row>
    <row r="25" spans="22:23" s="285" customFormat="1" x14ac:dyDescent="0.25">
      <c r="V25" s="286"/>
      <c r="W25" s="286"/>
    </row>
    <row r="26" spans="22:23" s="285" customFormat="1" x14ac:dyDescent="0.25">
      <c r="V26" s="286"/>
      <c r="W26" s="286"/>
    </row>
    <row r="27" spans="22:23" s="285" customFormat="1" x14ac:dyDescent="0.25">
      <c r="V27" s="286"/>
      <c r="W27" s="286"/>
    </row>
    <row r="28" spans="22:23" s="285" customFormat="1" x14ac:dyDescent="0.25">
      <c r="V28" s="286"/>
      <c r="W28" s="286"/>
    </row>
    <row r="29" spans="22:23" s="285" customFormat="1" x14ac:dyDescent="0.25">
      <c r="V29" s="286"/>
      <c r="W29" s="286"/>
    </row>
    <row r="30" spans="22:23" s="285" customFormat="1" x14ac:dyDescent="0.25">
      <c r="V30" s="286"/>
      <c r="W30" s="286"/>
    </row>
    <row r="31" spans="22:23" s="285" customFormat="1" x14ac:dyDescent="0.25">
      <c r="V31" s="286"/>
      <c r="W31" s="286"/>
    </row>
    <row r="32" spans="22:23" s="285" customFormat="1" x14ac:dyDescent="0.25">
      <c r="V32" s="286"/>
      <c r="W32" s="286"/>
    </row>
    <row r="33" spans="22:23" s="285" customFormat="1" x14ac:dyDescent="0.25">
      <c r="V33" s="286"/>
      <c r="W33" s="286"/>
    </row>
    <row r="34" spans="22:23" s="285" customFormat="1" x14ac:dyDescent="0.25">
      <c r="V34" s="286"/>
      <c r="W34" s="286"/>
    </row>
    <row r="35" spans="22:23" s="285" customFormat="1" x14ac:dyDescent="0.25">
      <c r="V35" s="286"/>
      <c r="W35" s="286"/>
    </row>
    <row r="36" spans="22:23" s="285" customFormat="1" x14ac:dyDescent="0.25">
      <c r="V36" s="286"/>
      <c r="W36" s="286"/>
    </row>
    <row r="37" spans="22:23" s="285" customFormat="1" x14ac:dyDescent="0.25">
      <c r="V37" s="286"/>
      <c r="W37" s="286"/>
    </row>
    <row r="38" spans="22:23" s="285" customFormat="1" x14ac:dyDescent="0.25">
      <c r="V38" s="286"/>
      <c r="W38" s="286"/>
    </row>
    <row r="39" spans="22:23" s="285" customFormat="1" x14ac:dyDescent="0.25">
      <c r="V39" s="286"/>
      <c r="W39" s="286"/>
    </row>
    <row r="40" spans="22:23" s="285" customFormat="1" x14ac:dyDescent="0.25">
      <c r="V40" s="286"/>
      <c r="W40" s="286"/>
    </row>
    <row r="41" spans="22:23" s="285" customFormat="1" x14ac:dyDescent="0.25">
      <c r="V41" s="286"/>
      <c r="W41" s="286"/>
    </row>
    <row r="42" spans="22:23" s="285" customFormat="1" x14ac:dyDescent="0.25">
      <c r="V42" s="286"/>
      <c r="W42" s="286"/>
    </row>
    <row r="43" spans="22:23" s="285" customFormat="1" x14ac:dyDescent="0.25">
      <c r="V43" s="286"/>
      <c r="W43" s="286"/>
    </row>
    <row r="44" spans="22:23" s="285" customFormat="1" x14ac:dyDescent="0.25">
      <c r="V44" s="286"/>
      <c r="W44" s="286"/>
    </row>
    <row r="45" spans="22:23" s="285" customFormat="1" x14ac:dyDescent="0.25">
      <c r="V45" s="286"/>
      <c r="W45" s="286"/>
    </row>
    <row r="46" spans="22:23" s="285" customFormat="1" x14ac:dyDescent="0.25">
      <c r="V46" s="286"/>
      <c r="W46" s="286"/>
    </row>
    <row r="47" spans="22:23" s="285" customFormat="1" x14ac:dyDescent="0.25">
      <c r="V47" s="286"/>
      <c r="W47" s="286"/>
    </row>
    <row r="48" spans="22:23" s="285" customFormat="1" x14ac:dyDescent="0.25">
      <c r="V48" s="286"/>
      <c r="W48" s="286"/>
    </row>
    <row r="49" spans="22:23" s="285" customFormat="1" x14ac:dyDescent="0.25">
      <c r="V49" s="286"/>
      <c r="W49" s="286"/>
    </row>
    <row r="50" spans="22:23" s="285" customFormat="1" x14ac:dyDescent="0.25">
      <c r="V50" s="286"/>
      <c r="W50" s="286"/>
    </row>
    <row r="51" spans="22:23" s="285" customFormat="1" x14ac:dyDescent="0.25">
      <c r="V51" s="286"/>
      <c r="W51" s="286"/>
    </row>
    <row r="52" spans="22:23" s="285" customFormat="1" x14ac:dyDescent="0.25">
      <c r="V52" s="286"/>
      <c r="W52" s="286"/>
    </row>
    <row r="53" spans="22:23" s="285" customFormat="1" x14ac:dyDescent="0.25">
      <c r="V53" s="286"/>
      <c r="W53" s="286"/>
    </row>
    <row r="54" spans="22:23" s="285" customFormat="1" x14ac:dyDescent="0.25">
      <c r="V54" s="286"/>
      <c r="W54" s="286"/>
    </row>
    <row r="55" spans="22:23" s="285" customFormat="1" x14ac:dyDescent="0.25">
      <c r="V55" s="286"/>
      <c r="W55" s="286"/>
    </row>
    <row r="56" spans="22:23" s="285" customFormat="1" x14ac:dyDescent="0.25">
      <c r="V56" s="286"/>
      <c r="W56" s="286"/>
    </row>
    <row r="57" spans="22:23" s="285" customFormat="1" x14ac:dyDescent="0.25">
      <c r="V57" s="286"/>
      <c r="W57" s="286"/>
    </row>
    <row r="58" spans="22:23" s="285" customFormat="1" x14ac:dyDescent="0.25">
      <c r="V58" s="286"/>
      <c r="W58" s="286"/>
    </row>
    <row r="59" spans="22:23" s="285" customFormat="1" x14ac:dyDescent="0.25">
      <c r="V59" s="286"/>
      <c r="W59" s="286"/>
    </row>
    <row r="60" spans="22:23" s="285" customFormat="1" x14ac:dyDescent="0.25">
      <c r="V60" s="286"/>
      <c r="W60" s="286"/>
    </row>
    <row r="61" spans="22:23" s="285" customFormat="1" x14ac:dyDescent="0.25">
      <c r="V61" s="286"/>
      <c r="W61" s="286"/>
    </row>
    <row r="62" spans="22:23" s="285" customFormat="1" x14ac:dyDescent="0.25">
      <c r="V62" s="286"/>
      <c r="W62" s="286"/>
    </row>
    <row r="63" spans="22:23" s="285" customFormat="1" x14ac:dyDescent="0.25">
      <c r="V63" s="286"/>
      <c r="W63" s="286"/>
    </row>
    <row r="64" spans="22:23" s="285" customFormat="1" x14ac:dyDescent="0.25">
      <c r="V64" s="286"/>
      <c r="W64" s="286"/>
    </row>
    <row r="65" spans="22:23" s="285" customFormat="1" x14ac:dyDescent="0.25">
      <c r="V65" s="286"/>
      <c r="W65" s="286"/>
    </row>
    <row r="66" spans="22:23" s="285" customFormat="1" x14ac:dyDescent="0.25">
      <c r="V66" s="286"/>
      <c r="W66" s="286"/>
    </row>
    <row r="67" spans="22:23" s="285" customFormat="1" x14ac:dyDescent="0.25">
      <c r="V67" s="286"/>
      <c r="W67" s="286"/>
    </row>
    <row r="68" spans="22:23" s="285" customFormat="1" x14ac:dyDescent="0.25">
      <c r="V68" s="286"/>
      <c r="W68" s="286"/>
    </row>
    <row r="69" spans="22:23" s="285" customFormat="1" x14ac:dyDescent="0.25">
      <c r="V69" s="286"/>
      <c r="W69" s="286"/>
    </row>
    <row r="70" spans="22:23" s="285" customFormat="1" x14ac:dyDescent="0.25">
      <c r="V70" s="286"/>
      <c r="W70" s="286"/>
    </row>
    <row r="71" spans="22:23" s="285" customFormat="1" x14ac:dyDescent="0.25">
      <c r="V71" s="286"/>
      <c r="W71" s="286"/>
    </row>
    <row r="72" spans="22:23" s="285" customFormat="1" x14ac:dyDescent="0.25">
      <c r="V72" s="286"/>
      <c r="W72" s="286"/>
    </row>
    <row r="73" spans="22:23" s="285" customFormat="1" x14ac:dyDescent="0.25">
      <c r="V73" s="286"/>
      <c r="W73" s="286"/>
    </row>
    <row r="74" spans="22:23" s="285" customFormat="1" x14ac:dyDescent="0.25">
      <c r="V74" s="286"/>
      <c r="W74" s="286"/>
    </row>
    <row r="75" spans="22:23" s="285" customFormat="1" x14ac:dyDescent="0.25">
      <c r="V75" s="286"/>
      <c r="W75" s="286"/>
    </row>
    <row r="76" spans="22:23" s="285" customFormat="1" x14ac:dyDescent="0.25">
      <c r="V76" s="286"/>
      <c r="W76" s="286"/>
    </row>
    <row r="77" spans="22:23" s="285" customFormat="1" x14ac:dyDescent="0.25">
      <c r="V77" s="286"/>
      <c r="W77" s="286"/>
    </row>
    <row r="78" spans="22:23" s="285" customFormat="1" x14ac:dyDescent="0.25">
      <c r="V78" s="286"/>
      <c r="W78" s="286"/>
    </row>
    <row r="79" spans="22:23" s="285" customFormat="1" x14ac:dyDescent="0.25">
      <c r="V79" s="286"/>
      <c r="W79" s="286"/>
    </row>
    <row r="80" spans="22:23" s="285" customFormat="1" x14ac:dyDescent="0.25">
      <c r="V80" s="286"/>
      <c r="W80" s="286"/>
    </row>
    <row r="81" spans="22:23" s="285" customFormat="1" x14ac:dyDescent="0.25">
      <c r="V81" s="286"/>
      <c r="W81" s="286"/>
    </row>
    <row r="82" spans="22:23" s="285" customFormat="1" x14ac:dyDescent="0.25">
      <c r="V82" s="286"/>
      <c r="W82" s="286"/>
    </row>
    <row r="83" spans="22:23" s="285" customFormat="1" x14ac:dyDescent="0.25">
      <c r="V83" s="286"/>
      <c r="W83" s="286"/>
    </row>
    <row r="84" spans="22:23" s="285" customFormat="1" x14ac:dyDescent="0.25">
      <c r="V84" s="286"/>
      <c r="W84" s="286"/>
    </row>
    <row r="85" spans="22:23" s="285" customFormat="1" x14ac:dyDescent="0.25">
      <c r="V85" s="286"/>
      <c r="W85" s="286"/>
    </row>
    <row r="86" spans="22:23" s="285" customFormat="1" x14ac:dyDescent="0.25">
      <c r="V86" s="286"/>
      <c r="W86" s="286"/>
    </row>
    <row r="87" spans="22:23" s="285" customFormat="1" x14ac:dyDescent="0.25">
      <c r="V87" s="286"/>
      <c r="W87" s="286"/>
    </row>
    <row r="88" spans="22:23" s="285" customFormat="1" x14ac:dyDescent="0.25">
      <c r="V88" s="286"/>
      <c r="W88" s="286"/>
    </row>
    <row r="89" spans="22:23" s="285" customFormat="1" x14ac:dyDescent="0.25">
      <c r="V89" s="286"/>
      <c r="W89" s="286"/>
    </row>
    <row r="90" spans="22:23" s="285" customFormat="1" x14ac:dyDescent="0.25">
      <c r="V90" s="286"/>
      <c r="W90" s="286"/>
    </row>
    <row r="91" spans="22:23" s="285" customFormat="1" x14ac:dyDescent="0.25">
      <c r="V91" s="286"/>
      <c r="W91" s="286"/>
    </row>
    <row r="92" spans="22:23" s="285" customFormat="1" x14ac:dyDescent="0.25">
      <c r="V92" s="286"/>
      <c r="W92" s="286"/>
    </row>
    <row r="93" spans="22:23" s="285" customFormat="1" x14ac:dyDescent="0.25">
      <c r="V93" s="286"/>
      <c r="W93" s="286"/>
    </row>
    <row r="94" spans="22:23" s="285" customFormat="1" x14ac:dyDescent="0.25">
      <c r="V94" s="286"/>
      <c r="W94" s="286"/>
    </row>
    <row r="95" spans="22:23" s="285" customFormat="1" x14ac:dyDescent="0.25">
      <c r="V95" s="286"/>
      <c r="W95" s="286"/>
    </row>
    <row r="96" spans="22:23" s="285" customFormat="1" x14ac:dyDescent="0.25">
      <c r="V96" s="286"/>
      <c r="W96" s="286"/>
    </row>
    <row r="97" spans="22:23" s="285" customFormat="1" x14ac:dyDescent="0.25">
      <c r="V97" s="286"/>
      <c r="W97" s="286"/>
    </row>
    <row r="98" spans="22:23" s="285" customFormat="1" x14ac:dyDescent="0.25">
      <c r="V98" s="286"/>
      <c r="W98" s="286"/>
    </row>
    <row r="99" spans="22:23" s="285" customFormat="1" x14ac:dyDescent="0.25">
      <c r="V99" s="286"/>
      <c r="W99" s="286"/>
    </row>
    <row r="100" spans="22:23" s="285" customFormat="1" x14ac:dyDescent="0.25">
      <c r="V100" s="286"/>
      <c r="W100" s="286"/>
    </row>
    <row r="101" spans="22:23" s="285" customFormat="1" x14ac:dyDescent="0.25">
      <c r="V101" s="286"/>
      <c r="W101" s="286"/>
    </row>
    <row r="102" spans="22:23" s="285" customFormat="1" x14ac:dyDescent="0.25">
      <c r="V102" s="286"/>
      <c r="W102" s="286"/>
    </row>
    <row r="103" spans="22:23" s="285" customFormat="1" x14ac:dyDescent="0.25">
      <c r="V103" s="286"/>
      <c r="W103" s="286"/>
    </row>
    <row r="104" spans="22:23" s="285" customFormat="1" x14ac:dyDescent="0.25">
      <c r="V104" s="286"/>
      <c r="W104" s="286"/>
    </row>
    <row r="105" spans="22:23" s="285" customFormat="1" x14ac:dyDescent="0.25">
      <c r="V105" s="286"/>
      <c r="W105" s="286"/>
    </row>
    <row r="106" spans="22:23" s="285" customFormat="1" x14ac:dyDescent="0.25">
      <c r="V106" s="286"/>
      <c r="W106" s="286"/>
    </row>
    <row r="107" spans="22:23" s="285" customFormat="1" x14ac:dyDescent="0.25">
      <c r="V107" s="286"/>
      <c r="W107" s="286"/>
    </row>
    <row r="108" spans="22:23" s="285" customFormat="1" x14ac:dyDescent="0.25">
      <c r="V108" s="286"/>
      <c r="W108" s="286"/>
    </row>
    <row r="109" spans="22:23" s="285" customFormat="1" x14ac:dyDescent="0.25">
      <c r="V109" s="286"/>
      <c r="W109" s="286"/>
    </row>
    <row r="110" spans="22:23" s="285" customFormat="1" x14ac:dyDescent="0.25">
      <c r="V110" s="286"/>
      <c r="W110" s="286"/>
    </row>
    <row r="111" spans="22:23" s="285" customFormat="1" x14ac:dyDescent="0.25">
      <c r="V111" s="286"/>
      <c r="W111" s="286"/>
    </row>
    <row r="112" spans="22:23" s="285" customFormat="1" x14ac:dyDescent="0.25">
      <c r="V112" s="286"/>
      <c r="W112" s="286"/>
    </row>
    <row r="113" spans="22:23" s="285" customFormat="1" x14ac:dyDescent="0.25">
      <c r="V113" s="286"/>
      <c r="W113" s="286"/>
    </row>
    <row r="114" spans="22:23" s="285" customFormat="1" x14ac:dyDescent="0.25">
      <c r="V114" s="286"/>
      <c r="W114" s="286"/>
    </row>
    <row r="115" spans="22:23" s="285" customFormat="1" x14ac:dyDescent="0.25">
      <c r="V115" s="286"/>
      <c r="W115" s="286"/>
    </row>
    <row r="116" spans="22:23" s="285" customFormat="1" x14ac:dyDescent="0.25">
      <c r="V116" s="286"/>
      <c r="W116" s="286"/>
    </row>
    <row r="117" spans="22:23" s="285" customFormat="1" x14ac:dyDescent="0.25">
      <c r="V117" s="286"/>
      <c r="W117" s="286"/>
    </row>
    <row r="118" spans="22:23" s="285" customFormat="1" x14ac:dyDescent="0.25">
      <c r="V118" s="286"/>
      <c r="W118" s="286"/>
    </row>
    <row r="119" spans="22:23" s="285" customFormat="1" x14ac:dyDescent="0.25">
      <c r="V119" s="286"/>
      <c r="W119" s="286"/>
    </row>
    <row r="120" spans="22:23" s="285" customFormat="1" x14ac:dyDescent="0.25">
      <c r="V120" s="286"/>
      <c r="W120" s="286"/>
    </row>
    <row r="121" spans="22:23" s="285" customFormat="1" x14ac:dyDescent="0.25">
      <c r="V121" s="286"/>
      <c r="W121" s="286"/>
    </row>
    <row r="122" spans="22:23" s="285" customFormat="1" x14ac:dyDescent="0.25">
      <c r="V122" s="286"/>
      <c r="W122" s="286"/>
    </row>
    <row r="123" spans="22:23" s="285" customFormat="1" x14ac:dyDescent="0.25">
      <c r="V123" s="286"/>
      <c r="W123" s="286"/>
    </row>
    <row r="124" spans="22:23" s="285" customFormat="1" x14ac:dyDescent="0.25">
      <c r="V124" s="286"/>
      <c r="W124" s="286"/>
    </row>
    <row r="125" spans="22:23" s="285" customFormat="1" x14ac:dyDescent="0.25">
      <c r="V125" s="286"/>
      <c r="W125" s="286"/>
    </row>
    <row r="126" spans="22:23" s="285" customFormat="1" x14ac:dyDescent="0.25">
      <c r="V126" s="286"/>
      <c r="W126" s="286"/>
    </row>
    <row r="127" spans="22:23" s="285" customFormat="1" x14ac:dyDescent="0.25">
      <c r="V127" s="286"/>
      <c r="W127" s="286"/>
    </row>
    <row r="128" spans="22:23" s="285" customFormat="1" x14ac:dyDescent="0.25">
      <c r="V128" s="286"/>
      <c r="W128" s="286"/>
    </row>
    <row r="129" spans="22:23" s="285" customFormat="1" x14ac:dyDescent="0.25">
      <c r="V129" s="286"/>
      <c r="W129" s="286"/>
    </row>
    <row r="130" spans="22:23" s="285" customFormat="1" x14ac:dyDescent="0.25">
      <c r="V130" s="286"/>
      <c r="W130" s="286"/>
    </row>
    <row r="131" spans="22:23" s="285" customFormat="1" x14ac:dyDescent="0.25">
      <c r="V131" s="286"/>
      <c r="W131" s="286"/>
    </row>
    <row r="132" spans="22:23" s="285" customFormat="1" x14ac:dyDescent="0.25">
      <c r="V132" s="286"/>
      <c r="W132" s="286"/>
    </row>
    <row r="133" spans="22:23" s="285" customFormat="1" x14ac:dyDescent="0.25">
      <c r="V133" s="286"/>
      <c r="W133" s="286"/>
    </row>
    <row r="134" spans="22:23" s="285" customFormat="1" x14ac:dyDescent="0.25">
      <c r="V134" s="286"/>
      <c r="W134" s="286"/>
    </row>
    <row r="135" spans="22:23" s="285" customFormat="1" x14ac:dyDescent="0.25">
      <c r="V135" s="286"/>
      <c r="W135" s="286"/>
    </row>
    <row r="136" spans="22:23" s="285" customFormat="1" x14ac:dyDescent="0.25">
      <c r="V136" s="286"/>
      <c r="W136" s="286"/>
    </row>
    <row r="137" spans="22:23" s="285" customFormat="1" x14ac:dyDescent="0.25">
      <c r="V137" s="286"/>
      <c r="W137" s="286"/>
    </row>
    <row r="138" spans="22:23" s="285" customFormat="1" x14ac:dyDescent="0.25">
      <c r="V138" s="286"/>
      <c r="W138" s="286"/>
    </row>
    <row r="139" spans="22:23" s="285" customFormat="1" x14ac:dyDescent="0.25">
      <c r="V139" s="286"/>
      <c r="W139" s="286"/>
    </row>
    <row r="140" spans="22:23" s="285" customFormat="1" x14ac:dyDescent="0.25">
      <c r="V140" s="286"/>
      <c r="W140" s="286"/>
    </row>
    <row r="141" spans="22:23" s="285" customFormat="1" x14ac:dyDescent="0.25">
      <c r="V141" s="286"/>
      <c r="W141" s="286"/>
    </row>
    <row r="142" spans="22:23" s="285" customFormat="1" x14ac:dyDescent="0.25">
      <c r="V142" s="286"/>
      <c r="W142" s="286"/>
    </row>
    <row r="143" spans="22:23" s="285" customFormat="1" x14ac:dyDescent="0.25">
      <c r="V143" s="286"/>
      <c r="W143" s="286"/>
    </row>
    <row r="144" spans="22:23" s="285" customFormat="1" x14ac:dyDescent="0.25">
      <c r="V144" s="286"/>
      <c r="W144" s="286"/>
    </row>
    <row r="145" spans="22:23" s="285" customFormat="1" x14ac:dyDescent="0.25">
      <c r="V145" s="286"/>
      <c r="W145" s="286"/>
    </row>
    <row r="146" spans="22:23" s="285" customFormat="1" x14ac:dyDescent="0.25">
      <c r="V146" s="286"/>
      <c r="W146" s="286"/>
    </row>
    <row r="147" spans="22:23" s="285" customFormat="1" x14ac:dyDescent="0.25">
      <c r="V147" s="286"/>
      <c r="W147" s="286"/>
    </row>
    <row r="148" spans="22:23" s="285" customFormat="1" x14ac:dyDescent="0.25">
      <c r="V148" s="286"/>
      <c r="W148" s="286"/>
    </row>
    <row r="149" spans="22:23" s="285" customFormat="1" x14ac:dyDescent="0.25">
      <c r="V149" s="286"/>
      <c r="W149" s="286"/>
    </row>
    <row r="150" spans="22:23" s="285" customFormat="1" x14ac:dyDescent="0.25">
      <c r="V150" s="286"/>
      <c r="W150" s="286"/>
    </row>
    <row r="151" spans="22:23" s="285" customFormat="1" x14ac:dyDescent="0.25">
      <c r="V151" s="286"/>
      <c r="W151" s="286"/>
    </row>
    <row r="152" spans="22:23" s="285" customFormat="1" x14ac:dyDescent="0.25">
      <c r="V152" s="286"/>
      <c r="W152" s="286"/>
    </row>
    <row r="153" spans="22:23" s="285" customFormat="1" x14ac:dyDescent="0.25">
      <c r="V153" s="286"/>
      <c r="W153" s="286"/>
    </row>
    <row r="154" spans="22:23" s="285" customFormat="1" x14ac:dyDescent="0.25">
      <c r="V154" s="286"/>
      <c r="W154" s="286"/>
    </row>
    <row r="155" spans="22:23" s="285" customFormat="1" x14ac:dyDescent="0.25">
      <c r="V155" s="286"/>
      <c r="W155" s="286"/>
    </row>
    <row r="156" spans="22:23" s="285" customFormat="1" x14ac:dyDescent="0.25">
      <c r="V156" s="286"/>
      <c r="W156" s="286"/>
    </row>
    <row r="157" spans="22:23" s="285" customFormat="1" x14ac:dyDescent="0.25">
      <c r="V157" s="286"/>
      <c r="W157" s="286"/>
    </row>
    <row r="158" spans="22:23" s="285" customFormat="1" x14ac:dyDescent="0.25">
      <c r="V158" s="286"/>
      <c r="W158" s="286"/>
    </row>
    <row r="159" spans="22:23" s="285" customFormat="1" x14ac:dyDescent="0.25">
      <c r="V159" s="286"/>
      <c r="W159" s="286"/>
    </row>
    <row r="160" spans="22:23" s="285" customFormat="1" x14ac:dyDescent="0.25">
      <c r="V160" s="286"/>
      <c r="W160" s="286"/>
    </row>
    <row r="161" spans="22:23" s="285" customFormat="1" x14ac:dyDescent="0.25">
      <c r="V161" s="286"/>
      <c r="W161" s="286"/>
    </row>
    <row r="162" spans="22:23" s="285" customFormat="1" x14ac:dyDescent="0.25">
      <c r="V162" s="286"/>
      <c r="W162" s="286"/>
    </row>
    <row r="163" spans="22:23" s="285" customFormat="1" x14ac:dyDescent="0.25">
      <c r="V163" s="286"/>
      <c r="W163" s="286"/>
    </row>
    <row r="164" spans="22:23" s="285" customFormat="1" x14ac:dyDescent="0.25">
      <c r="V164" s="286"/>
      <c r="W164" s="286"/>
    </row>
    <row r="165" spans="22:23" s="285" customFormat="1" x14ac:dyDescent="0.25">
      <c r="V165" s="286"/>
      <c r="W165" s="286"/>
    </row>
    <row r="166" spans="22:23" s="285" customFormat="1" x14ac:dyDescent="0.25">
      <c r="V166" s="286"/>
      <c r="W166" s="286"/>
    </row>
    <row r="167" spans="22:23" s="285" customFormat="1" x14ac:dyDescent="0.25">
      <c r="V167" s="286"/>
      <c r="W167" s="286"/>
    </row>
    <row r="168" spans="22:23" s="285" customFormat="1" x14ac:dyDescent="0.25">
      <c r="V168" s="286"/>
      <c r="W168" s="286"/>
    </row>
    <row r="169" spans="22:23" s="285" customFormat="1" x14ac:dyDescent="0.25">
      <c r="V169" s="286"/>
      <c r="W169" s="286"/>
    </row>
    <row r="170" spans="22:23" s="285" customFormat="1" x14ac:dyDescent="0.25">
      <c r="V170" s="286"/>
      <c r="W170" s="286"/>
    </row>
    <row r="171" spans="22:23" s="285" customFormat="1" x14ac:dyDescent="0.25">
      <c r="V171" s="286"/>
      <c r="W171" s="286"/>
    </row>
    <row r="172" spans="22:23" s="285" customFormat="1" x14ac:dyDescent="0.25">
      <c r="V172" s="286"/>
      <c r="W172" s="286"/>
    </row>
    <row r="173" spans="22:23" s="285" customFormat="1" x14ac:dyDescent="0.25">
      <c r="V173" s="286"/>
      <c r="W173" s="286"/>
    </row>
    <row r="174" spans="22:23" s="285" customFormat="1" x14ac:dyDescent="0.25">
      <c r="V174" s="286"/>
      <c r="W174" s="286"/>
    </row>
    <row r="175" spans="22:23" s="285" customFormat="1" x14ac:dyDescent="0.25">
      <c r="V175" s="286"/>
      <c r="W175" s="286"/>
    </row>
    <row r="176" spans="22:23" s="285" customFormat="1" x14ac:dyDescent="0.25">
      <c r="V176" s="286"/>
      <c r="W176" s="286"/>
    </row>
    <row r="177" spans="22:23" s="285" customFormat="1" x14ac:dyDescent="0.25">
      <c r="V177" s="286"/>
      <c r="W177" s="286"/>
    </row>
    <row r="178" spans="22:23" s="285" customFormat="1" x14ac:dyDescent="0.25">
      <c r="V178" s="286"/>
      <c r="W178" s="286"/>
    </row>
    <row r="179" spans="22:23" s="285" customFormat="1" x14ac:dyDescent="0.25">
      <c r="V179" s="286"/>
      <c r="W179" s="286"/>
    </row>
    <row r="180" spans="22:23" s="285" customFormat="1" x14ac:dyDescent="0.25">
      <c r="V180" s="286"/>
      <c r="W180" s="286"/>
    </row>
    <row r="181" spans="22:23" s="285" customFormat="1" x14ac:dyDescent="0.25">
      <c r="V181" s="286"/>
      <c r="W181" s="286"/>
    </row>
    <row r="182" spans="22:23" s="285" customFormat="1" x14ac:dyDescent="0.25">
      <c r="V182" s="286"/>
      <c r="W182" s="286"/>
    </row>
    <row r="183" spans="22:23" s="285" customFormat="1" x14ac:dyDescent="0.25">
      <c r="V183" s="286"/>
      <c r="W183" s="286"/>
    </row>
    <row r="184" spans="22:23" s="285" customFormat="1" x14ac:dyDescent="0.25">
      <c r="V184" s="286"/>
      <c r="W184" s="286"/>
    </row>
    <row r="185" spans="22:23" s="285" customFormat="1" x14ac:dyDescent="0.25">
      <c r="V185" s="286"/>
      <c r="W185" s="286"/>
    </row>
    <row r="186" spans="22:23" s="285" customFormat="1" x14ac:dyDescent="0.25">
      <c r="V186" s="286"/>
      <c r="W186" s="286"/>
    </row>
    <row r="187" spans="22:23" s="285" customFormat="1" x14ac:dyDescent="0.25">
      <c r="V187" s="286"/>
      <c r="W187" s="286"/>
    </row>
    <row r="188" spans="22:23" s="285" customFormat="1" x14ac:dyDescent="0.25">
      <c r="V188" s="286"/>
      <c r="W188" s="286"/>
    </row>
    <row r="189" spans="22:23" s="285" customFormat="1" x14ac:dyDescent="0.25">
      <c r="V189" s="286"/>
      <c r="W189" s="286"/>
    </row>
    <row r="190" spans="22:23" s="285" customFormat="1" x14ac:dyDescent="0.25">
      <c r="V190" s="286"/>
      <c r="W190" s="286"/>
    </row>
    <row r="191" spans="22:23" s="285" customFormat="1" x14ac:dyDescent="0.25">
      <c r="V191" s="286"/>
      <c r="W191" s="286"/>
    </row>
    <row r="192" spans="22:23" s="285" customFormat="1" x14ac:dyDescent="0.25">
      <c r="V192" s="286"/>
      <c r="W192" s="286"/>
    </row>
    <row r="193" spans="22:23" s="285" customFormat="1" x14ac:dyDescent="0.25">
      <c r="V193" s="286"/>
      <c r="W193" s="286"/>
    </row>
    <row r="194" spans="22:23" s="285" customFormat="1" x14ac:dyDescent="0.25">
      <c r="V194" s="286"/>
      <c r="W194" s="286"/>
    </row>
    <row r="195" spans="22:23" s="285" customFormat="1" x14ac:dyDescent="0.25">
      <c r="V195" s="286"/>
      <c r="W195" s="286"/>
    </row>
    <row r="196" spans="22:23" s="285" customFormat="1" x14ac:dyDescent="0.25">
      <c r="V196" s="286"/>
      <c r="W196" s="286"/>
    </row>
    <row r="197" spans="22:23" s="285" customFormat="1" x14ac:dyDescent="0.25">
      <c r="V197" s="286"/>
      <c r="W197" s="286"/>
    </row>
    <row r="198" spans="22:23" s="285" customFormat="1" x14ac:dyDescent="0.25">
      <c r="V198" s="286"/>
      <c r="W198" s="286"/>
    </row>
    <row r="199" spans="22:23" s="285" customFormat="1" x14ac:dyDescent="0.25">
      <c r="V199" s="286"/>
      <c r="W199" s="286"/>
    </row>
    <row r="200" spans="22:23" s="285" customFormat="1" x14ac:dyDescent="0.25">
      <c r="V200" s="286"/>
      <c r="W200" s="286"/>
    </row>
    <row r="201" spans="22:23" s="285" customFormat="1" x14ac:dyDescent="0.25">
      <c r="V201" s="286"/>
      <c r="W201" s="286"/>
    </row>
    <row r="202" spans="22:23" s="285" customFormat="1" x14ac:dyDescent="0.25">
      <c r="V202" s="286"/>
      <c r="W202" s="286"/>
    </row>
    <row r="203" spans="22:23" s="285" customFormat="1" x14ac:dyDescent="0.25">
      <c r="V203" s="286"/>
      <c r="W203" s="286"/>
    </row>
    <row r="204" spans="22:23" s="285" customFormat="1" x14ac:dyDescent="0.25">
      <c r="V204" s="286"/>
      <c r="W204" s="286"/>
    </row>
    <row r="205" spans="22:23" s="285" customFormat="1" x14ac:dyDescent="0.25">
      <c r="V205" s="286"/>
      <c r="W205" s="286"/>
    </row>
    <row r="206" spans="22:23" s="285" customFormat="1" x14ac:dyDescent="0.25">
      <c r="V206" s="286"/>
      <c r="W206" s="286"/>
    </row>
    <row r="207" spans="22:23" s="285" customFormat="1" x14ac:dyDescent="0.25">
      <c r="V207" s="286"/>
      <c r="W207" s="286"/>
    </row>
    <row r="208" spans="22:23" s="285" customFormat="1" x14ac:dyDescent="0.25">
      <c r="V208" s="286"/>
      <c r="W208" s="286"/>
    </row>
    <row r="209" spans="22:23" s="285" customFormat="1" x14ac:dyDescent="0.25">
      <c r="V209" s="286"/>
      <c r="W209" s="286"/>
    </row>
    <row r="210" spans="22:23" s="285" customFormat="1" x14ac:dyDescent="0.25">
      <c r="V210" s="286"/>
      <c r="W210" s="286"/>
    </row>
    <row r="211" spans="22:23" s="285" customFormat="1" x14ac:dyDescent="0.25">
      <c r="V211" s="286"/>
      <c r="W211" s="286"/>
    </row>
    <row r="212" spans="22:23" s="285" customFormat="1" x14ac:dyDescent="0.25">
      <c r="V212" s="286"/>
      <c r="W212" s="286"/>
    </row>
    <row r="213" spans="22:23" s="285" customFormat="1" x14ac:dyDescent="0.25">
      <c r="V213" s="286"/>
      <c r="W213" s="286"/>
    </row>
    <row r="214" spans="22:23" s="285" customFormat="1" x14ac:dyDescent="0.25">
      <c r="V214" s="286"/>
      <c r="W214" s="286"/>
    </row>
    <row r="215" spans="22:23" s="285" customFormat="1" x14ac:dyDescent="0.25">
      <c r="V215" s="286"/>
      <c r="W215" s="286"/>
    </row>
    <row r="216" spans="22:23" s="285" customFormat="1" x14ac:dyDescent="0.25">
      <c r="V216" s="286"/>
      <c r="W216" s="286"/>
    </row>
    <row r="217" spans="22:23" s="285" customFormat="1" x14ac:dyDescent="0.25">
      <c r="V217" s="286"/>
      <c r="W217" s="286"/>
    </row>
    <row r="218" spans="22:23" s="285" customFormat="1" x14ac:dyDescent="0.25">
      <c r="V218" s="286"/>
      <c r="W218" s="286"/>
    </row>
    <row r="219" spans="22:23" s="285" customFormat="1" x14ac:dyDescent="0.25">
      <c r="V219" s="286"/>
      <c r="W219" s="286"/>
    </row>
    <row r="220" spans="22:23" s="285" customFormat="1" x14ac:dyDescent="0.25">
      <c r="V220" s="286"/>
      <c r="W220" s="286"/>
    </row>
    <row r="221" spans="22:23" s="285" customFormat="1" x14ac:dyDescent="0.25">
      <c r="V221" s="286"/>
      <c r="W221" s="286"/>
    </row>
    <row r="222" spans="22:23" s="285" customFormat="1" x14ac:dyDescent="0.25">
      <c r="V222" s="286"/>
      <c r="W222" s="286"/>
    </row>
    <row r="223" spans="22:23" s="285" customFormat="1" x14ac:dyDescent="0.25">
      <c r="V223" s="286"/>
      <c r="W223" s="286"/>
    </row>
    <row r="224" spans="22:23" s="285" customFormat="1" x14ac:dyDescent="0.25">
      <c r="V224" s="286"/>
      <c r="W224" s="286"/>
    </row>
    <row r="225" spans="22:23" s="285" customFormat="1" x14ac:dyDescent="0.25">
      <c r="V225" s="286"/>
      <c r="W225" s="286"/>
    </row>
    <row r="226" spans="22:23" s="285" customFormat="1" x14ac:dyDescent="0.25">
      <c r="V226" s="286"/>
      <c r="W226" s="286"/>
    </row>
    <row r="227" spans="22:23" s="285" customFormat="1" x14ac:dyDescent="0.25">
      <c r="V227" s="286"/>
      <c r="W227" s="286"/>
    </row>
    <row r="228" spans="22:23" s="285" customFormat="1" x14ac:dyDescent="0.25">
      <c r="V228" s="286"/>
      <c r="W228" s="286"/>
    </row>
    <row r="229" spans="22:23" s="285" customFormat="1" x14ac:dyDescent="0.25">
      <c r="V229" s="286"/>
      <c r="W229" s="286"/>
    </row>
    <row r="230" spans="22:23" s="285" customFormat="1" x14ac:dyDescent="0.25">
      <c r="V230" s="286"/>
      <c r="W230" s="286"/>
    </row>
    <row r="231" spans="22:23" s="285" customFormat="1" x14ac:dyDescent="0.25">
      <c r="V231" s="286"/>
      <c r="W231" s="286"/>
    </row>
    <row r="232" spans="22:23" s="285" customFormat="1" x14ac:dyDescent="0.25">
      <c r="V232" s="286"/>
      <c r="W232" s="286"/>
    </row>
    <row r="233" spans="22:23" s="285" customFormat="1" x14ac:dyDescent="0.25">
      <c r="V233" s="286"/>
      <c r="W233" s="286"/>
    </row>
    <row r="234" spans="22:23" s="285" customFormat="1" x14ac:dyDescent="0.25">
      <c r="V234" s="286"/>
      <c r="W234" s="286"/>
    </row>
    <row r="235" spans="22:23" s="285" customFormat="1" x14ac:dyDescent="0.25">
      <c r="V235" s="286"/>
      <c r="W235" s="286"/>
    </row>
    <row r="236" spans="22:23" s="285" customFormat="1" x14ac:dyDescent="0.25">
      <c r="V236" s="286"/>
      <c r="W236" s="286"/>
    </row>
    <row r="237" spans="22:23" s="285" customFormat="1" x14ac:dyDescent="0.25">
      <c r="V237" s="286"/>
      <c r="W237" s="286"/>
    </row>
    <row r="238" spans="22:23" s="285" customFormat="1" x14ac:dyDescent="0.25">
      <c r="V238" s="286"/>
      <c r="W238" s="286"/>
    </row>
    <row r="239" spans="22:23" s="285" customFormat="1" x14ac:dyDescent="0.25">
      <c r="V239" s="286"/>
      <c r="W239" s="286"/>
    </row>
    <row r="240" spans="22:23" s="285" customFormat="1" x14ac:dyDescent="0.25">
      <c r="V240" s="286"/>
      <c r="W240" s="286"/>
    </row>
    <row r="241" spans="22:23" s="285" customFormat="1" x14ac:dyDescent="0.25">
      <c r="V241" s="286"/>
      <c r="W241" s="286"/>
    </row>
    <row r="242" spans="22:23" s="285" customFormat="1" x14ac:dyDescent="0.25">
      <c r="V242" s="286"/>
      <c r="W242" s="286"/>
    </row>
    <row r="243" spans="22:23" s="285" customFormat="1" x14ac:dyDescent="0.25">
      <c r="V243" s="286"/>
      <c r="W243" s="286"/>
    </row>
    <row r="244" spans="22:23" s="285" customFormat="1" x14ac:dyDescent="0.25">
      <c r="V244" s="286"/>
      <c r="W244" s="286"/>
    </row>
    <row r="245" spans="22:23" s="285" customFormat="1" x14ac:dyDescent="0.25">
      <c r="V245" s="286"/>
      <c r="W245" s="286"/>
    </row>
    <row r="246" spans="22:23" s="285" customFormat="1" x14ac:dyDescent="0.25">
      <c r="V246" s="286"/>
      <c r="W246" s="286"/>
    </row>
    <row r="247" spans="22:23" s="285" customFormat="1" x14ac:dyDescent="0.25">
      <c r="V247" s="286"/>
      <c r="W247" s="286"/>
    </row>
    <row r="248" spans="22:23" s="285" customFormat="1" x14ac:dyDescent="0.25">
      <c r="V248" s="286"/>
      <c r="W248" s="286"/>
    </row>
    <row r="249" spans="22:23" s="285" customFormat="1" x14ac:dyDescent="0.25">
      <c r="V249" s="286"/>
      <c r="W249" s="286"/>
    </row>
    <row r="250" spans="22:23" s="285" customFormat="1" x14ac:dyDescent="0.25">
      <c r="V250" s="286"/>
      <c r="W250" s="286"/>
    </row>
    <row r="251" spans="22:23" s="285" customFormat="1" x14ac:dyDescent="0.25">
      <c r="V251" s="286"/>
      <c r="W251" s="286"/>
    </row>
    <row r="252" spans="22:23" s="285" customFormat="1" x14ac:dyDescent="0.25">
      <c r="V252" s="286"/>
      <c r="W252" s="286"/>
    </row>
    <row r="253" spans="22:23" s="285" customFormat="1" x14ac:dyDescent="0.25">
      <c r="V253" s="286"/>
      <c r="W253" s="286"/>
    </row>
    <row r="254" spans="22:23" s="285" customFormat="1" x14ac:dyDescent="0.25">
      <c r="V254" s="286"/>
      <c r="W254" s="286"/>
    </row>
    <row r="255" spans="22:23" s="285" customFormat="1" x14ac:dyDescent="0.25">
      <c r="V255" s="286"/>
      <c r="W255" s="286"/>
    </row>
    <row r="256" spans="22:23" s="285" customFormat="1" x14ac:dyDescent="0.25">
      <c r="V256" s="286"/>
      <c r="W256" s="286"/>
    </row>
    <row r="257" spans="22:23" s="285" customFormat="1" x14ac:dyDescent="0.25">
      <c r="V257" s="286"/>
      <c r="W257" s="286"/>
    </row>
    <row r="258" spans="22:23" s="285" customFormat="1" x14ac:dyDescent="0.25">
      <c r="V258" s="286"/>
      <c r="W258" s="286"/>
    </row>
    <row r="259" spans="22:23" s="285" customFormat="1" x14ac:dyDescent="0.25">
      <c r="V259" s="286"/>
      <c r="W259" s="286"/>
    </row>
    <row r="260" spans="22:23" s="285" customFormat="1" x14ac:dyDescent="0.25">
      <c r="V260" s="286"/>
      <c r="W260" s="286"/>
    </row>
    <row r="261" spans="22:23" s="285" customFormat="1" x14ac:dyDescent="0.25">
      <c r="V261" s="286"/>
      <c r="W261" s="286"/>
    </row>
    <row r="262" spans="22:23" s="285" customFormat="1" x14ac:dyDescent="0.25">
      <c r="V262" s="286"/>
      <c r="W262" s="286"/>
    </row>
    <row r="263" spans="22:23" s="285" customFormat="1" x14ac:dyDescent="0.25">
      <c r="V263" s="286"/>
      <c r="W263" s="286"/>
    </row>
    <row r="264" spans="22:23" s="285" customFormat="1" x14ac:dyDescent="0.25">
      <c r="V264" s="286"/>
      <c r="W264" s="286"/>
    </row>
    <row r="265" spans="22:23" s="285" customFormat="1" x14ac:dyDescent="0.25">
      <c r="V265" s="286"/>
      <c r="W265" s="286"/>
    </row>
    <row r="266" spans="22:23" s="285" customFormat="1" x14ac:dyDescent="0.25">
      <c r="V266" s="286"/>
      <c r="W266" s="286"/>
    </row>
    <row r="267" spans="22:23" s="285" customFormat="1" x14ac:dyDescent="0.25">
      <c r="V267" s="286"/>
      <c r="W267" s="286"/>
    </row>
    <row r="268" spans="22:23" s="285" customFormat="1" x14ac:dyDescent="0.25">
      <c r="V268" s="286"/>
      <c r="W268" s="286"/>
    </row>
    <row r="269" spans="22:23" s="285" customFormat="1" x14ac:dyDescent="0.25">
      <c r="V269" s="286"/>
      <c r="W269" s="286"/>
    </row>
    <row r="270" spans="22:23" s="285" customFormat="1" x14ac:dyDescent="0.25">
      <c r="V270" s="286"/>
      <c r="W270" s="286"/>
    </row>
    <row r="271" spans="22:23" s="285" customFormat="1" x14ac:dyDescent="0.25">
      <c r="V271" s="286"/>
      <c r="W271" s="286"/>
    </row>
    <row r="272" spans="22:23" s="285" customFormat="1" x14ac:dyDescent="0.25">
      <c r="V272" s="286"/>
      <c r="W272" s="286"/>
    </row>
    <row r="273" spans="22:23" s="285" customFormat="1" x14ac:dyDescent="0.25">
      <c r="V273" s="286"/>
      <c r="W273" s="286"/>
    </row>
    <row r="274" spans="22:23" s="285" customFormat="1" x14ac:dyDescent="0.25">
      <c r="V274" s="286"/>
      <c r="W274" s="286"/>
    </row>
    <row r="275" spans="22:23" s="285" customFormat="1" x14ac:dyDescent="0.25">
      <c r="V275" s="286"/>
      <c r="W275" s="286"/>
    </row>
    <row r="276" spans="22:23" s="285" customFormat="1" x14ac:dyDescent="0.25">
      <c r="V276" s="286"/>
      <c r="W276" s="286"/>
    </row>
    <row r="277" spans="22:23" s="285" customFormat="1" x14ac:dyDescent="0.25">
      <c r="V277" s="286"/>
      <c r="W277" s="286"/>
    </row>
    <row r="278" spans="22:23" s="285" customFormat="1" x14ac:dyDescent="0.25">
      <c r="V278" s="286"/>
      <c r="W278" s="286"/>
    </row>
    <row r="279" spans="22:23" s="285" customFormat="1" x14ac:dyDescent="0.25">
      <c r="V279" s="286"/>
      <c r="W279" s="286"/>
    </row>
    <row r="280" spans="22:23" s="285" customFormat="1" x14ac:dyDescent="0.25">
      <c r="V280" s="286"/>
      <c r="W280" s="286"/>
    </row>
    <row r="281" spans="22:23" s="285" customFormat="1" x14ac:dyDescent="0.25">
      <c r="V281" s="286"/>
      <c r="W281" s="286"/>
    </row>
    <row r="282" spans="22:23" s="285" customFormat="1" x14ac:dyDescent="0.25">
      <c r="V282" s="286"/>
      <c r="W282" s="286"/>
    </row>
    <row r="283" spans="22:23" s="285" customFormat="1" x14ac:dyDescent="0.25">
      <c r="V283" s="286"/>
      <c r="W283" s="286"/>
    </row>
    <row r="284" spans="22:23" s="285" customFormat="1" x14ac:dyDescent="0.25">
      <c r="V284" s="286"/>
      <c r="W284" s="286"/>
    </row>
    <row r="285" spans="22:23" s="285" customFormat="1" x14ac:dyDescent="0.25">
      <c r="V285" s="286"/>
      <c r="W285" s="286"/>
    </row>
    <row r="286" spans="22:23" s="285" customFormat="1" x14ac:dyDescent="0.25">
      <c r="V286" s="286"/>
      <c r="W286" s="286"/>
    </row>
    <row r="287" spans="22:23" s="285" customFormat="1" x14ac:dyDescent="0.25">
      <c r="V287" s="286"/>
      <c r="W287" s="286"/>
    </row>
    <row r="288" spans="22:23" s="285" customFormat="1" x14ac:dyDescent="0.25">
      <c r="V288" s="286"/>
      <c r="W288" s="286"/>
    </row>
    <row r="289" spans="22:23" s="285" customFormat="1" x14ac:dyDescent="0.25">
      <c r="V289" s="286"/>
      <c r="W289" s="286"/>
    </row>
    <row r="290" spans="22:23" s="285" customFormat="1" x14ac:dyDescent="0.25">
      <c r="V290" s="286"/>
      <c r="W290" s="286"/>
    </row>
    <row r="291" spans="22:23" s="285" customFormat="1" x14ac:dyDescent="0.25">
      <c r="V291" s="286"/>
      <c r="W291" s="286"/>
    </row>
    <row r="292" spans="22:23" s="285" customFormat="1" x14ac:dyDescent="0.25">
      <c r="V292" s="286"/>
      <c r="W292" s="286"/>
    </row>
    <row r="293" spans="22:23" s="285" customFormat="1" x14ac:dyDescent="0.25">
      <c r="V293" s="286"/>
      <c r="W293" s="286"/>
    </row>
    <row r="294" spans="22:23" s="285" customFormat="1" x14ac:dyDescent="0.25">
      <c r="V294" s="286"/>
      <c r="W294" s="286"/>
    </row>
    <row r="295" spans="22:23" s="285" customFormat="1" x14ac:dyDescent="0.25">
      <c r="V295" s="286"/>
      <c r="W295" s="286"/>
    </row>
    <row r="296" spans="22:23" s="285" customFormat="1" x14ac:dyDescent="0.25">
      <c r="V296" s="286"/>
      <c r="W296" s="286"/>
    </row>
    <row r="297" spans="22:23" s="285" customFormat="1" x14ac:dyDescent="0.25">
      <c r="V297" s="286"/>
      <c r="W297" s="286"/>
    </row>
    <row r="298" spans="22:23" s="285" customFormat="1" x14ac:dyDescent="0.25">
      <c r="V298" s="286"/>
      <c r="W298" s="286"/>
    </row>
    <row r="299" spans="22:23" s="285" customFormat="1" x14ac:dyDescent="0.25">
      <c r="V299" s="286"/>
      <c r="W299" s="286"/>
    </row>
    <row r="300" spans="22:23" s="285" customFormat="1" x14ac:dyDescent="0.25">
      <c r="V300" s="286"/>
      <c r="W300" s="286"/>
    </row>
    <row r="301" spans="22:23" s="285" customFormat="1" x14ac:dyDescent="0.25">
      <c r="V301" s="286"/>
      <c r="W301" s="286"/>
    </row>
    <row r="302" spans="22:23" s="285" customFormat="1" x14ac:dyDescent="0.25">
      <c r="V302" s="286"/>
      <c r="W302" s="286"/>
    </row>
    <row r="303" spans="22:23" s="285" customFormat="1" x14ac:dyDescent="0.25">
      <c r="V303" s="286"/>
      <c r="W303" s="286"/>
    </row>
    <row r="304" spans="22:23" s="285" customFormat="1" x14ac:dyDescent="0.25">
      <c r="V304" s="286"/>
      <c r="W304" s="286"/>
    </row>
    <row r="305" spans="22:23" s="285" customFormat="1" x14ac:dyDescent="0.25">
      <c r="V305" s="286"/>
      <c r="W305" s="286"/>
    </row>
    <row r="306" spans="22:23" s="285" customFormat="1" x14ac:dyDescent="0.25">
      <c r="V306" s="286"/>
      <c r="W306" s="286"/>
    </row>
    <row r="307" spans="22:23" s="285" customFormat="1" x14ac:dyDescent="0.25">
      <c r="V307" s="286"/>
      <c r="W307" s="286"/>
    </row>
    <row r="308" spans="22:23" s="285" customFormat="1" x14ac:dyDescent="0.25">
      <c r="V308" s="286"/>
      <c r="W308" s="286"/>
    </row>
    <row r="309" spans="22:23" s="285" customFormat="1" x14ac:dyDescent="0.25">
      <c r="V309" s="286"/>
      <c r="W309" s="286"/>
    </row>
    <row r="310" spans="22:23" s="285" customFormat="1" x14ac:dyDescent="0.25">
      <c r="V310" s="286"/>
      <c r="W310" s="286"/>
    </row>
    <row r="311" spans="22:23" s="285" customFormat="1" x14ac:dyDescent="0.25">
      <c r="V311" s="286"/>
      <c r="W311" s="286"/>
    </row>
    <row r="312" spans="22:23" s="285" customFormat="1" x14ac:dyDescent="0.25">
      <c r="V312" s="286"/>
      <c r="W312" s="286"/>
    </row>
    <row r="313" spans="22:23" s="285" customFormat="1" x14ac:dyDescent="0.25">
      <c r="V313" s="286"/>
      <c r="W313" s="286"/>
    </row>
    <row r="314" spans="22:23" s="285" customFormat="1" x14ac:dyDescent="0.25">
      <c r="V314" s="286"/>
      <c r="W314" s="286"/>
    </row>
    <row r="315" spans="22:23" s="285" customFormat="1" x14ac:dyDescent="0.25">
      <c r="V315" s="286"/>
      <c r="W315" s="286"/>
    </row>
    <row r="316" spans="22:23" s="285" customFormat="1" x14ac:dyDescent="0.25">
      <c r="V316" s="286"/>
      <c r="W316" s="286"/>
    </row>
    <row r="317" spans="22:23" s="285" customFormat="1" x14ac:dyDescent="0.25">
      <c r="V317" s="286"/>
      <c r="W317" s="286"/>
    </row>
    <row r="318" spans="22:23" s="285" customFormat="1" x14ac:dyDescent="0.25">
      <c r="V318" s="286"/>
      <c r="W318" s="286"/>
    </row>
    <row r="319" spans="22:23" s="285" customFormat="1" x14ac:dyDescent="0.25">
      <c r="V319" s="286"/>
      <c r="W319" s="286"/>
    </row>
    <row r="320" spans="22:23" s="285" customFormat="1" x14ac:dyDescent="0.25">
      <c r="V320" s="286"/>
      <c r="W320" s="286"/>
    </row>
    <row r="321" spans="22:23" s="285" customFormat="1" x14ac:dyDescent="0.25">
      <c r="V321" s="286"/>
      <c r="W321" s="286"/>
    </row>
    <row r="322" spans="22:23" s="285" customFormat="1" x14ac:dyDescent="0.25">
      <c r="V322" s="286"/>
      <c r="W322" s="286"/>
    </row>
    <row r="323" spans="22:23" s="285" customFormat="1" x14ac:dyDescent="0.25">
      <c r="V323" s="286"/>
      <c r="W323" s="286"/>
    </row>
    <row r="324" spans="22:23" s="285" customFormat="1" x14ac:dyDescent="0.25">
      <c r="V324" s="286"/>
      <c r="W324" s="286"/>
    </row>
    <row r="325" spans="22:23" s="285" customFormat="1" x14ac:dyDescent="0.25">
      <c r="V325" s="286"/>
      <c r="W325" s="286"/>
    </row>
    <row r="326" spans="22:23" s="285" customFormat="1" x14ac:dyDescent="0.25">
      <c r="V326" s="286"/>
      <c r="W326" s="286"/>
    </row>
    <row r="327" spans="22:23" s="285" customFormat="1" x14ac:dyDescent="0.25">
      <c r="V327" s="286"/>
      <c r="W327" s="286"/>
    </row>
    <row r="328" spans="22:23" s="285" customFormat="1" x14ac:dyDescent="0.25">
      <c r="V328" s="286"/>
      <c r="W328" s="286"/>
    </row>
    <row r="329" spans="22:23" s="285" customFormat="1" x14ac:dyDescent="0.25">
      <c r="V329" s="286"/>
      <c r="W329" s="286"/>
    </row>
    <row r="330" spans="22:23" s="285" customFormat="1" x14ac:dyDescent="0.25">
      <c r="V330" s="286"/>
      <c r="W330" s="286"/>
    </row>
    <row r="331" spans="22:23" s="285" customFormat="1" x14ac:dyDescent="0.25">
      <c r="V331" s="286"/>
      <c r="W331" s="286"/>
    </row>
    <row r="332" spans="22:23" s="285" customFormat="1" x14ac:dyDescent="0.25">
      <c r="V332" s="286"/>
      <c r="W332" s="286"/>
    </row>
    <row r="333" spans="22:23" s="285" customFormat="1" x14ac:dyDescent="0.25">
      <c r="V333" s="286"/>
      <c r="W333" s="286"/>
    </row>
    <row r="334" spans="22:23" s="285" customFormat="1" x14ac:dyDescent="0.25">
      <c r="V334" s="286"/>
      <c r="W334" s="286"/>
    </row>
    <row r="335" spans="22:23" s="285" customFormat="1" x14ac:dyDescent="0.25">
      <c r="V335" s="286"/>
      <c r="W335" s="286"/>
    </row>
    <row r="336" spans="22:23" s="285" customFormat="1" x14ac:dyDescent="0.25">
      <c r="V336" s="286"/>
      <c r="W336" s="286"/>
    </row>
    <row r="337" spans="22:23" s="285" customFormat="1" x14ac:dyDescent="0.25">
      <c r="V337" s="286"/>
      <c r="W337" s="286"/>
    </row>
    <row r="338" spans="22:23" s="285" customFormat="1" x14ac:dyDescent="0.25">
      <c r="V338" s="286"/>
      <c r="W338" s="286"/>
    </row>
    <row r="339" spans="22:23" s="285" customFormat="1" x14ac:dyDescent="0.25">
      <c r="V339" s="286"/>
      <c r="W339" s="286"/>
    </row>
    <row r="340" spans="22:23" s="285" customFormat="1" x14ac:dyDescent="0.25">
      <c r="V340" s="286"/>
      <c r="W340" s="286"/>
    </row>
    <row r="341" spans="22:23" s="285" customFormat="1" x14ac:dyDescent="0.25">
      <c r="V341" s="286"/>
      <c r="W341" s="286"/>
    </row>
    <row r="342" spans="22:23" s="285" customFormat="1" x14ac:dyDescent="0.25">
      <c r="V342" s="286"/>
      <c r="W342" s="286"/>
    </row>
    <row r="343" spans="22:23" s="285" customFormat="1" x14ac:dyDescent="0.25">
      <c r="V343" s="286"/>
      <c r="W343" s="286"/>
    </row>
    <row r="344" spans="22:23" s="285" customFormat="1" x14ac:dyDescent="0.25">
      <c r="V344" s="286"/>
      <c r="W344" s="286"/>
    </row>
    <row r="345" spans="22:23" s="285" customFormat="1" x14ac:dyDescent="0.25">
      <c r="V345" s="286"/>
      <c r="W345" s="286"/>
    </row>
    <row r="346" spans="22:23" s="285" customFormat="1" x14ac:dyDescent="0.25">
      <c r="V346" s="286"/>
      <c r="W346" s="286"/>
    </row>
    <row r="347" spans="22:23" s="285" customFormat="1" x14ac:dyDescent="0.25">
      <c r="V347" s="286"/>
      <c r="W347" s="286"/>
    </row>
    <row r="348" spans="22:23" s="285" customFormat="1" x14ac:dyDescent="0.25">
      <c r="V348" s="286"/>
      <c r="W348" s="286"/>
    </row>
    <row r="349" spans="22:23" s="285" customFormat="1" x14ac:dyDescent="0.25">
      <c r="V349" s="286"/>
      <c r="W349" s="286"/>
    </row>
    <row r="350" spans="22:23" s="285" customFormat="1" x14ac:dyDescent="0.25">
      <c r="V350" s="286"/>
      <c r="W350" s="286"/>
    </row>
    <row r="351" spans="22:23" s="285" customFormat="1" x14ac:dyDescent="0.25">
      <c r="V351" s="286"/>
      <c r="W351" s="286"/>
    </row>
    <row r="352" spans="22:23" s="285" customFormat="1" x14ac:dyDescent="0.25">
      <c r="V352" s="286"/>
      <c r="W352" s="286"/>
    </row>
    <row r="353" spans="22:23" s="285" customFormat="1" x14ac:dyDescent="0.25">
      <c r="V353" s="286"/>
      <c r="W353" s="286"/>
    </row>
    <row r="354" spans="22:23" s="285" customFormat="1" x14ac:dyDescent="0.25">
      <c r="V354" s="286"/>
      <c r="W354" s="286"/>
    </row>
    <row r="355" spans="22:23" s="285" customFormat="1" x14ac:dyDescent="0.25">
      <c r="V355" s="286"/>
      <c r="W355" s="286"/>
    </row>
    <row r="356" spans="22:23" s="285" customFormat="1" x14ac:dyDescent="0.25">
      <c r="V356" s="286"/>
      <c r="W356" s="286"/>
    </row>
    <row r="357" spans="22:23" s="285" customFormat="1" x14ac:dyDescent="0.25">
      <c r="V357" s="286"/>
      <c r="W357" s="286"/>
    </row>
    <row r="358" spans="22:23" s="285" customFormat="1" x14ac:dyDescent="0.25">
      <c r="V358" s="286"/>
      <c r="W358" s="286"/>
    </row>
    <row r="359" spans="22:23" s="285" customFormat="1" x14ac:dyDescent="0.25">
      <c r="V359" s="286"/>
      <c r="W359" s="286"/>
    </row>
    <row r="360" spans="22:23" s="285" customFormat="1" x14ac:dyDescent="0.25">
      <c r="V360" s="286"/>
      <c r="W360" s="286"/>
    </row>
    <row r="361" spans="22:23" s="285" customFormat="1" x14ac:dyDescent="0.25">
      <c r="V361" s="286"/>
      <c r="W361" s="286"/>
    </row>
    <row r="362" spans="22:23" s="285" customFormat="1" x14ac:dyDescent="0.25">
      <c r="V362" s="286"/>
      <c r="W362" s="286"/>
    </row>
    <row r="363" spans="22:23" s="285" customFormat="1" x14ac:dyDescent="0.25">
      <c r="V363" s="286"/>
      <c r="W363" s="286"/>
    </row>
    <row r="364" spans="22:23" s="285" customFormat="1" x14ac:dyDescent="0.25">
      <c r="V364" s="286"/>
      <c r="W364" s="286"/>
    </row>
    <row r="365" spans="22:23" s="285" customFormat="1" x14ac:dyDescent="0.25">
      <c r="V365" s="286"/>
      <c r="W365" s="286"/>
    </row>
    <row r="366" spans="22:23" s="285" customFormat="1" x14ac:dyDescent="0.25">
      <c r="V366" s="286"/>
      <c r="W366" s="286"/>
    </row>
    <row r="367" spans="22:23" s="285" customFormat="1" x14ac:dyDescent="0.25">
      <c r="V367" s="286"/>
      <c r="W367" s="286"/>
    </row>
    <row r="368" spans="22:23" s="285" customFormat="1" x14ac:dyDescent="0.25">
      <c r="V368" s="286"/>
      <c r="W368" s="286"/>
    </row>
    <row r="369" spans="22:23" s="285" customFormat="1" x14ac:dyDescent="0.25">
      <c r="V369" s="286"/>
      <c r="W369" s="286"/>
    </row>
    <row r="370" spans="22:23" s="285" customFormat="1" x14ac:dyDescent="0.25">
      <c r="V370" s="286"/>
      <c r="W370" s="286"/>
    </row>
    <row r="371" spans="22:23" s="285" customFormat="1" x14ac:dyDescent="0.25">
      <c r="V371" s="286"/>
      <c r="W371" s="286"/>
    </row>
    <row r="372" spans="22:23" s="285" customFormat="1" x14ac:dyDescent="0.25">
      <c r="V372" s="286"/>
      <c r="W372" s="286"/>
    </row>
    <row r="373" spans="22:23" s="285" customFormat="1" x14ac:dyDescent="0.25">
      <c r="V373" s="286"/>
      <c r="W373" s="286"/>
    </row>
    <row r="374" spans="22:23" s="285" customFormat="1" x14ac:dyDescent="0.25">
      <c r="V374" s="286"/>
      <c r="W374" s="286"/>
    </row>
    <row r="375" spans="22:23" s="285" customFormat="1" x14ac:dyDescent="0.25">
      <c r="V375" s="286"/>
      <c r="W375" s="286"/>
    </row>
    <row r="376" spans="22:23" s="285" customFormat="1" x14ac:dyDescent="0.25">
      <c r="V376" s="286"/>
      <c r="W376" s="286"/>
    </row>
    <row r="377" spans="22:23" s="285" customFormat="1" x14ac:dyDescent="0.25">
      <c r="V377" s="286"/>
      <c r="W377" s="286"/>
    </row>
    <row r="378" spans="22:23" s="285" customFormat="1" x14ac:dyDescent="0.25">
      <c r="V378" s="286"/>
      <c r="W378" s="286"/>
    </row>
    <row r="379" spans="22:23" s="285" customFormat="1" x14ac:dyDescent="0.25">
      <c r="V379" s="286"/>
      <c r="W379" s="286"/>
    </row>
    <row r="380" spans="22:23" s="285" customFormat="1" x14ac:dyDescent="0.25">
      <c r="V380" s="286"/>
      <c r="W380" s="286"/>
    </row>
    <row r="381" spans="22:23" s="285" customFormat="1" x14ac:dyDescent="0.25">
      <c r="V381" s="286"/>
      <c r="W381" s="286"/>
    </row>
    <row r="382" spans="22:23" s="285" customFormat="1" x14ac:dyDescent="0.25">
      <c r="V382" s="286"/>
      <c r="W382" s="286"/>
    </row>
    <row r="383" spans="22:23" s="285" customFormat="1" x14ac:dyDescent="0.25">
      <c r="V383" s="286"/>
      <c r="W383" s="286"/>
    </row>
    <row r="384" spans="22:23" s="285" customFormat="1" x14ac:dyDescent="0.25">
      <c r="V384" s="286"/>
      <c r="W384" s="286"/>
    </row>
    <row r="385" spans="22:23" s="285" customFormat="1" x14ac:dyDescent="0.25">
      <c r="V385" s="286"/>
      <c r="W385" s="286"/>
    </row>
    <row r="386" spans="22:23" s="285" customFormat="1" x14ac:dyDescent="0.25">
      <c r="V386" s="286"/>
      <c r="W386" s="286"/>
    </row>
    <row r="387" spans="22:23" s="285" customFormat="1" x14ac:dyDescent="0.25">
      <c r="V387" s="286"/>
      <c r="W387" s="286"/>
    </row>
    <row r="388" spans="22:23" s="285" customFormat="1" x14ac:dyDescent="0.25">
      <c r="V388" s="286"/>
      <c r="W388" s="286"/>
    </row>
    <row r="389" spans="22:23" s="285" customFormat="1" x14ac:dyDescent="0.25">
      <c r="V389" s="286"/>
      <c r="W389" s="286"/>
    </row>
    <row r="390" spans="22:23" s="285" customFormat="1" x14ac:dyDescent="0.25">
      <c r="V390" s="286"/>
      <c r="W390" s="286"/>
    </row>
    <row r="391" spans="22:23" s="285" customFormat="1" x14ac:dyDescent="0.25">
      <c r="V391" s="286"/>
      <c r="W391" s="286"/>
    </row>
    <row r="392" spans="22:23" s="285" customFormat="1" x14ac:dyDescent="0.25">
      <c r="V392" s="286"/>
      <c r="W392" s="286"/>
    </row>
    <row r="393" spans="22:23" s="285" customFormat="1" x14ac:dyDescent="0.25">
      <c r="V393" s="286"/>
      <c r="W393" s="286"/>
    </row>
    <row r="394" spans="22:23" s="285" customFormat="1" x14ac:dyDescent="0.25">
      <c r="V394" s="286"/>
      <c r="W394" s="286"/>
    </row>
    <row r="395" spans="22:23" s="285" customFormat="1" x14ac:dyDescent="0.25">
      <c r="V395" s="286"/>
      <c r="W395" s="286"/>
    </row>
    <row r="396" spans="22:23" s="285" customFormat="1" x14ac:dyDescent="0.25">
      <c r="V396" s="286"/>
      <c r="W396" s="286"/>
    </row>
    <row r="397" spans="22:23" s="285" customFormat="1" x14ac:dyDescent="0.25">
      <c r="V397" s="286"/>
      <c r="W397" s="286"/>
    </row>
    <row r="398" spans="22:23" s="285" customFormat="1" x14ac:dyDescent="0.25">
      <c r="V398" s="286"/>
      <c r="W398" s="286"/>
    </row>
    <row r="399" spans="22:23" s="285" customFormat="1" x14ac:dyDescent="0.25">
      <c r="V399" s="286"/>
      <c r="W399" s="286"/>
    </row>
    <row r="400" spans="22:23" s="285" customFormat="1" x14ac:dyDescent="0.25">
      <c r="V400" s="286"/>
      <c r="W400" s="286"/>
    </row>
    <row r="401" spans="22:23" s="285" customFormat="1" x14ac:dyDescent="0.25">
      <c r="V401" s="286"/>
      <c r="W401" s="286"/>
    </row>
    <row r="402" spans="22:23" s="285" customFormat="1" x14ac:dyDescent="0.25">
      <c r="V402" s="286"/>
      <c r="W402" s="286"/>
    </row>
    <row r="403" spans="22:23" s="285" customFormat="1" x14ac:dyDescent="0.25">
      <c r="V403" s="286"/>
      <c r="W403" s="286"/>
    </row>
    <row r="404" spans="22:23" s="285" customFormat="1" x14ac:dyDescent="0.25">
      <c r="V404" s="286"/>
      <c r="W404" s="286"/>
    </row>
    <row r="405" spans="22:23" s="285" customFormat="1" x14ac:dyDescent="0.25">
      <c r="V405" s="286"/>
      <c r="W405" s="286"/>
    </row>
    <row r="406" spans="22:23" s="285" customFormat="1" x14ac:dyDescent="0.25">
      <c r="V406" s="286"/>
      <c r="W406" s="286"/>
    </row>
    <row r="407" spans="22:23" s="285" customFormat="1" x14ac:dyDescent="0.25">
      <c r="V407" s="286"/>
      <c r="W407" s="286"/>
    </row>
    <row r="408" spans="22:23" s="285" customFormat="1" x14ac:dyDescent="0.25">
      <c r="V408" s="286"/>
      <c r="W408" s="286"/>
    </row>
    <row r="409" spans="22:23" s="285" customFormat="1" x14ac:dyDescent="0.25">
      <c r="V409" s="286"/>
      <c r="W409" s="286"/>
    </row>
    <row r="410" spans="22:23" s="285" customFormat="1" x14ac:dyDescent="0.25">
      <c r="V410" s="286"/>
      <c r="W410" s="286"/>
    </row>
  </sheetData>
  <sheetProtection algorithmName="SHA-512" hashValue="pyYNswXhGGIreBrBQmYQ3hxc66yQuNm69d/DoF5ElmjVZHnaQ0j2UQopqngyKqIcRv+KW7aWUm7MS/hqzdM7oQ==" saltValue="sK9l/Vy6daB8SSL7rifuRg==" spinCount="100000" sheet="1" objects="1" scenarios="1" selectLockedCells="1" selectUnlockedCells="1"/>
  <mergeCells count="92">
    <mergeCell ref="A7:A14"/>
    <mergeCell ref="B7:B14"/>
    <mergeCell ref="C7:C14"/>
    <mergeCell ref="D7:D14"/>
    <mergeCell ref="E7:E14"/>
    <mergeCell ref="C1:X3"/>
    <mergeCell ref="A4:K4"/>
    <mergeCell ref="L4:P5"/>
    <mergeCell ref="Q4:U5"/>
    <mergeCell ref="V4:W5"/>
    <mergeCell ref="X4:X5"/>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P7:P8"/>
    <mergeCell ref="W7:W14"/>
    <mergeCell ref="AQ7:AQ8"/>
    <mergeCell ref="AR7:AR8"/>
    <mergeCell ref="Y7:Y8"/>
    <mergeCell ref="Z7:Z8"/>
    <mergeCell ref="AA7:AA8"/>
    <mergeCell ref="AB7:AB8"/>
    <mergeCell ref="AG7:AG8"/>
    <mergeCell ref="AH7:AH8"/>
    <mergeCell ref="P10:P12"/>
    <mergeCell ref="AI7:AI8"/>
    <mergeCell ref="AJ7:AJ8"/>
    <mergeCell ref="AO7:AO8"/>
    <mergeCell ref="AP7:AP8"/>
    <mergeCell ref="X7:X14"/>
    <mergeCell ref="F10:F12"/>
    <mergeCell ref="L10:L12"/>
    <mergeCell ref="M10:M12"/>
    <mergeCell ref="N10:N12"/>
    <mergeCell ref="O10:O12"/>
    <mergeCell ref="G7:G14"/>
    <mergeCell ref="H7:H14"/>
    <mergeCell ref="I7:I14"/>
    <mergeCell ref="J7:J14"/>
    <mergeCell ref="K7:K14"/>
    <mergeCell ref="L7:L8"/>
    <mergeCell ref="F13:F14"/>
    <mergeCell ref="F7:F9"/>
    <mergeCell ref="M7:M8"/>
    <mergeCell ref="N7:N8"/>
    <mergeCell ref="O7:O8"/>
    <mergeCell ref="AR10:AR12"/>
    <mergeCell ref="Y10:Y12"/>
    <mergeCell ref="Z10:Z12"/>
    <mergeCell ref="AA10:AA12"/>
    <mergeCell ref="AB10:AB12"/>
    <mergeCell ref="AG10:AG12"/>
    <mergeCell ref="AH10:AH12"/>
    <mergeCell ref="AI10:AI12"/>
    <mergeCell ref="AJ10:AJ12"/>
    <mergeCell ref="AO10:AO12"/>
    <mergeCell ref="AP10:AP12"/>
    <mergeCell ref="AQ10:AQ12"/>
    <mergeCell ref="AH13:AH14"/>
    <mergeCell ref="L13:L14"/>
    <mergeCell ref="M13:M14"/>
    <mergeCell ref="N13:N14"/>
    <mergeCell ref="O13:O14"/>
    <mergeCell ref="P13:P14"/>
    <mergeCell ref="Y13:Y14"/>
    <mergeCell ref="Z13:Z14"/>
    <mergeCell ref="AA13:AA14"/>
    <mergeCell ref="AB13:AB14"/>
    <mergeCell ref="AG13:AG14"/>
    <mergeCell ref="AS15:AT15"/>
    <mergeCell ref="AI13:AI14"/>
    <mergeCell ref="AJ13:AJ14"/>
    <mergeCell ref="AO13:AO14"/>
    <mergeCell ref="AP13:AP14"/>
    <mergeCell ref="AQ13:AQ14"/>
    <mergeCell ref="AR13:AR14"/>
    <mergeCell ref="Y15:Z15"/>
    <mergeCell ref="AC15:AD15"/>
    <mergeCell ref="AG15:AH15"/>
    <mergeCell ref="AK15:AL15"/>
    <mergeCell ref="AO15:AP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D24F-5859-4EBC-B823-B92A45229310}">
  <sheetPr>
    <tabColor rgb="FFFF0000"/>
  </sheetPr>
  <dimension ref="A1:BW19"/>
  <sheetViews>
    <sheetView topLeftCell="X1" zoomScaleNormal="100" workbookViewId="0">
      <pane xSplit="1" ySplit="6" topLeftCell="AA7" activePane="bottomRight" state="frozen"/>
      <selection activeCell="X1" sqref="X1"/>
      <selection pane="topRight" activeCell="Y1" sqref="Y1"/>
      <selection pane="bottomLeft" activeCell="X7" sqref="X7"/>
      <selection pane="bottomRight" activeCell="AA19" sqref="AA19"/>
    </sheetView>
  </sheetViews>
  <sheetFormatPr baseColWidth="10" defaultRowHeight="15" x14ac:dyDescent="0.25"/>
  <cols>
    <col min="1" max="1" width="23.140625" customWidth="1"/>
    <col min="2" max="2" width="23" customWidth="1"/>
    <col min="3" max="3" width="17.42578125" customWidth="1"/>
    <col min="4" max="4" width="22.5703125" customWidth="1"/>
    <col min="5" max="6" width="22" customWidth="1"/>
    <col min="7" max="7" width="14.7109375" customWidth="1"/>
    <col min="8" max="8" width="15.28515625" customWidth="1"/>
    <col min="9" max="9" width="14.140625" customWidth="1"/>
    <col min="10" max="10" width="14.42578125" customWidth="1"/>
    <col min="11" max="11" width="17.42578125" customWidth="1"/>
    <col min="12" max="12" width="23.5703125" customWidth="1"/>
    <col min="13" max="13" width="22.28515625" customWidth="1"/>
    <col min="17" max="17" width="24.42578125" customWidth="1"/>
    <col min="18" max="18" width="22.5703125" customWidth="1"/>
    <col min="19" max="19" width="13.5703125" customWidth="1"/>
    <col min="22" max="23" width="13.5703125" bestFit="1" customWidth="1"/>
    <col min="24" max="24" width="69.42578125" customWidth="1"/>
    <col min="25" max="25" width="17.140625" customWidth="1"/>
    <col min="27" max="27" width="15.42578125" customWidth="1"/>
    <col min="28" max="28" width="32.7109375" customWidth="1"/>
    <col min="29" max="29" width="17.140625" customWidth="1"/>
    <col min="31" max="31" width="17.7109375" customWidth="1"/>
    <col min="32" max="32" width="38.7109375" customWidth="1"/>
    <col min="33" max="33" width="16.42578125" customWidth="1"/>
    <col min="36" max="36" width="34.140625" customWidth="1"/>
    <col min="40" max="40" width="32.28515625" customWidth="1"/>
    <col min="44" max="44" width="33.85546875" customWidth="1"/>
    <col min="48" max="48" width="32.28515625" customWidth="1"/>
  </cols>
  <sheetData>
    <row r="1" spans="1:75"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75"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75"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75" s="204" customFormat="1" x14ac:dyDescent="0.25">
      <c r="A4" s="414" t="s">
        <v>5</v>
      </c>
      <c r="B4" s="415"/>
      <c r="C4" s="415"/>
      <c r="D4" s="415"/>
      <c r="E4" s="415"/>
      <c r="F4" s="415"/>
      <c r="G4" s="415"/>
      <c r="H4" s="415"/>
      <c r="I4" s="415"/>
      <c r="J4" s="415"/>
      <c r="K4" s="416"/>
      <c r="L4" s="417" t="s">
        <v>6</v>
      </c>
      <c r="M4" s="418"/>
      <c r="N4" s="418"/>
      <c r="O4" s="418"/>
      <c r="P4" s="419"/>
      <c r="Q4" s="417" t="s">
        <v>7</v>
      </c>
      <c r="R4" s="418"/>
      <c r="S4" s="418"/>
      <c r="T4" s="418"/>
      <c r="U4" s="419"/>
      <c r="V4" s="429" t="s">
        <v>8</v>
      </c>
      <c r="W4" s="430"/>
      <c r="X4" s="424" t="s">
        <v>9</v>
      </c>
      <c r="Y4" s="403" t="s">
        <v>533</v>
      </c>
      <c r="Z4" s="404"/>
      <c r="AA4" s="404"/>
      <c r="AB4" s="404"/>
      <c r="AC4" s="404"/>
      <c r="AD4" s="404"/>
      <c r="AE4" s="404"/>
      <c r="AF4" s="405"/>
      <c r="AG4" s="403" t="s">
        <v>533</v>
      </c>
      <c r="AH4" s="404"/>
      <c r="AI4" s="404"/>
      <c r="AJ4" s="404"/>
      <c r="AK4" s="404"/>
      <c r="AL4" s="404"/>
      <c r="AM4" s="404"/>
      <c r="AN4" s="404"/>
      <c r="AO4" s="434" t="s">
        <v>533</v>
      </c>
      <c r="AP4" s="434"/>
      <c r="AQ4" s="434"/>
      <c r="AR4" s="434"/>
      <c r="AS4" s="434"/>
      <c r="AT4" s="434"/>
      <c r="AU4" s="434"/>
      <c r="AV4" s="434"/>
      <c r="AW4" s="203"/>
      <c r="AX4" s="203"/>
      <c r="AY4" s="203"/>
      <c r="AZ4" s="203"/>
      <c r="BA4" s="203"/>
      <c r="BB4" s="203"/>
      <c r="BC4" s="203"/>
      <c r="BD4" s="203"/>
      <c r="BE4" s="203"/>
      <c r="BF4" s="203"/>
      <c r="BG4" s="203"/>
      <c r="BH4" s="203"/>
      <c r="BI4" s="203"/>
      <c r="BJ4" s="203"/>
      <c r="BK4" s="203"/>
      <c r="BL4" s="203"/>
      <c r="BM4" s="203"/>
      <c r="BN4" s="203"/>
      <c r="BO4" s="203"/>
      <c r="BP4" s="203"/>
    </row>
    <row r="5" spans="1:75" s="206" customFormat="1" ht="30" x14ac:dyDescent="0.25">
      <c r="A5" s="406" t="s">
        <v>13</v>
      </c>
      <c r="B5" s="407"/>
      <c r="C5" s="408"/>
      <c r="D5" s="205" t="s">
        <v>14</v>
      </c>
      <c r="E5" s="406" t="s">
        <v>15</v>
      </c>
      <c r="F5" s="408"/>
      <c r="G5" s="406" t="s">
        <v>16</v>
      </c>
      <c r="H5" s="407"/>
      <c r="I5" s="408"/>
      <c r="J5" s="409" t="s">
        <v>17</v>
      </c>
      <c r="K5" s="409" t="s">
        <v>18</v>
      </c>
      <c r="L5" s="403"/>
      <c r="M5" s="404"/>
      <c r="N5" s="404"/>
      <c r="O5" s="404"/>
      <c r="P5" s="405"/>
      <c r="Q5" s="403"/>
      <c r="R5" s="404"/>
      <c r="S5" s="404"/>
      <c r="T5" s="404"/>
      <c r="U5" s="405"/>
      <c r="V5" s="431"/>
      <c r="W5" s="432"/>
      <c r="X5" s="425"/>
      <c r="Y5" s="406" t="s">
        <v>534</v>
      </c>
      <c r="Z5" s="407"/>
      <c r="AA5" s="407"/>
      <c r="AB5" s="411"/>
      <c r="AC5" s="412" t="s">
        <v>535</v>
      </c>
      <c r="AD5" s="407"/>
      <c r="AE5" s="407"/>
      <c r="AF5" s="408"/>
      <c r="AG5" s="406" t="s">
        <v>536</v>
      </c>
      <c r="AH5" s="407"/>
      <c r="AI5" s="407"/>
      <c r="AJ5" s="411"/>
      <c r="AK5" s="412" t="s">
        <v>537</v>
      </c>
      <c r="AL5" s="407"/>
      <c r="AM5" s="407"/>
      <c r="AN5" s="407"/>
      <c r="AO5" s="434" t="s">
        <v>538</v>
      </c>
      <c r="AP5" s="434"/>
      <c r="AQ5" s="434"/>
      <c r="AR5" s="434"/>
      <c r="AS5" s="434" t="s">
        <v>539</v>
      </c>
      <c r="AT5" s="434"/>
      <c r="AU5" s="434"/>
      <c r="AV5" s="434"/>
      <c r="AW5" s="203"/>
      <c r="AX5" s="203"/>
      <c r="AY5" s="203"/>
      <c r="AZ5" s="203"/>
      <c r="BA5" s="203"/>
      <c r="BB5" s="203"/>
      <c r="BC5" s="203"/>
      <c r="BD5" s="203"/>
      <c r="BE5" s="203"/>
      <c r="BF5" s="203"/>
      <c r="BG5" s="203"/>
      <c r="BH5" s="203"/>
      <c r="BI5" s="203"/>
      <c r="BJ5" s="203"/>
      <c r="BK5" s="203"/>
      <c r="BL5" s="203"/>
      <c r="BM5" s="203"/>
      <c r="BN5" s="203"/>
      <c r="BO5" s="203"/>
      <c r="BP5" s="203"/>
    </row>
    <row r="6" spans="1:75" s="204" customFormat="1" ht="30" x14ac:dyDescent="0.25">
      <c r="A6" s="12" t="s">
        <v>21</v>
      </c>
      <c r="B6" s="12" t="s">
        <v>22</v>
      </c>
      <c r="C6" s="12" t="s">
        <v>23</v>
      </c>
      <c r="D6" s="12" t="s">
        <v>24</v>
      </c>
      <c r="E6" s="12" t="s">
        <v>25</v>
      </c>
      <c r="F6" s="12" t="s">
        <v>26</v>
      </c>
      <c r="G6" s="12" t="s">
        <v>27</v>
      </c>
      <c r="H6" s="12" t="s">
        <v>28</v>
      </c>
      <c r="I6" s="12" t="s">
        <v>29</v>
      </c>
      <c r="J6" s="410"/>
      <c r="K6" s="410"/>
      <c r="L6" s="12" t="s">
        <v>6</v>
      </c>
      <c r="M6" s="12" t="s">
        <v>30</v>
      </c>
      <c r="N6" s="12" t="s">
        <v>31</v>
      </c>
      <c r="O6" s="12" t="s">
        <v>32</v>
      </c>
      <c r="P6" s="12" t="s">
        <v>33</v>
      </c>
      <c r="Q6" s="12" t="s">
        <v>7</v>
      </c>
      <c r="R6" s="12" t="s">
        <v>34</v>
      </c>
      <c r="S6" s="12" t="s">
        <v>31</v>
      </c>
      <c r="T6" s="12" t="s">
        <v>32</v>
      </c>
      <c r="U6" s="12" t="s">
        <v>35</v>
      </c>
      <c r="V6" s="207" t="s">
        <v>36</v>
      </c>
      <c r="W6" s="207" t="s">
        <v>37</v>
      </c>
      <c r="X6" s="12" t="s">
        <v>38</v>
      </c>
      <c r="Y6" s="12" t="s">
        <v>39</v>
      </c>
      <c r="Z6" s="12" t="s">
        <v>40</v>
      </c>
      <c r="AA6" s="12" t="s">
        <v>41</v>
      </c>
      <c r="AB6" s="12" t="s">
        <v>42</v>
      </c>
      <c r="AC6" s="12" t="s">
        <v>39</v>
      </c>
      <c r="AD6" s="12" t="s">
        <v>40</v>
      </c>
      <c r="AE6" s="12" t="s">
        <v>41</v>
      </c>
      <c r="AF6" s="12" t="s">
        <v>42</v>
      </c>
      <c r="AG6" s="12" t="s">
        <v>39</v>
      </c>
      <c r="AH6" s="12" t="s">
        <v>40</v>
      </c>
      <c r="AI6" s="12" t="s">
        <v>41</v>
      </c>
      <c r="AJ6" s="12" t="s">
        <v>42</v>
      </c>
      <c r="AK6" s="12" t="s">
        <v>39</v>
      </c>
      <c r="AL6" s="12" t="s">
        <v>40</v>
      </c>
      <c r="AM6" s="12" t="s">
        <v>41</v>
      </c>
      <c r="AN6" s="208" t="s">
        <v>42</v>
      </c>
      <c r="AO6" s="209" t="s">
        <v>39</v>
      </c>
      <c r="AP6" s="209" t="s">
        <v>40</v>
      </c>
      <c r="AQ6" s="209" t="s">
        <v>41</v>
      </c>
      <c r="AR6" s="209" t="s">
        <v>42</v>
      </c>
      <c r="AS6" s="209" t="s">
        <v>39</v>
      </c>
      <c r="AT6" s="209" t="s">
        <v>40</v>
      </c>
      <c r="AU6" s="209" t="s">
        <v>41</v>
      </c>
      <c r="AV6" s="209" t="s">
        <v>42</v>
      </c>
      <c r="AW6" s="203"/>
      <c r="AX6" s="203"/>
      <c r="AY6" s="203"/>
      <c r="AZ6" s="203"/>
      <c r="BA6" s="203"/>
      <c r="BB6" s="203"/>
      <c r="BC6" s="203"/>
      <c r="BD6" s="203"/>
      <c r="BE6" s="203"/>
      <c r="BF6" s="203"/>
      <c r="BG6" s="203"/>
      <c r="BH6" s="203"/>
      <c r="BI6" s="203"/>
      <c r="BJ6" s="203"/>
      <c r="BK6" s="203"/>
      <c r="BL6" s="203"/>
      <c r="BM6" s="203"/>
      <c r="BN6" s="203"/>
      <c r="BO6" s="203"/>
      <c r="BP6" s="203"/>
    </row>
    <row r="7" spans="1:75" s="215" customFormat="1" ht="168" customHeight="1" x14ac:dyDescent="0.25">
      <c r="A7" s="433" t="s">
        <v>43</v>
      </c>
      <c r="B7" s="433" t="s">
        <v>44</v>
      </c>
      <c r="C7" s="433" t="s">
        <v>45</v>
      </c>
      <c r="D7" s="433" t="s">
        <v>540</v>
      </c>
      <c r="E7" s="433" t="s">
        <v>524</v>
      </c>
      <c r="F7" s="433" t="s">
        <v>525</v>
      </c>
      <c r="G7" s="444" t="s">
        <v>377</v>
      </c>
      <c r="H7" s="433" t="s">
        <v>541</v>
      </c>
      <c r="I7" s="433" t="s">
        <v>542</v>
      </c>
      <c r="J7" s="433" t="s">
        <v>543</v>
      </c>
      <c r="K7" s="433" t="s">
        <v>543</v>
      </c>
      <c r="L7" s="435" t="s">
        <v>544</v>
      </c>
      <c r="M7" s="435" t="s">
        <v>544</v>
      </c>
      <c r="N7" s="435" t="s">
        <v>56</v>
      </c>
      <c r="O7" s="435"/>
      <c r="P7" s="439">
        <v>3610</v>
      </c>
      <c r="Q7" s="210" t="s">
        <v>545</v>
      </c>
      <c r="R7" s="210" t="s">
        <v>546</v>
      </c>
      <c r="S7" s="210" t="s">
        <v>56</v>
      </c>
      <c r="T7" s="210"/>
      <c r="U7" s="211">
        <v>10</v>
      </c>
      <c r="V7" s="440">
        <v>295199874</v>
      </c>
      <c r="W7" s="440">
        <v>664924547</v>
      </c>
      <c r="X7" s="435" t="s">
        <v>547</v>
      </c>
      <c r="Y7" s="441">
        <v>106</v>
      </c>
      <c r="Z7" s="442">
        <v>3610</v>
      </c>
      <c r="AA7" s="443">
        <f>Y7/Z7</f>
        <v>2.9362880886426593E-2</v>
      </c>
      <c r="AB7" s="445" t="s">
        <v>548</v>
      </c>
      <c r="AC7" s="212">
        <v>8</v>
      </c>
      <c r="AD7" s="212">
        <v>10</v>
      </c>
      <c r="AE7" s="310">
        <f t="shared" ref="AE7:AE12" si="0">AC7/AD7</f>
        <v>0.8</v>
      </c>
      <c r="AF7" s="212" t="s">
        <v>549</v>
      </c>
      <c r="AG7" s="436">
        <v>711</v>
      </c>
      <c r="AH7" s="445">
        <v>3610</v>
      </c>
      <c r="AI7" s="448">
        <f>AG7/AH7</f>
        <v>0.19695290858725761</v>
      </c>
      <c r="AJ7" s="445" t="s">
        <v>550</v>
      </c>
      <c r="AK7" s="212">
        <v>10</v>
      </c>
      <c r="AL7" s="212">
        <v>10</v>
      </c>
      <c r="AM7" s="213">
        <f t="shared" ref="AM7:AM12" si="1">AK7/AL7</f>
        <v>1</v>
      </c>
      <c r="AN7" s="214" t="s">
        <v>551</v>
      </c>
      <c r="AO7" s="451">
        <v>1173</v>
      </c>
      <c r="AP7" s="452">
        <v>3610</v>
      </c>
      <c r="AQ7" s="443">
        <f>AO7/AP7</f>
        <v>0.32493074792243765</v>
      </c>
      <c r="AR7" s="442" t="s">
        <v>552</v>
      </c>
      <c r="AS7" s="212">
        <v>10</v>
      </c>
      <c r="AT7" s="212">
        <v>10</v>
      </c>
      <c r="AU7" s="213">
        <f t="shared" ref="AU7:AU12" si="2">AS7/AT7</f>
        <v>1</v>
      </c>
      <c r="AV7" s="212" t="s">
        <v>553</v>
      </c>
      <c r="AW7"/>
      <c r="AX7"/>
      <c r="AY7"/>
      <c r="AZ7"/>
      <c r="BA7"/>
      <c r="BB7"/>
      <c r="BC7"/>
      <c r="BD7"/>
      <c r="BE7"/>
      <c r="BF7"/>
      <c r="BG7"/>
      <c r="BH7"/>
      <c r="BI7"/>
      <c r="BJ7"/>
      <c r="BK7"/>
      <c r="BL7"/>
      <c r="BM7"/>
      <c r="BN7"/>
      <c r="BO7"/>
      <c r="BP7"/>
      <c r="BQ7"/>
      <c r="BR7"/>
      <c r="BS7"/>
      <c r="BT7"/>
      <c r="BU7"/>
      <c r="BV7"/>
      <c r="BW7"/>
    </row>
    <row r="8" spans="1:75" s="215" customFormat="1" ht="153" customHeight="1" x14ac:dyDescent="0.25">
      <c r="A8" s="433"/>
      <c r="B8" s="433"/>
      <c r="C8" s="433"/>
      <c r="D8" s="433"/>
      <c r="E8" s="433"/>
      <c r="F8" s="433"/>
      <c r="G8" s="444"/>
      <c r="H8" s="433"/>
      <c r="I8" s="433"/>
      <c r="J8" s="433"/>
      <c r="K8" s="433"/>
      <c r="L8" s="435"/>
      <c r="M8" s="435"/>
      <c r="N8" s="435"/>
      <c r="O8" s="435"/>
      <c r="P8" s="439"/>
      <c r="Q8" s="216" t="s">
        <v>554</v>
      </c>
      <c r="R8" s="216" t="s">
        <v>555</v>
      </c>
      <c r="S8" s="216" t="s">
        <v>56</v>
      </c>
      <c r="T8" s="216"/>
      <c r="U8" s="217">
        <v>1100</v>
      </c>
      <c r="V8" s="440"/>
      <c r="W8" s="440"/>
      <c r="X8" s="435"/>
      <c r="Y8" s="441"/>
      <c r="Z8" s="442"/>
      <c r="AA8" s="443"/>
      <c r="AB8" s="446"/>
      <c r="AC8" s="218">
        <v>57</v>
      </c>
      <c r="AD8" s="216">
        <v>1100</v>
      </c>
      <c r="AE8" s="270">
        <f t="shared" si="0"/>
        <v>5.1818181818181819E-2</v>
      </c>
      <c r="AF8" s="216" t="s">
        <v>556</v>
      </c>
      <c r="AG8" s="437"/>
      <c r="AH8" s="446"/>
      <c r="AI8" s="449"/>
      <c r="AJ8" s="446"/>
      <c r="AK8" s="220">
        <f>AC8+228</f>
        <v>285</v>
      </c>
      <c r="AL8" s="221">
        <v>1100</v>
      </c>
      <c r="AM8" s="219">
        <f t="shared" si="1"/>
        <v>0.25909090909090909</v>
      </c>
      <c r="AN8" s="222" t="s">
        <v>557</v>
      </c>
      <c r="AO8" s="451"/>
      <c r="AP8" s="452"/>
      <c r="AQ8" s="443"/>
      <c r="AR8" s="442"/>
      <c r="AS8" s="220">
        <v>360</v>
      </c>
      <c r="AT8" s="221">
        <v>1100</v>
      </c>
      <c r="AU8" s="219">
        <f t="shared" si="2"/>
        <v>0.32727272727272727</v>
      </c>
      <c r="AV8" s="219" t="s">
        <v>558</v>
      </c>
      <c r="AW8" s="223"/>
      <c r="AX8" s="223"/>
      <c r="AY8"/>
      <c r="AZ8"/>
      <c r="BA8"/>
      <c r="BB8"/>
      <c r="BC8"/>
      <c r="BD8"/>
      <c r="BE8"/>
      <c r="BF8"/>
      <c r="BG8"/>
      <c r="BH8"/>
      <c r="BI8"/>
      <c r="BJ8"/>
      <c r="BK8"/>
      <c r="BL8"/>
      <c r="BM8"/>
      <c r="BN8"/>
      <c r="BO8"/>
      <c r="BP8"/>
      <c r="BQ8"/>
      <c r="BR8"/>
      <c r="BS8"/>
      <c r="BT8"/>
      <c r="BU8"/>
      <c r="BV8"/>
      <c r="BW8"/>
    </row>
    <row r="9" spans="1:75" s="215" customFormat="1" ht="217.5" customHeight="1" x14ac:dyDescent="0.25">
      <c r="A9" s="433"/>
      <c r="B9" s="433"/>
      <c r="C9" s="433"/>
      <c r="D9" s="433"/>
      <c r="E9" s="433"/>
      <c r="F9" s="433"/>
      <c r="G9" s="444"/>
      <c r="H9" s="433"/>
      <c r="I9" s="433"/>
      <c r="J9" s="433"/>
      <c r="K9" s="433"/>
      <c r="L9" s="435"/>
      <c r="M9" s="435"/>
      <c r="N9" s="435"/>
      <c r="O9" s="435"/>
      <c r="P9" s="439"/>
      <c r="Q9" s="210" t="s">
        <v>559</v>
      </c>
      <c r="R9" s="210" t="s">
        <v>560</v>
      </c>
      <c r="S9" s="210" t="s">
        <v>56</v>
      </c>
      <c r="T9" s="210"/>
      <c r="U9" s="211">
        <v>2510</v>
      </c>
      <c r="V9" s="440"/>
      <c r="W9" s="440"/>
      <c r="X9" s="435"/>
      <c r="Y9" s="441"/>
      <c r="Z9" s="442"/>
      <c r="AA9" s="443"/>
      <c r="AB9" s="446"/>
      <c r="AC9" s="210">
        <v>49</v>
      </c>
      <c r="AD9" s="210">
        <v>2510</v>
      </c>
      <c r="AE9" s="311">
        <f t="shared" si="0"/>
        <v>1.9521912350597609E-2</v>
      </c>
      <c r="AF9" s="210" t="s">
        <v>561</v>
      </c>
      <c r="AG9" s="437"/>
      <c r="AH9" s="446"/>
      <c r="AI9" s="449"/>
      <c r="AJ9" s="446"/>
      <c r="AK9" s="212">
        <f>AC9+377</f>
        <v>426</v>
      </c>
      <c r="AL9" s="212">
        <v>2510</v>
      </c>
      <c r="AM9" s="224">
        <f t="shared" si="1"/>
        <v>0.1697211155378486</v>
      </c>
      <c r="AN9" s="225" t="s">
        <v>562</v>
      </c>
      <c r="AO9" s="451"/>
      <c r="AP9" s="452"/>
      <c r="AQ9" s="443"/>
      <c r="AR9" s="442"/>
      <c r="AS9" s="212">
        <v>813</v>
      </c>
      <c r="AT9" s="212">
        <v>2510</v>
      </c>
      <c r="AU9" s="224">
        <f t="shared" si="2"/>
        <v>0.32390438247011955</v>
      </c>
      <c r="AV9" s="216" t="s">
        <v>563</v>
      </c>
      <c r="AW9" s="223"/>
      <c r="AX9"/>
      <c r="AY9"/>
      <c r="AZ9"/>
      <c r="BA9"/>
      <c r="BB9"/>
      <c r="BC9"/>
      <c r="BD9"/>
      <c r="BE9"/>
      <c r="BF9"/>
      <c r="BG9"/>
      <c r="BH9"/>
      <c r="BI9"/>
      <c r="BJ9"/>
      <c r="BK9"/>
      <c r="BL9"/>
      <c r="BM9"/>
      <c r="BN9"/>
      <c r="BO9"/>
      <c r="BP9"/>
      <c r="BQ9"/>
      <c r="BR9"/>
      <c r="BS9"/>
      <c r="BT9"/>
      <c r="BU9"/>
      <c r="BV9"/>
      <c r="BW9"/>
    </row>
    <row r="10" spans="1:75" s="215" customFormat="1" ht="189.75" customHeight="1" x14ac:dyDescent="0.25">
      <c r="A10" s="433"/>
      <c r="B10" s="433"/>
      <c r="C10" s="433"/>
      <c r="D10" s="433"/>
      <c r="E10" s="433"/>
      <c r="F10" s="433"/>
      <c r="G10" s="444"/>
      <c r="H10" s="433"/>
      <c r="I10" s="433"/>
      <c r="J10" s="433"/>
      <c r="K10" s="433"/>
      <c r="L10" s="435"/>
      <c r="M10" s="435"/>
      <c r="N10" s="435"/>
      <c r="O10" s="226"/>
      <c r="P10" s="439"/>
      <c r="Q10" s="216" t="s">
        <v>564</v>
      </c>
      <c r="R10" s="216" t="s">
        <v>565</v>
      </c>
      <c r="S10" s="216" t="s">
        <v>56</v>
      </c>
      <c r="T10" s="216"/>
      <c r="U10" s="227">
        <v>1</v>
      </c>
      <c r="V10" s="440"/>
      <c r="W10" s="440"/>
      <c r="X10" s="435"/>
      <c r="Y10" s="441"/>
      <c r="Z10" s="442"/>
      <c r="AA10" s="443"/>
      <c r="AB10" s="447"/>
      <c r="AC10" s="221">
        <v>0</v>
      </c>
      <c r="AD10" s="221">
        <v>1</v>
      </c>
      <c r="AE10" s="312">
        <f t="shared" si="0"/>
        <v>0</v>
      </c>
      <c r="AF10" s="221" t="s">
        <v>566</v>
      </c>
      <c r="AG10" s="438"/>
      <c r="AH10" s="447"/>
      <c r="AI10" s="450"/>
      <c r="AJ10" s="447"/>
      <c r="AK10" s="221">
        <v>0</v>
      </c>
      <c r="AL10" s="221">
        <v>1</v>
      </c>
      <c r="AM10" s="228">
        <v>0.1</v>
      </c>
      <c r="AN10" s="229" t="s">
        <v>567</v>
      </c>
      <c r="AO10" s="451"/>
      <c r="AP10" s="452"/>
      <c r="AQ10" s="443"/>
      <c r="AR10" s="442"/>
      <c r="AS10" s="221">
        <v>0</v>
      </c>
      <c r="AT10" s="221">
        <v>1</v>
      </c>
      <c r="AU10" s="228">
        <v>0.1</v>
      </c>
      <c r="AV10" s="221" t="s">
        <v>568</v>
      </c>
      <c r="AW10"/>
      <c r="AX10"/>
      <c r="AY10"/>
      <c r="AZ10"/>
      <c r="BA10"/>
      <c r="BB10"/>
      <c r="BC10"/>
      <c r="BD10"/>
      <c r="BE10"/>
      <c r="BF10"/>
      <c r="BG10"/>
      <c r="BH10"/>
      <c r="BI10"/>
      <c r="BJ10"/>
      <c r="BK10"/>
      <c r="BL10"/>
      <c r="BM10"/>
      <c r="BN10"/>
      <c r="BO10"/>
      <c r="BP10"/>
      <c r="BQ10"/>
      <c r="BR10"/>
      <c r="BS10"/>
      <c r="BT10"/>
      <c r="BU10"/>
      <c r="BV10"/>
      <c r="BW10"/>
    </row>
    <row r="11" spans="1:75" s="215" customFormat="1" ht="201.75" customHeight="1" x14ac:dyDescent="0.25">
      <c r="A11" s="433"/>
      <c r="B11" s="433"/>
      <c r="C11" s="433"/>
      <c r="D11" s="433"/>
      <c r="E11" s="433"/>
      <c r="F11" s="433"/>
      <c r="G11" s="444"/>
      <c r="H11" s="433"/>
      <c r="I11" s="433"/>
      <c r="J11" s="433"/>
      <c r="K11" s="433"/>
      <c r="L11" s="216" t="s">
        <v>569</v>
      </c>
      <c r="M11" s="216" t="s">
        <v>570</v>
      </c>
      <c r="N11" s="216" t="s">
        <v>74</v>
      </c>
      <c r="O11" s="216"/>
      <c r="P11" s="230">
        <v>55</v>
      </c>
      <c r="Q11" s="210" t="s">
        <v>571</v>
      </c>
      <c r="R11" s="210" t="s">
        <v>572</v>
      </c>
      <c r="S11" s="210" t="s">
        <v>56</v>
      </c>
      <c r="T11" s="210"/>
      <c r="U11" s="211">
        <v>400</v>
      </c>
      <c r="V11" s="231">
        <v>185740681</v>
      </c>
      <c r="W11" s="440"/>
      <c r="X11" s="435"/>
      <c r="Y11" s="232">
        <v>0.495</v>
      </c>
      <c r="Z11" s="232">
        <v>0.55000000000000004</v>
      </c>
      <c r="AA11" s="228">
        <f>Y11/Z11</f>
        <v>0.89999999999999991</v>
      </c>
      <c r="AB11" s="233" t="s">
        <v>573</v>
      </c>
      <c r="AC11" s="210">
        <v>16</v>
      </c>
      <c r="AD11" s="212">
        <v>400</v>
      </c>
      <c r="AE11" s="234">
        <f t="shared" si="0"/>
        <v>0.04</v>
      </c>
      <c r="AF11" s="235" t="s">
        <v>574</v>
      </c>
      <c r="AG11" s="228">
        <f>61%</f>
        <v>0.61</v>
      </c>
      <c r="AH11" s="228">
        <v>0.55000000000000004</v>
      </c>
      <c r="AI11" s="228">
        <f>AG11/AH11</f>
        <v>1.1090909090909089</v>
      </c>
      <c r="AJ11" s="233" t="s">
        <v>575</v>
      </c>
      <c r="AK11" s="212">
        <f>AC11+66</f>
        <v>82</v>
      </c>
      <c r="AL11" s="212">
        <v>400</v>
      </c>
      <c r="AM11" s="234">
        <f t="shared" si="1"/>
        <v>0.20499999999999999</v>
      </c>
      <c r="AN11" s="236" t="s">
        <v>575</v>
      </c>
      <c r="AO11" s="228">
        <v>0.71</v>
      </c>
      <c r="AP11" s="228">
        <v>0.55000000000000004</v>
      </c>
      <c r="AQ11" s="228">
        <f>AO11/AP11</f>
        <v>1.2909090909090908</v>
      </c>
      <c r="AR11" s="210" t="s">
        <v>576</v>
      </c>
      <c r="AS11" s="212">
        <v>110</v>
      </c>
      <c r="AT11" s="212">
        <v>400</v>
      </c>
      <c r="AU11" s="237">
        <f t="shared" si="2"/>
        <v>0.27500000000000002</v>
      </c>
      <c r="AV11" s="233" t="s">
        <v>577</v>
      </c>
      <c r="AW11" s="223"/>
      <c r="AX11"/>
      <c r="AY11"/>
      <c r="AZ11"/>
      <c r="BA11"/>
      <c r="BB11"/>
      <c r="BC11"/>
      <c r="BD11"/>
      <c r="BE11"/>
      <c r="BF11"/>
      <c r="BG11"/>
      <c r="BH11"/>
      <c r="BI11"/>
      <c r="BJ11"/>
      <c r="BK11"/>
      <c r="BL11"/>
      <c r="BM11"/>
      <c r="BN11"/>
      <c r="BO11"/>
      <c r="BP11"/>
      <c r="BQ11"/>
      <c r="BR11"/>
      <c r="BS11"/>
      <c r="BT11"/>
      <c r="BU11"/>
      <c r="BV11"/>
      <c r="BW11"/>
    </row>
    <row r="12" spans="1:75" s="215" customFormat="1" ht="161.25" customHeight="1" x14ac:dyDescent="0.25">
      <c r="A12" s="433"/>
      <c r="B12" s="433"/>
      <c r="C12" s="433"/>
      <c r="D12" s="433"/>
      <c r="E12" s="433"/>
      <c r="F12" s="433"/>
      <c r="G12" s="444"/>
      <c r="H12" s="433"/>
      <c r="I12" s="433"/>
      <c r="J12" s="433"/>
      <c r="K12" s="433"/>
      <c r="L12" s="210" t="s">
        <v>578</v>
      </c>
      <c r="M12" s="210" t="s">
        <v>579</v>
      </c>
      <c r="N12" s="210" t="s">
        <v>74</v>
      </c>
      <c r="O12" s="210"/>
      <c r="P12" s="238">
        <v>100</v>
      </c>
      <c r="Q12" s="216" t="s">
        <v>580</v>
      </c>
      <c r="R12" s="216" t="s">
        <v>581</v>
      </c>
      <c r="S12" s="216" t="s">
        <v>56</v>
      </c>
      <c r="T12" s="216"/>
      <c r="U12" s="227">
        <v>10</v>
      </c>
      <c r="V12" s="239">
        <v>120124000</v>
      </c>
      <c r="W12" s="440"/>
      <c r="X12" s="435"/>
      <c r="Y12" s="221">
        <v>4</v>
      </c>
      <c r="Z12" s="221">
        <v>10</v>
      </c>
      <c r="AA12" s="228">
        <f>Y12/Z12</f>
        <v>0.4</v>
      </c>
      <c r="AB12" s="221" t="s">
        <v>582</v>
      </c>
      <c r="AC12" s="240">
        <v>1</v>
      </c>
      <c r="AD12" s="221">
        <v>10</v>
      </c>
      <c r="AE12" s="312">
        <f t="shared" si="0"/>
        <v>0.1</v>
      </c>
      <c r="AF12" s="221" t="s">
        <v>583</v>
      </c>
      <c r="AG12" s="221">
        <v>6</v>
      </c>
      <c r="AH12" s="221">
        <v>10</v>
      </c>
      <c r="AI12" s="228">
        <f>AG12/AH12</f>
        <v>0.6</v>
      </c>
      <c r="AJ12" s="221" t="s">
        <v>584</v>
      </c>
      <c r="AK12" s="240">
        <v>4</v>
      </c>
      <c r="AL12" s="221">
        <v>10</v>
      </c>
      <c r="AM12" s="228">
        <f t="shared" si="1"/>
        <v>0.4</v>
      </c>
      <c r="AN12" s="229" t="s">
        <v>585</v>
      </c>
      <c r="AO12" s="221">
        <v>14</v>
      </c>
      <c r="AP12" s="221">
        <v>10</v>
      </c>
      <c r="AQ12" s="241">
        <f>AO12/AP12</f>
        <v>1.4</v>
      </c>
      <c r="AR12" s="221" t="s">
        <v>586</v>
      </c>
      <c r="AS12" s="240">
        <v>6</v>
      </c>
      <c r="AT12" s="221">
        <v>10</v>
      </c>
      <c r="AU12" s="228">
        <f t="shared" si="2"/>
        <v>0.6</v>
      </c>
      <c r="AV12" s="221" t="s">
        <v>587</v>
      </c>
      <c r="AW12" s="223"/>
      <c r="AX12"/>
      <c r="AY12"/>
      <c r="AZ12"/>
      <c r="BA12"/>
      <c r="BB12"/>
      <c r="BC12"/>
      <c r="BD12"/>
      <c r="BE12"/>
      <c r="BF12"/>
      <c r="BG12"/>
      <c r="BH12"/>
      <c r="BI12"/>
      <c r="BJ12"/>
      <c r="BK12"/>
      <c r="BL12"/>
      <c r="BM12"/>
      <c r="BN12"/>
      <c r="BO12"/>
      <c r="BP12"/>
      <c r="BQ12"/>
      <c r="BR12"/>
      <c r="BS12"/>
      <c r="BT12"/>
      <c r="BU12"/>
      <c r="BV12"/>
      <c r="BW12"/>
    </row>
    <row r="14" spans="1:75" x14ac:dyDescent="0.25">
      <c r="V14" s="242"/>
      <c r="AE14" s="223"/>
    </row>
    <row r="15" spans="1:75" ht="48.75" customHeight="1" x14ac:dyDescent="0.25">
      <c r="Y15" s="388" t="s">
        <v>99</v>
      </c>
      <c r="Z15" s="388"/>
      <c r="AA15" s="58">
        <f>AVERAGE(AA7:AA12)</f>
        <v>0.44312096029547554</v>
      </c>
      <c r="AB15" s="59"/>
      <c r="AC15" s="388" t="s">
        <v>100</v>
      </c>
      <c r="AD15" s="388"/>
      <c r="AE15" s="58">
        <f>AVERAGE(AE7:AE12)</f>
        <v>0.16855668236146326</v>
      </c>
      <c r="AG15" s="388" t="s">
        <v>99</v>
      </c>
      <c r="AH15" s="388"/>
      <c r="AI15" s="58">
        <f>AVERAGE(AI7:AI12)</f>
        <v>0.63534793922605548</v>
      </c>
      <c r="AJ15" s="59"/>
      <c r="AK15" s="388" t="s">
        <v>100</v>
      </c>
      <c r="AL15" s="388"/>
      <c r="AM15" s="58">
        <f>AVERAGE(AM7:AM12)</f>
        <v>0.35563533743812631</v>
      </c>
      <c r="AO15" s="388" t="s">
        <v>99</v>
      </c>
      <c r="AP15" s="388"/>
      <c r="AQ15" s="58">
        <f>AVERAGE(AQ7:AQ12)</f>
        <v>1.0052799462771762</v>
      </c>
      <c r="AR15" s="59"/>
      <c r="AS15" s="388" t="s">
        <v>100</v>
      </c>
      <c r="AT15" s="388"/>
      <c r="AU15" s="58">
        <f>AVERAGE(AU7:AU12)</f>
        <v>0.43769618495714119</v>
      </c>
    </row>
    <row r="18" spans="28:28" x14ac:dyDescent="0.25">
      <c r="AB18" s="243"/>
    </row>
    <row r="19" spans="28:28" x14ac:dyDescent="0.25">
      <c r="AB19" s="244"/>
    </row>
  </sheetData>
  <sheetProtection algorithmName="SHA-512" hashValue="f3jUDf4VlNvn4D6YXXzkqHfMdXIr+hQ7ahcv/YMqoK0J2SZsMkeaK1ZptciN9kpNx2EliqMy8Iqv6cpmI6QYJg==" saltValue="h3zMYIwhVeAUmdtsi6A9sQ==" spinCount="100000" sheet="1" objects="1" scenarios="1" selectLockedCells="1" selectUnlockedCells="1"/>
  <mergeCells count="57">
    <mergeCell ref="AS15:AT15"/>
    <mergeCell ref="Y15:Z15"/>
    <mergeCell ref="AC15:AD15"/>
    <mergeCell ref="AG15:AH15"/>
    <mergeCell ref="AK15:AL15"/>
    <mergeCell ref="AO15:AP15"/>
    <mergeCell ref="AB7:AB10"/>
    <mergeCell ref="AR7:AR10"/>
    <mergeCell ref="AH7:AH10"/>
    <mergeCell ref="AI7:AI10"/>
    <mergeCell ref="AJ7:AJ10"/>
    <mergeCell ref="AO7:AO10"/>
    <mergeCell ref="AP7:AP10"/>
    <mergeCell ref="AQ7:AQ10"/>
    <mergeCell ref="G7:G12"/>
    <mergeCell ref="H7:H12"/>
    <mergeCell ref="I7:I12"/>
    <mergeCell ref="J7:J12"/>
    <mergeCell ref="K7:K12"/>
    <mergeCell ref="L7:L10"/>
    <mergeCell ref="AG5:AJ5"/>
    <mergeCell ref="AK5:AN5"/>
    <mergeCell ref="AO5:AR5"/>
    <mergeCell ref="AS5:AV5"/>
    <mergeCell ref="AG7:AG10"/>
    <mergeCell ref="M7:M10"/>
    <mergeCell ref="N7:N10"/>
    <mergeCell ref="O7:O9"/>
    <mergeCell ref="P7:P10"/>
    <mergeCell ref="V7:V10"/>
    <mergeCell ref="W7:W12"/>
    <mergeCell ref="X7:X12"/>
    <mergeCell ref="Y7:Y10"/>
    <mergeCell ref="Z7:Z10"/>
    <mergeCell ref="AA7:AA10"/>
    <mergeCell ref="F7:F12"/>
    <mergeCell ref="Y4:AF4"/>
    <mergeCell ref="AG4:AN4"/>
    <mergeCell ref="AO4:AV4"/>
    <mergeCell ref="A5:C5"/>
    <mergeCell ref="E5:F5"/>
    <mergeCell ref="G5:I5"/>
    <mergeCell ref="J5:J6"/>
    <mergeCell ref="K5:K6"/>
    <mergeCell ref="Y5:AB5"/>
    <mergeCell ref="AC5:AF5"/>
    <mergeCell ref="A7:A12"/>
    <mergeCell ref="B7:B12"/>
    <mergeCell ref="C7:C12"/>
    <mergeCell ref="D7:D12"/>
    <mergeCell ref="E7:E12"/>
    <mergeCell ref="C1:X3"/>
    <mergeCell ref="A4:K4"/>
    <mergeCell ref="L4:P5"/>
    <mergeCell ref="Q4:U5"/>
    <mergeCell ref="V4:W5"/>
    <mergeCell ref="X4:X5"/>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91E7-CB88-42AE-B0E8-81FD51FFE86D}">
  <sheetPr>
    <tabColor rgb="FFFF0000"/>
  </sheetPr>
  <dimension ref="A1:BP58"/>
  <sheetViews>
    <sheetView topLeftCell="AQ17" zoomScaleNormal="100" workbookViewId="0">
      <selection activeCell="AS17" sqref="AS17:AV18"/>
    </sheetView>
  </sheetViews>
  <sheetFormatPr baseColWidth="10" defaultColWidth="11.42578125" defaultRowHeight="22.5" customHeight="1" x14ac:dyDescent="0.25"/>
  <cols>
    <col min="1" max="1" width="22.42578125" style="94" customWidth="1"/>
    <col min="2" max="2" width="26.7109375" style="94" customWidth="1"/>
    <col min="3" max="3" width="23.85546875" style="94" customWidth="1"/>
    <col min="4" max="4" width="33.42578125" style="94" customWidth="1"/>
    <col min="5" max="5" width="43.42578125" style="94" bestFit="1" customWidth="1"/>
    <col min="6" max="6" width="17.140625" style="94" customWidth="1"/>
    <col min="7" max="7" width="26.7109375" style="94" customWidth="1"/>
    <col min="8" max="8" width="16.7109375" style="94" customWidth="1"/>
    <col min="9" max="9" width="17.28515625" style="94" customWidth="1"/>
    <col min="10" max="10" width="16.85546875" style="94" customWidth="1"/>
    <col min="11" max="11" width="15.85546875" style="94" customWidth="1"/>
    <col min="12" max="12" width="56.42578125" style="94" customWidth="1"/>
    <col min="13" max="13" width="28.7109375" style="94" customWidth="1"/>
    <col min="14" max="14" width="16.28515625" style="94" customWidth="1"/>
    <col min="15" max="15" width="9.42578125" style="94" customWidth="1"/>
    <col min="16" max="16" width="16.28515625" style="94" customWidth="1"/>
    <col min="17" max="17" width="87.140625" style="94" bestFit="1" customWidth="1"/>
    <col min="18" max="18" width="38.5703125" style="94" customWidth="1"/>
    <col min="19" max="19" width="17.140625" style="94" bestFit="1" customWidth="1"/>
    <col min="20" max="20" width="10.28515625" style="94" bestFit="1" customWidth="1"/>
    <col min="21" max="21" width="14.5703125" style="94" bestFit="1" customWidth="1"/>
    <col min="22" max="22" width="14.7109375" style="94" bestFit="1" customWidth="1"/>
    <col min="23" max="23" width="14.85546875" style="94" bestFit="1" customWidth="1"/>
    <col min="24" max="24" width="20.7109375" style="94" customWidth="1"/>
    <col min="25" max="25" width="24.28515625" style="94" customWidth="1"/>
    <col min="26" max="26" width="16" style="94" customWidth="1"/>
    <col min="27" max="27" width="21.85546875" style="94" customWidth="1"/>
    <col min="28" max="28" width="20.7109375" style="94" customWidth="1"/>
    <col min="29" max="29" width="14.85546875" style="94" customWidth="1"/>
    <col min="30" max="30" width="12.42578125" style="94" customWidth="1"/>
    <col min="31" max="31" width="21.85546875" style="94" customWidth="1"/>
    <col min="32" max="32" width="43" style="94" customWidth="1"/>
    <col min="33" max="34" width="11.42578125" style="94" customWidth="1"/>
    <col min="35" max="35" width="20.42578125" style="94" customWidth="1"/>
    <col min="36" max="36" width="27" style="94" customWidth="1"/>
    <col min="37" max="38" width="11.42578125" style="94" customWidth="1"/>
    <col min="39" max="39" width="21.140625" style="94" customWidth="1"/>
    <col min="40" max="40" width="54.7109375" style="94" customWidth="1"/>
    <col min="41" max="42" width="11.42578125" style="94"/>
    <col min="43" max="43" width="20.42578125" style="94" customWidth="1"/>
    <col min="44" max="44" width="27" style="94" customWidth="1"/>
    <col min="45" max="46" width="11.42578125" style="94"/>
    <col min="47" max="47" width="21.140625" style="94" customWidth="1"/>
    <col min="48" max="48" width="54.7109375" style="94" customWidth="1"/>
    <col min="49" max="68" width="11.42578125" style="319"/>
    <col min="69" max="16384" width="11.42578125" style="94"/>
  </cols>
  <sheetData>
    <row r="1" spans="1:68"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c r="AW1" s="317"/>
      <c r="AX1" s="317"/>
      <c r="AY1" s="317"/>
      <c r="AZ1" s="317"/>
      <c r="BA1" s="317"/>
      <c r="BB1" s="317"/>
      <c r="BC1" s="317"/>
      <c r="BD1" s="317"/>
      <c r="BE1" s="317"/>
      <c r="BF1" s="317"/>
      <c r="BG1" s="317"/>
      <c r="BH1" s="317"/>
      <c r="BI1" s="317"/>
      <c r="BJ1" s="317"/>
      <c r="BK1" s="317"/>
      <c r="BL1" s="317"/>
      <c r="BM1" s="317"/>
      <c r="BN1" s="317"/>
      <c r="BO1" s="317"/>
      <c r="BP1" s="317"/>
    </row>
    <row r="2" spans="1:68"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c r="AW2" s="317"/>
      <c r="AX2" s="317"/>
      <c r="AY2" s="317"/>
      <c r="AZ2" s="317"/>
      <c r="BA2" s="317"/>
      <c r="BB2" s="317"/>
      <c r="BC2" s="317"/>
      <c r="BD2" s="317"/>
      <c r="BE2" s="317"/>
      <c r="BF2" s="317"/>
      <c r="BG2" s="317"/>
      <c r="BH2" s="317"/>
      <c r="BI2" s="317"/>
      <c r="BJ2" s="317"/>
      <c r="BK2" s="317"/>
      <c r="BL2" s="317"/>
      <c r="BM2" s="317"/>
      <c r="BN2" s="317"/>
      <c r="BO2" s="317"/>
      <c r="BP2" s="317"/>
    </row>
    <row r="3" spans="1:68"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c r="AW3" s="317"/>
      <c r="AX3" s="317"/>
      <c r="AY3" s="317"/>
      <c r="AZ3" s="317"/>
      <c r="BA3" s="317"/>
      <c r="BB3" s="317"/>
      <c r="BC3" s="317"/>
      <c r="BD3" s="317"/>
      <c r="BE3" s="317"/>
      <c r="BF3" s="317"/>
      <c r="BG3" s="317"/>
      <c r="BH3" s="317"/>
      <c r="BI3" s="317"/>
      <c r="BJ3" s="317"/>
      <c r="BK3" s="317"/>
      <c r="BL3" s="317"/>
      <c r="BM3" s="317"/>
      <c r="BN3" s="317"/>
      <c r="BO3" s="317"/>
      <c r="BP3" s="317"/>
    </row>
    <row r="4" spans="1:68" s="7" customFormat="1" ht="15" x14ac:dyDescent="0.25">
      <c r="A4" s="453" t="s">
        <v>5</v>
      </c>
      <c r="B4" s="454"/>
      <c r="C4" s="454"/>
      <c r="D4" s="454"/>
      <c r="E4" s="454"/>
      <c r="F4" s="454"/>
      <c r="G4" s="454"/>
      <c r="H4" s="454"/>
      <c r="I4" s="454"/>
      <c r="J4" s="454"/>
      <c r="K4" s="455"/>
      <c r="L4" s="456" t="s">
        <v>6</v>
      </c>
      <c r="M4" s="457"/>
      <c r="N4" s="457"/>
      <c r="O4" s="457"/>
      <c r="P4" s="458"/>
      <c r="Q4" s="456" t="s">
        <v>7</v>
      </c>
      <c r="R4" s="457"/>
      <c r="S4" s="457"/>
      <c r="T4" s="457"/>
      <c r="U4" s="458"/>
      <c r="V4" s="462" t="s">
        <v>8</v>
      </c>
      <c r="W4" s="463"/>
      <c r="X4" s="466" t="s">
        <v>9</v>
      </c>
      <c r="Y4" s="459" t="s">
        <v>10</v>
      </c>
      <c r="Z4" s="460"/>
      <c r="AA4" s="460"/>
      <c r="AB4" s="460"/>
      <c r="AC4" s="460"/>
      <c r="AD4" s="460"/>
      <c r="AE4" s="460"/>
      <c r="AF4" s="461"/>
      <c r="AG4" s="459" t="s">
        <v>11</v>
      </c>
      <c r="AH4" s="460"/>
      <c r="AI4" s="460"/>
      <c r="AJ4" s="460"/>
      <c r="AK4" s="460"/>
      <c r="AL4" s="460"/>
      <c r="AM4" s="460"/>
      <c r="AN4" s="461"/>
      <c r="AO4" s="459" t="s">
        <v>12</v>
      </c>
      <c r="AP4" s="460"/>
      <c r="AQ4" s="460"/>
      <c r="AR4" s="460"/>
      <c r="AS4" s="460"/>
      <c r="AT4" s="460"/>
      <c r="AU4" s="460"/>
      <c r="AV4" s="461"/>
      <c r="AW4" s="318"/>
      <c r="AX4" s="318"/>
      <c r="AY4" s="318"/>
      <c r="AZ4" s="318"/>
      <c r="BA4" s="318"/>
      <c r="BB4" s="318"/>
      <c r="BC4" s="318"/>
      <c r="BD4" s="318"/>
      <c r="BE4" s="318"/>
      <c r="BF4" s="318"/>
      <c r="BG4" s="318"/>
      <c r="BH4" s="318"/>
      <c r="BI4" s="318"/>
      <c r="BJ4" s="318"/>
      <c r="BK4" s="318"/>
      <c r="BL4" s="318"/>
      <c r="BM4" s="318"/>
      <c r="BN4" s="318"/>
      <c r="BO4" s="318"/>
      <c r="BP4" s="318"/>
    </row>
    <row r="5" spans="1:68" s="9" customFormat="1" ht="15" x14ac:dyDescent="0.25">
      <c r="A5" s="468" t="s">
        <v>13</v>
      </c>
      <c r="B5" s="469"/>
      <c r="C5" s="470"/>
      <c r="D5" s="8" t="s">
        <v>14</v>
      </c>
      <c r="E5" s="468" t="s">
        <v>15</v>
      </c>
      <c r="F5" s="470"/>
      <c r="G5" s="468" t="s">
        <v>16</v>
      </c>
      <c r="H5" s="469"/>
      <c r="I5" s="470"/>
      <c r="J5" s="471" t="s">
        <v>17</v>
      </c>
      <c r="K5" s="471" t="s">
        <v>18</v>
      </c>
      <c r="L5" s="459"/>
      <c r="M5" s="460"/>
      <c r="N5" s="460"/>
      <c r="O5" s="460"/>
      <c r="P5" s="461"/>
      <c r="Q5" s="459"/>
      <c r="R5" s="460"/>
      <c r="S5" s="460"/>
      <c r="T5" s="460"/>
      <c r="U5" s="461"/>
      <c r="V5" s="464"/>
      <c r="W5" s="465"/>
      <c r="X5" s="467"/>
      <c r="Y5" s="468" t="s">
        <v>19</v>
      </c>
      <c r="Z5" s="469"/>
      <c r="AA5" s="469"/>
      <c r="AB5" s="473"/>
      <c r="AC5" s="474" t="s">
        <v>20</v>
      </c>
      <c r="AD5" s="469"/>
      <c r="AE5" s="469"/>
      <c r="AF5" s="470"/>
      <c r="AG5" s="468" t="s">
        <v>19</v>
      </c>
      <c r="AH5" s="469"/>
      <c r="AI5" s="469"/>
      <c r="AJ5" s="473"/>
      <c r="AK5" s="474" t="s">
        <v>20</v>
      </c>
      <c r="AL5" s="469"/>
      <c r="AM5" s="469"/>
      <c r="AN5" s="470"/>
      <c r="AO5" s="468" t="s">
        <v>19</v>
      </c>
      <c r="AP5" s="469"/>
      <c r="AQ5" s="469"/>
      <c r="AR5" s="473"/>
      <c r="AS5" s="474" t="s">
        <v>20</v>
      </c>
      <c r="AT5" s="469"/>
      <c r="AU5" s="469"/>
      <c r="AV5" s="470"/>
      <c r="AW5" s="318"/>
      <c r="AX5" s="318"/>
      <c r="AY5" s="318"/>
      <c r="AZ5" s="318"/>
      <c r="BA5" s="318"/>
      <c r="BB5" s="318"/>
      <c r="BC5" s="318"/>
      <c r="BD5" s="318"/>
      <c r="BE5" s="318"/>
      <c r="BF5" s="318"/>
      <c r="BG5" s="318"/>
      <c r="BH5" s="318"/>
      <c r="BI5" s="318"/>
      <c r="BJ5" s="318"/>
      <c r="BK5" s="318"/>
      <c r="BL5" s="318"/>
      <c r="BM5" s="318"/>
      <c r="BN5" s="318"/>
      <c r="BO5" s="318"/>
      <c r="BP5" s="318"/>
    </row>
    <row r="6" spans="1:68" s="7" customFormat="1" ht="15" x14ac:dyDescent="0.25">
      <c r="A6" s="10" t="s">
        <v>21</v>
      </c>
      <c r="B6" s="10" t="s">
        <v>22</v>
      </c>
      <c r="C6" s="10" t="s">
        <v>23</v>
      </c>
      <c r="D6" s="10" t="s">
        <v>24</v>
      </c>
      <c r="E6" s="10" t="s">
        <v>25</v>
      </c>
      <c r="F6" s="10" t="s">
        <v>26</v>
      </c>
      <c r="G6" s="10" t="s">
        <v>27</v>
      </c>
      <c r="H6" s="10" t="s">
        <v>28</v>
      </c>
      <c r="I6" s="10" t="s">
        <v>29</v>
      </c>
      <c r="J6" s="472"/>
      <c r="K6" s="472"/>
      <c r="L6" s="10" t="s">
        <v>6</v>
      </c>
      <c r="M6" s="10" t="s">
        <v>30</v>
      </c>
      <c r="N6" s="10" t="s">
        <v>31</v>
      </c>
      <c r="O6" s="10" t="s">
        <v>32</v>
      </c>
      <c r="P6" s="10" t="s">
        <v>33</v>
      </c>
      <c r="Q6" s="10" t="s">
        <v>7</v>
      </c>
      <c r="R6" s="10" t="s">
        <v>34</v>
      </c>
      <c r="S6" s="10" t="s">
        <v>31</v>
      </c>
      <c r="T6" s="10" t="s">
        <v>32</v>
      </c>
      <c r="U6" s="10" t="s">
        <v>35</v>
      </c>
      <c r="V6" s="149" t="s">
        <v>36</v>
      </c>
      <c r="W6" s="149" t="s">
        <v>37</v>
      </c>
      <c r="X6" s="10" t="s">
        <v>38</v>
      </c>
      <c r="Y6" s="10" t="s">
        <v>39</v>
      </c>
      <c r="Z6" s="10" t="s">
        <v>40</v>
      </c>
      <c r="AA6" s="10" t="s">
        <v>41</v>
      </c>
      <c r="AB6" s="10" t="s">
        <v>42</v>
      </c>
      <c r="AC6" s="10" t="s">
        <v>39</v>
      </c>
      <c r="AD6" s="10" t="s">
        <v>40</v>
      </c>
      <c r="AE6" s="10" t="s">
        <v>41</v>
      </c>
      <c r="AF6" s="10" t="s">
        <v>42</v>
      </c>
      <c r="AG6" s="10" t="s">
        <v>39</v>
      </c>
      <c r="AH6" s="10" t="s">
        <v>40</v>
      </c>
      <c r="AI6" s="10" t="s">
        <v>41</v>
      </c>
      <c r="AJ6" s="10" t="s">
        <v>42</v>
      </c>
      <c r="AK6" s="10" t="s">
        <v>39</v>
      </c>
      <c r="AL6" s="10" t="s">
        <v>40</v>
      </c>
      <c r="AM6" s="10" t="s">
        <v>41</v>
      </c>
      <c r="AN6" s="10" t="s">
        <v>42</v>
      </c>
      <c r="AO6" s="10" t="s">
        <v>39</v>
      </c>
      <c r="AP6" s="10" t="s">
        <v>40</v>
      </c>
      <c r="AQ6" s="10" t="s">
        <v>41</v>
      </c>
      <c r="AR6" s="10" t="s">
        <v>42</v>
      </c>
      <c r="AS6" s="10" t="s">
        <v>39</v>
      </c>
      <c r="AT6" s="10" t="s">
        <v>40</v>
      </c>
      <c r="AU6" s="10" t="s">
        <v>41</v>
      </c>
      <c r="AV6" s="246" t="s">
        <v>42</v>
      </c>
      <c r="AW6" s="318"/>
      <c r="AX6" s="318"/>
      <c r="AY6" s="318"/>
      <c r="AZ6" s="318"/>
      <c r="BA6" s="318"/>
      <c r="BB6" s="318"/>
      <c r="BC6" s="318"/>
      <c r="BD6" s="318"/>
      <c r="BE6" s="318"/>
      <c r="BF6" s="318"/>
      <c r="BG6" s="318"/>
      <c r="BH6" s="318"/>
      <c r="BI6" s="318"/>
      <c r="BJ6" s="318"/>
      <c r="BK6" s="318"/>
      <c r="BL6" s="318"/>
      <c r="BM6" s="318"/>
      <c r="BN6" s="318"/>
      <c r="BO6" s="318"/>
      <c r="BP6" s="318"/>
    </row>
    <row r="7" spans="1:68" s="22" customFormat="1" ht="106.5" customHeight="1" x14ac:dyDescent="0.25">
      <c r="A7" s="393" t="s">
        <v>43</v>
      </c>
      <c r="B7" s="393" t="s">
        <v>44</v>
      </c>
      <c r="C7" s="393" t="s">
        <v>45</v>
      </c>
      <c r="D7" s="393" t="s">
        <v>46</v>
      </c>
      <c r="E7" s="393" t="s">
        <v>375</v>
      </c>
      <c r="F7" s="393" t="s">
        <v>376</v>
      </c>
      <c r="G7" s="396" t="s">
        <v>377</v>
      </c>
      <c r="H7" s="393" t="s">
        <v>378</v>
      </c>
      <c r="I7" s="396" t="s">
        <v>379</v>
      </c>
      <c r="J7" s="393" t="s">
        <v>380</v>
      </c>
      <c r="K7" s="396" t="s">
        <v>380</v>
      </c>
      <c r="L7" s="393" t="s">
        <v>381</v>
      </c>
      <c r="M7" s="393" t="s">
        <v>382</v>
      </c>
      <c r="N7" s="393" t="s">
        <v>56</v>
      </c>
      <c r="O7" s="393">
        <v>0</v>
      </c>
      <c r="P7" s="393">
        <v>11</v>
      </c>
      <c r="Q7" s="273" t="s">
        <v>383</v>
      </c>
      <c r="R7" s="150" t="s">
        <v>384</v>
      </c>
      <c r="S7" s="273" t="s">
        <v>74</v>
      </c>
      <c r="T7" s="273">
        <v>0</v>
      </c>
      <c r="U7" s="273">
        <v>7</v>
      </c>
      <c r="V7" s="475">
        <v>1441069350</v>
      </c>
      <c r="W7" s="475">
        <v>1441069350</v>
      </c>
      <c r="X7" s="396" t="s">
        <v>385</v>
      </c>
      <c r="Y7" s="478">
        <v>0.02</v>
      </c>
      <c r="Z7" s="393">
        <v>11</v>
      </c>
      <c r="AA7" s="478">
        <v>0.02</v>
      </c>
      <c r="AB7" s="478"/>
      <c r="AC7" s="274">
        <v>0</v>
      </c>
      <c r="AD7" s="274">
        <v>7</v>
      </c>
      <c r="AE7" s="274">
        <v>0</v>
      </c>
      <c r="AF7" s="274" t="s">
        <v>386</v>
      </c>
      <c r="AG7" s="478">
        <v>0</v>
      </c>
      <c r="AH7" s="492">
        <v>11</v>
      </c>
      <c r="AI7" s="478">
        <f>2%+AG7</f>
        <v>0.02</v>
      </c>
      <c r="AJ7" s="490" t="s">
        <v>387</v>
      </c>
      <c r="AK7" s="274">
        <v>0</v>
      </c>
      <c r="AL7" s="274">
        <v>7</v>
      </c>
      <c r="AM7" s="274">
        <v>0</v>
      </c>
      <c r="AN7" s="274" t="s">
        <v>388</v>
      </c>
      <c r="AO7" s="478">
        <v>7.0000000000000007E-2</v>
      </c>
      <c r="AP7" s="492">
        <v>11</v>
      </c>
      <c r="AQ7" s="478">
        <f>2%+AO7</f>
        <v>9.0000000000000011E-2</v>
      </c>
      <c r="AR7" s="490" t="s">
        <v>389</v>
      </c>
      <c r="AS7" s="274">
        <v>0</v>
      </c>
      <c r="AT7" s="274">
        <v>7</v>
      </c>
      <c r="AU7" s="274">
        <v>0</v>
      </c>
      <c r="AV7" s="274" t="s">
        <v>390</v>
      </c>
      <c r="AW7" s="319"/>
      <c r="AX7" s="319"/>
      <c r="AY7" s="319"/>
      <c r="AZ7" s="319"/>
      <c r="BA7" s="319"/>
      <c r="BB7" s="319"/>
      <c r="BC7" s="319"/>
      <c r="BD7" s="319"/>
      <c r="BE7" s="319"/>
      <c r="BF7" s="319"/>
      <c r="BG7" s="319"/>
      <c r="BH7" s="319"/>
      <c r="BI7" s="319"/>
      <c r="BJ7" s="319"/>
      <c r="BK7" s="319"/>
      <c r="BL7" s="319"/>
      <c r="BM7" s="319"/>
      <c r="BN7" s="319"/>
      <c r="BO7" s="319"/>
      <c r="BP7" s="319"/>
    </row>
    <row r="8" spans="1:68" s="33" customFormat="1" ht="100.5" customHeight="1" x14ac:dyDescent="0.25">
      <c r="A8" s="394"/>
      <c r="B8" s="394"/>
      <c r="C8" s="394"/>
      <c r="D8" s="394"/>
      <c r="E8" s="394"/>
      <c r="F8" s="394"/>
      <c r="G8" s="397"/>
      <c r="H8" s="394"/>
      <c r="I8" s="397"/>
      <c r="J8" s="394"/>
      <c r="K8" s="397"/>
      <c r="L8" s="394"/>
      <c r="M8" s="394"/>
      <c r="N8" s="394"/>
      <c r="O8" s="394"/>
      <c r="P8" s="394"/>
      <c r="Q8" s="272" t="s">
        <v>391</v>
      </c>
      <c r="R8" s="156" t="s">
        <v>384</v>
      </c>
      <c r="S8" s="272" t="s">
        <v>74</v>
      </c>
      <c r="T8" s="272">
        <v>0</v>
      </c>
      <c r="U8" s="276">
        <v>1</v>
      </c>
      <c r="V8" s="476"/>
      <c r="W8" s="476"/>
      <c r="X8" s="397"/>
      <c r="Y8" s="479"/>
      <c r="Z8" s="394"/>
      <c r="AA8" s="479"/>
      <c r="AB8" s="479"/>
      <c r="AC8" s="276">
        <v>0</v>
      </c>
      <c r="AD8" s="276">
        <v>1</v>
      </c>
      <c r="AE8" s="276">
        <v>0</v>
      </c>
      <c r="AF8" s="275" t="s">
        <v>386</v>
      </c>
      <c r="AG8" s="479"/>
      <c r="AH8" s="493"/>
      <c r="AI8" s="479"/>
      <c r="AJ8" s="491"/>
      <c r="AK8" s="276">
        <v>0</v>
      </c>
      <c r="AL8" s="276">
        <v>1</v>
      </c>
      <c r="AM8" s="276">
        <v>0</v>
      </c>
      <c r="AN8" s="275" t="s">
        <v>392</v>
      </c>
      <c r="AO8" s="479"/>
      <c r="AP8" s="493"/>
      <c r="AQ8" s="479"/>
      <c r="AR8" s="491"/>
      <c r="AS8" s="276">
        <v>0.25</v>
      </c>
      <c r="AT8" s="276">
        <v>1</v>
      </c>
      <c r="AU8" s="276">
        <v>0.25</v>
      </c>
      <c r="AV8" s="275" t="s">
        <v>393</v>
      </c>
      <c r="AW8" s="319"/>
      <c r="AX8" s="319"/>
      <c r="AY8" s="319"/>
      <c r="AZ8" s="319"/>
      <c r="BA8" s="319"/>
      <c r="BB8" s="319"/>
      <c r="BC8" s="319"/>
      <c r="BD8" s="319"/>
      <c r="BE8" s="319"/>
      <c r="BF8" s="319"/>
      <c r="BG8" s="319"/>
      <c r="BH8" s="319"/>
      <c r="BI8" s="319"/>
      <c r="BJ8" s="319"/>
      <c r="BK8" s="319"/>
      <c r="BL8" s="319"/>
      <c r="BM8" s="319"/>
      <c r="BN8" s="319"/>
      <c r="BO8" s="319"/>
      <c r="BP8" s="319"/>
    </row>
    <row r="9" spans="1:68" s="22" customFormat="1" ht="155.25" customHeight="1" x14ac:dyDescent="0.25">
      <c r="A9" s="394"/>
      <c r="B9" s="394"/>
      <c r="C9" s="394"/>
      <c r="D9" s="394"/>
      <c r="E9" s="394"/>
      <c r="F9" s="394"/>
      <c r="G9" s="397"/>
      <c r="H9" s="394"/>
      <c r="I9" s="397"/>
      <c r="J9" s="394"/>
      <c r="K9" s="397"/>
      <c r="L9" s="394"/>
      <c r="M9" s="394"/>
      <c r="N9" s="394"/>
      <c r="O9" s="394"/>
      <c r="P9" s="394"/>
      <c r="Q9" s="273" t="s">
        <v>394</v>
      </c>
      <c r="R9" s="150" t="s">
        <v>384</v>
      </c>
      <c r="S9" s="273" t="s">
        <v>74</v>
      </c>
      <c r="T9" s="273">
        <v>0</v>
      </c>
      <c r="U9" s="274">
        <v>1</v>
      </c>
      <c r="V9" s="476"/>
      <c r="W9" s="476"/>
      <c r="X9" s="397"/>
      <c r="Y9" s="479"/>
      <c r="Z9" s="394"/>
      <c r="AA9" s="479"/>
      <c r="AB9" s="479"/>
      <c r="AC9" s="274">
        <v>0.1</v>
      </c>
      <c r="AD9" s="274">
        <v>1</v>
      </c>
      <c r="AE9" s="274">
        <v>0.1</v>
      </c>
      <c r="AF9" s="274"/>
      <c r="AG9" s="479"/>
      <c r="AH9" s="493"/>
      <c r="AI9" s="479"/>
      <c r="AJ9" s="491"/>
      <c r="AK9" s="274">
        <v>0.02</v>
      </c>
      <c r="AL9" s="274">
        <v>1</v>
      </c>
      <c r="AM9" s="274">
        <v>0.12</v>
      </c>
      <c r="AN9" s="274" t="s">
        <v>395</v>
      </c>
      <c r="AO9" s="479"/>
      <c r="AP9" s="493"/>
      <c r="AQ9" s="479"/>
      <c r="AR9" s="491"/>
      <c r="AS9" s="274" t="s">
        <v>396</v>
      </c>
      <c r="AT9" s="274">
        <v>1</v>
      </c>
      <c r="AU9" s="274" t="s">
        <v>397</v>
      </c>
      <c r="AV9" s="274" t="s">
        <v>398</v>
      </c>
      <c r="AW9" s="319"/>
      <c r="AX9" s="319"/>
      <c r="AY9" s="319"/>
      <c r="AZ9" s="319"/>
      <c r="BA9" s="319"/>
      <c r="BB9" s="319"/>
      <c r="BC9" s="319"/>
      <c r="BD9" s="319"/>
      <c r="BE9" s="319"/>
      <c r="BF9" s="319"/>
      <c r="BG9" s="319"/>
      <c r="BH9" s="319"/>
      <c r="BI9" s="319"/>
      <c r="BJ9" s="319"/>
      <c r="BK9" s="319"/>
      <c r="BL9" s="319"/>
      <c r="BM9" s="319"/>
      <c r="BN9" s="319"/>
      <c r="BO9" s="319"/>
      <c r="BP9" s="319"/>
    </row>
    <row r="10" spans="1:68" s="33" customFormat="1" ht="103.5" customHeight="1" x14ac:dyDescent="0.25">
      <c r="A10" s="394"/>
      <c r="B10" s="394"/>
      <c r="C10" s="394"/>
      <c r="D10" s="394"/>
      <c r="E10" s="394"/>
      <c r="F10" s="394"/>
      <c r="G10" s="397"/>
      <c r="H10" s="394"/>
      <c r="I10" s="397"/>
      <c r="J10" s="394"/>
      <c r="K10" s="397"/>
      <c r="L10" s="394"/>
      <c r="M10" s="394"/>
      <c r="N10" s="394"/>
      <c r="O10" s="394"/>
      <c r="P10" s="394"/>
      <c r="Q10" s="272" t="s">
        <v>399</v>
      </c>
      <c r="R10" s="156" t="s">
        <v>384</v>
      </c>
      <c r="S10" s="272" t="s">
        <v>74</v>
      </c>
      <c r="T10" s="272">
        <v>0</v>
      </c>
      <c r="U10" s="276">
        <v>1</v>
      </c>
      <c r="V10" s="476"/>
      <c r="W10" s="476"/>
      <c r="X10" s="397"/>
      <c r="Y10" s="479"/>
      <c r="Z10" s="394"/>
      <c r="AA10" s="479"/>
      <c r="AB10" s="479"/>
      <c r="AC10" s="276">
        <v>0</v>
      </c>
      <c r="AD10" s="276">
        <v>1</v>
      </c>
      <c r="AE10" s="276">
        <v>0</v>
      </c>
      <c r="AF10" s="276" t="s">
        <v>386</v>
      </c>
      <c r="AG10" s="479"/>
      <c r="AH10" s="493"/>
      <c r="AI10" s="479"/>
      <c r="AJ10" s="491"/>
      <c r="AK10" s="276">
        <v>0</v>
      </c>
      <c r="AL10" s="276">
        <v>1</v>
      </c>
      <c r="AM10" s="276">
        <v>0</v>
      </c>
      <c r="AN10" s="275" t="s">
        <v>392</v>
      </c>
      <c r="AO10" s="479"/>
      <c r="AP10" s="493"/>
      <c r="AQ10" s="479"/>
      <c r="AR10" s="491"/>
      <c r="AS10" s="276">
        <v>0.05</v>
      </c>
      <c r="AT10" s="276">
        <v>1</v>
      </c>
      <c r="AU10" s="276">
        <v>0.05</v>
      </c>
      <c r="AV10" s="275" t="s">
        <v>400</v>
      </c>
      <c r="AW10" s="319"/>
      <c r="AX10" s="319"/>
      <c r="AY10" s="319"/>
      <c r="AZ10" s="319"/>
      <c r="BA10" s="319"/>
      <c r="BB10" s="319"/>
      <c r="BC10" s="319"/>
      <c r="BD10" s="319"/>
      <c r="BE10" s="319"/>
      <c r="BF10" s="319"/>
      <c r="BG10" s="319"/>
      <c r="BH10" s="319"/>
      <c r="BI10" s="319"/>
      <c r="BJ10" s="319"/>
      <c r="BK10" s="319"/>
      <c r="BL10" s="319"/>
      <c r="BM10" s="319"/>
      <c r="BN10" s="319"/>
      <c r="BO10" s="319"/>
      <c r="BP10" s="319"/>
    </row>
    <row r="11" spans="1:68" s="22" customFormat="1" ht="98.25" customHeight="1" x14ac:dyDescent="0.25">
      <c r="A11" s="395"/>
      <c r="B11" s="395"/>
      <c r="C11" s="395"/>
      <c r="D11" s="395"/>
      <c r="E11" s="395"/>
      <c r="F11" s="395"/>
      <c r="G11" s="397"/>
      <c r="H11" s="394"/>
      <c r="I11" s="397"/>
      <c r="J11" s="394"/>
      <c r="K11" s="397"/>
      <c r="L11" s="395"/>
      <c r="M11" s="395"/>
      <c r="N11" s="395"/>
      <c r="O11" s="395"/>
      <c r="P11" s="395"/>
      <c r="Q11" s="273" t="s">
        <v>401</v>
      </c>
      <c r="R11" s="150" t="s">
        <v>384</v>
      </c>
      <c r="S11" s="273" t="s">
        <v>74</v>
      </c>
      <c r="T11" s="273">
        <v>0</v>
      </c>
      <c r="U11" s="274">
        <v>1</v>
      </c>
      <c r="V11" s="476"/>
      <c r="W11" s="476"/>
      <c r="X11" s="397"/>
      <c r="Y11" s="480"/>
      <c r="Z11" s="395"/>
      <c r="AA11" s="480"/>
      <c r="AB11" s="480"/>
      <c r="AC11" s="274">
        <v>0</v>
      </c>
      <c r="AD11" s="274">
        <v>1</v>
      </c>
      <c r="AE11" s="274">
        <v>0</v>
      </c>
      <c r="AF11" s="274" t="s">
        <v>386</v>
      </c>
      <c r="AG11" s="480"/>
      <c r="AH11" s="494"/>
      <c r="AI11" s="480"/>
      <c r="AJ11" s="491"/>
      <c r="AK11" s="274">
        <v>0</v>
      </c>
      <c r="AL11" s="274">
        <v>1</v>
      </c>
      <c r="AM11" s="274">
        <v>0</v>
      </c>
      <c r="AN11" s="274" t="s">
        <v>392</v>
      </c>
      <c r="AO11" s="480"/>
      <c r="AP11" s="494"/>
      <c r="AQ11" s="480"/>
      <c r="AR11" s="491"/>
      <c r="AS11" s="274">
        <v>0.05</v>
      </c>
      <c r="AT11" s="274">
        <v>1</v>
      </c>
      <c r="AU11" s="274">
        <v>0.05</v>
      </c>
      <c r="AV11" s="274" t="s">
        <v>402</v>
      </c>
      <c r="AW11" s="319"/>
      <c r="AX11" s="319"/>
      <c r="AY11" s="319"/>
      <c r="AZ11" s="319"/>
      <c r="BA11" s="319"/>
      <c r="BB11" s="319"/>
      <c r="BC11" s="319"/>
      <c r="BD11" s="319"/>
      <c r="BE11" s="319"/>
      <c r="BF11" s="319"/>
      <c r="BG11" s="319"/>
      <c r="BH11" s="319"/>
      <c r="BI11" s="319"/>
      <c r="BJ11" s="319"/>
      <c r="BK11" s="319"/>
      <c r="BL11" s="319"/>
      <c r="BM11" s="319"/>
      <c r="BN11" s="319"/>
      <c r="BO11" s="319"/>
      <c r="BP11" s="319"/>
    </row>
    <row r="12" spans="1:68" s="33" customFormat="1" ht="93.75" customHeight="1" x14ac:dyDescent="0.25">
      <c r="A12" s="275" t="s">
        <v>43</v>
      </c>
      <c r="B12" s="275" t="s">
        <v>44</v>
      </c>
      <c r="C12" s="275" t="s">
        <v>45</v>
      </c>
      <c r="D12" s="275" t="s">
        <v>46</v>
      </c>
      <c r="E12" s="275" t="s">
        <v>71</v>
      </c>
      <c r="F12" s="275" t="s">
        <v>48</v>
      </c>
      <c r="G12" s="397"/>
      <c r="H12" s="394"/>
      <c r="I12" s="397"/>
      <c r="J12" s="394"/>
      <c r="K12" s="397"/>
      <c r="L12" s="275" t="s">
        <v>403</v>
      </c>
      <c r="M12" s="275" t="s">
        <v>404</v>
      </c>
      <c r="N12" s="275" t="s">
        <v>74</v>
      </c>
      <c r="O12" s="275">
        <v>0</v>
      </c>
      <c r="P12" s="275">
        <v>0.95</v>
      </c>
      <c r="Q12" s="272" t="s">
        <v>405</v>
      </c>
      <c r="R12" s="156" t="s">
        <v>384</v>
      </c>
      <c r="S12" s="272" t="s">
        <v>74</v>
      </c>
      <c r="T12" s="272">
        <v>0</v>
      </c>
      <c r="U12" s="276">
        <v>1</v>
      </c>
      <c r="V12" s="476"/>
      <c r="W12" s="476"/>
      <c r="X12" s="397"/>
      <c r="Y12" s="276"/>
      <c r="Z12" s="276">
        <v>0.95</v>
      </c>
      <c r="AA12" s="276">
        <v>9.9000000000000005E-2</v>
      </c>
      <c r="AB12" s="276"/>
      <c r="AC12" s="276">
        <v>0</v>
      </c>
      <c r="AD12" s="276">
        <v>1</v>
      </c>
      <c r="AE12" s="276">
        <v>0</v>
      </c>
      <c r="AF12" s="276" t="s">
        <v>386</v>
      </c>
      <c r="AG12" s="276">
        <v>0.17399999999999999</v>
      </c>
      <c r="AH12" s="276">
        <v>0.95</v>
      </c>
      <c r="AI12" s="276">
        <v>0.17399999999999999</v>
      </c>
      <c r="AJ12" s="276"/>
      <c r="AK12" s="276">
        <v>0.08</v>
      </c>
      <c r="AL12" s="276">
        <v>1</v>
      </c>
      <c r="AM12" s="276">
        <v>0.08</v>
      </c>
      <c r="AN12" s="275" t="s">
        <v>406</v>
      </c>
      <c r="AO12" s="276"/>
      <c r="AP12" s="276">
        <v>0.95</v>
      </c>
      <c r="AQ12" s="276" t="s">
        <v>407</v>
      </c>
      <c r="AR12" s="276"/>
      <c r="AS12" s="276">
        <v>0.28000000000000003</v>
      </c>
      <c r="AT12" s="276">
        <v>1</v>
      </c>
      <c r="AU12" s="276">
        <v>0.36</v>
      </c>
      <c r="AV12" s="275" t="s">
        <v>408</v>
      </c>
      <c r="AW12" s="319"/>
      <c r="AX12" s="319"/>
      <c r="AY12" s="319"/>
      <c r="AZ12" s="319"/>
      <c r="BA12" s="319"/>
      <c r="BB12" s="319"/>
      <c r="BC12" s="319"/>
      <c r="BD12" s="319"/>
      <c r="BE12" s="319"/>
      <c r="BF12" s="319"/>
      <c r="BG12" s="319"/>
      <c r="BH12" s="319"/>
      <c r="BI12" s="319"/>
      <c r="BJ12" s="319"/>
      <c r="BK12" s="319"/>
      <c r="BL12" s="319"/>
      <c r="BM12" s="319"/>
      <c r="BN12" s="319"/>
      <c r="BO12" s="319"/>
      <c r="BP12" s="319"/>
    </row>
    <row r="13" spans="1:68" s="33" customFormat="1" ht="177" customHeight="1" x14ac:dyDescent="0.25">
      <c r="A13" s="390" t="s">
        <v>43</v>
      </c>
      <c r="B13" s="390" t="s">
        <v>44</v>
      </c>
      <c r="C13" s="390" t="s">
        <v>45</v>
      </c>
      <c r="D13" s="390" t="s">
        <v>349</v>
      </c>
      <c r="E13" s="390" t="s">
        <v>71</v>
      </c>
      <c r="F13" s="390" t="s">
        <v>48</v>
      </c>
      <c r="G13" s="397"/>
      <c r="H13" s="394"/>
      <c r="I13" s="397"/>
      <c r="J13" s="394"/>
      <c r="K13" s="397"/>
      <c r="L13" s="390" t="s">
        <v>409</v>
      </c>
      <c r="M13" s="390" t="s">
        <v>410</v>
      </c>
      <c r="N13" s="390" t="s">
        <v>56</v>
      </c>
      <c r="O13" s="390">
        <v>0</v>
      </c>
      <c r="P13" s="390">
        <v>3</v>
      </c>
      <c r="Q13" s="273" t="s">
        <v>411</v>
      </c>
      <c r="R13" s="150" t="s">
        <v>384</v>
      </c>
      <c r="S13" s="273" t="s">
        <v>74</v>
      </c>
      <c r="T13" s="273">
        <v>0</v>
      </c>
      <c r="U13" s="274">
        <v>1</v>
      </c>
      <c r="V13" s="476"/>
      <c r="W13" s="476"/>
      <c r="X13" s="397"/>
      <c r="Y13" s="481">
        <v>0.3</v>
      </c>
      <c r="Z13" s="484">
        <v>3</v>
      </c>
      <c r="AA13" s="487">
        <v>0.3</v>
      </c>
      <c r="AB13" s="484"/>
      <c r="AC13" s="274">
        <v>0.4</v>
      </c>
      <c r="AD13" s="274">
        <v>1</v>
      </c>
      <c r="AE13" s="274">
        <v>0.4</v>
      </c>
      <c r="AF13" s="274"/>
      <c r="AG13" s="478">
        <v>0.16</v>
      </c>
      <c r="AH13" s="492">
        <v>3</v>
      </c>
      <c r="AI13" s="478">
        <f>30%+AG13</f>
        <v>0.45999999999999996</v>
      </c>
      <c r="AJ13" s="478" t="s">
        <v>412</v>
      </c>
      <c r="AK13" s="274">
        <v>0.05</v>
      </c>
      <c r="AL13" s="274">
        <v>1</v>
      </c>
      <c r="AM13" s="274">
        <v>0.45</v>
      </c>
      <c r="AN13" s="274" t="s">
        <v>413</v>
      </c>
      <c r="AO13" s="478">
        <v>0.14000000000000001</v>
      </c>
      <c r="AP13" s="492">
        <v>3</v>
      </c>
      <c r="AQ13" s="478">
        <v>0.6</v>
      </c>
      <c r="AR13" s="478" t="s">
        <v>414</v>
      </c>
      <c r="AS13" s="274">
        <v>0.27</v>
      </c>
      <c r="AT13" s="274">
        <v>1</v>
      </c>
      <c r="AU13" s="274">
        <v>0.72</v>
      </c>
      <c r="AV13" s="274" t="s">
        <v>415</v>
      </c>
      <c r="AW13" s="319"/>
      <c r="AX13" s="319"/>
      <c r="AY13" s="319"/>
      <c r="AZ13" s="319"/>
      <c r="BA13" s="319"/>
      <c r="BB13" s="319"/>
      <c r="BC13" s="319"/>
      <c r="BD13" s="319"/>
      <c r="BE13" s="319"/>
      <c r="BF13" s="319"/>
      <c r="BG13" s="319"/>
      <c r="BH13" s="319"/>
      <c r="BI13" s="319"/>
      <c r="BJ13" s="319"/>
      <c r="BK13" s="319"/>
      <c r="BL13" s="319"/>
      <c r="BM13" s="319"/>
      <c r="BN13" s="319"/>
      <c r="BO13" s="319"/>
      <c r="BP13" s="319"/>
    </row>
    <row r="14" spans="1:68" s="33" customFormat="1" ht="103.5" customHeight="1" x14ac:dyDescent="0.25">
      <c r="A14" s="390"/>
      <c r="B14" s="390"/>
      <c r="C14" s="390"/>
      <c r="D14" s="390"/>
      <c r="E14" s="390"/>
      <c r="F14" s="390"/>
      <c r="G14" s="397"/>
      <c r="H14" s="394"/>
      <c r="I14" s="397"/>
      <c r="J14" s="394"/>
      <c r="K14" s="397"/>
      <c r="L14" s="390"/>
      <c r="M14" s="390"/>
      <c r="N14" s="390"/>
      <c r="O14" s="390"/>
      <c r="P14" s="390"/>
      <c r="Q14" s="272" t="s">
        <v>416</v>
      </c>
      <c r="R14" s="156" t="s">
        <v>384</v>
      </c>
      <c r="S14" s="272" t="s">
        <v>74</v>
      </c>
      <c r="T14" s="272">
        <v>0</v>
      </c>
      <c r="U14" s="276">
        <v>1</v>
      </c>
      <c r="V14" s="476"/>
      <c r="W14" s="476"/>
      <c r="X14" s="397"/>
      <c r="Y14" s="482"/>
      <c r="Z14" s="485"/>
      <c r="AA14" s="488"/>
      <c r="AB14" s="485"/>
      <c r="AC14" s="276">
        <v>0.05</v>
      </c>
      <c r="AD14" s="276">
        <v>1</v>
      </c>
      <c r="AE14" s="276">
        <v>0.05</v>
      </c>
      <c r="AF14" s="276"/>
      <c r="AG14" s="479"/>
      <c r="AH14" s="493"/>
      <c r="AI14" s="479"/>
      <c r="AJ14" s="479"/>
      <c r="AK14" s="276">
        <v>0.38</v>
      </c>
      <c r="AL14" s="276">
        <v>1</v>
      </c>
      <c r="AM14" s="276">
        <v>0.43</v>
      </c>
      <c r="AN14" s="275" t="s">
        <v>417</v>
      </c>
      <c r="AO14" s="479"/>
      <c r="AP14" s="493"/>
      <c r="AQ14" s="479"/>
      <c r="AR14" s="479"/>
      <c r="AS14" s="276">
        <v>0.05</v>
      </c>
      <c r="AT14" s="276">
        <v>1</v>
      </c>
      <c r="AU14" s="276">
        <v>0.48</v>
      </c>
      <c r="AV14" s="275" t="s">
        <v>418</v>
      </c>
      <c r="AW14" s="319"/>
      <c r="AX14" s="319"/>
      <c r="AY14" s="319"/>
      <c r="AZ14" s="319"/>
      <c r="BA14" s="319"/>
      <c r="BB14" s="319"/>
      <c r="BC14" s="319"/>
      <c r="BD14" s="319"/>
      <c r="BE14" s="319"/>
      <c r="BF14" s="319"/>
      <c r="BG14" s="319"/>
      <c r="BH14" s="319"/>
      <c r="BI14" s="319"/>
      <c r="BJ14" s="319"/>
      <c r="BK14" s="319"/>
      <c r="BL14" s="319"/>
      <c r="BM14" s="319"/>
      <c r="BN14" s="319"/>
      <c r="BO14" s="319"/>
      <c r="BP14" s="319"/>
    </row>
    <row r="15" spans="1:68" s="22" customFormat="1" ht="153.75" customHeight="1" x14ac:dyDescent="0.25">
      <c r="A15" s="390"/>
      <c r="B15" s="390"/>
      <c r="C15" s="390"/>
      <c r="D15" s="390"/>
      <c r="E15" s="390"/>
      <c r="F15" s="390"/>
      <c r="G15" s="397"/>
      <c r="H15" s="394"/>
      <c r="I15" s="397"/>
      <c r="J15" s="394"/>
      <c r="K15" s="397"/>
      <c r="L15" s="390"/>
      <c r="M15" s="390"/>
      <c r="N15" s="390"/>
      <c r="O15" s="390"/>
      <c r="P15" s="390"/>
      <c r="Q15" s="273" t="s">
        <v>419</v>
      </c>
      <c r="R15" s="150" t="s">
        <v>384</v>
      </c>
      <c r="S15" s="273" t="s">
        <v>74</v>
      </c>
      <c r="T15" s="273">
        <v>0</v>
      </c>
      <c r="U15" s="274">
        <v>1</v>
      </c>
      <c r="V15" s="477"/>
      <c r="W15" s="477"/>
      <c r="X15" s="397"/>
      <c r="Y15" s="483"/>
      <c r="Z15" s="486"/>
      <c r="AA15" s="489"/>
      <c r="AB15" s="486"/>
      <c r="AC15" s="274">
        <v>0.45</v>
      </c>
      <c r="AD15" s="274">
        <v>1</v>
      </c>
      <c r="AE15" s="274">
        <v>0.45</v>
      </c>
      <c r="AF15" s="274"/>
      <c r="AG15" s="480"/>
      <c r="AH15" s="494"/>
      <c r="AI15" s="480"/>
      <c r="AJ15" s="480"/>
      <c r="AK15" s="274">
        <v>0.05</v>
      </c>
      <c r="AL15" s="274">
        <v>1</v>
      </c>
      <c r="AM15" s="274">
        <v>0.5</v>
      </c>
      <c r="AN15" s="274" t="s">
        <v>420</v>
      </c>
      <c r="AO15" s="480"/>
      <c r="AP15" s="494"/>
      <c r="AQ15" s="480"/>
      <c r="AR15" s="480"/>
      <c r="AS15" s="274">
        <v>0.1</v>
      </c>
      <c r="AT15" s="274">
        <v>1</v>
      </c>
      <c r="AU15" s="274">
        <v>0.6</v>
      </c>
      <c r="AV15" s="274" t="s">
        <v>421</v>
      </c>
      <c r="AW15" s="319"/>
      <c r="AX15" s="319"/>
      <c r="AY15" s="319"/>
      <c r="AZ15" s="319"/>
      <c r="BA15" s="319"/>
      <c r="BB15" s="319"/>
      <c r="BC15" s="319"/>
      <c r="BD15" s="319"/>
      <c r="BE15" s="319"/>
      <c r="BF15" s="319"/>
      <c r="BG15" s="319"/>
      <c r="BH15" s="319"/>
      <c r="BI15" s="319"/>
      <c r="BJ15" s="319"/>
      <c r="BK15" s="319"/>
      <c r="BL15" s="319"/>
      <c r="BM15" s="319"/>
      <c r="BN15" s="319"/>
      <c r="BO15" s="319"/>
      <c r="BP15" s="319"/>
    </row>
    <row r="16" spans="1:68" s="33" customFormat="1" ht="103.5" customHeight="1" x14ac:dyDescent="0.25">
      <c r="A16" s="271" t="s">
        <v>43</v>
      </c>
      <c r="B16" s="271" t="s">
        <v>44</v>
      </c>
      <c r="C16" s="271" t="s">
        <v>45</v>
      </c>
      <c r="D16" s="271" t="s">
        <v>306</v>
      </c>
      <c r="E16" s="271" t="s">
        <v>422</v>
      </c>
      <c r="F16" s="271" t="s">
        <v>422</v>
      </c>
      <c r="G16" s="397"/>
      <c r="H16" s="394"/>
      <c r="I16" s="398"/>
      <c r="J16" s="394"/>
      <c r="K16" s="397"/>
      <c r="L16" s="271" t="s">
        <v>423</v>
      </c>
      <c r="M16" s="271" t="s">
        <v>424</v>
      </c>
      <c r="N16" s="271" t="s">
        <v>56</v>
      </c>
      <c r="O16" s="271">
        <v>0</v>
      </c>
      <c r="P16" s="271">
        <v>5</v>
      </c>
      <c r="Q16" s="495"/>
      <c r="R16" s="496"/>
      <c r="S16" s="496"/>
      <c r="T16" s="496"/>
      <c r="U16" s="497"/>
      <c r="V16" s="313"/>
      <c r="W16" s="313"/>
      <c r="X16" s="397"/>
      <c r="Y16" s="313">
        <v>0</v>
      </c>
      <c r="Z16" s="313">
        <v>5</v>
      </c>
      <c r="AA16" s="276">
        <v>0</v>
      </c>
      <c r="AB16" s="309" t="s">
        <v>386</v>
      </c>
      <c r="AC16" s="495"/>
      <c r="AD16" s="496"/>
      <c r="AE16" s="496"/>
      <c r="AF16" s="497"/>
      <c r="AG16" s="313">
        <v>1</v>
      </c>
      <c r="AH16" s="313">
        <v>5</v>
      </c>
      <c r="AI16" s="276">
        <f>AG16/AH16</f>
        <v>0.2</v>
      </c>
      <c r="AJ16" s="275" t="s">
        <v>425</v>
      </c>
      <c r="AK16" s="495"/>
      <c r="AL16" s="496"/>
      <c r="AM16" s="496"/>
      <c r="AN16" s="497"/>
      <c r="AO16" s="313">
        <v>1</v>
      </c>
      <c r="AP16" s="313">
        <v>5</v>
      </c>
      <c r="AQ16" s="314">
        <v>0.2</v>
      </c>
      <c r="AR16" s="316" t="s">
        <v>426</v>
      </c>
      <c r="AS16" s="495"/>
      <c r="AT16" s="496"/>
      <c r="AU16" s="496"/>
      <c r="AV16" s="497"/>
      <c r="AW16" s="319"/>
      <c r="AX16" s="319"/>
      <c r="AY16" s="319"/>
      <c r="AZ16" s="319"/>
      <c r="BA16" s="319"/>
      <c r="BB16" s="319"/>
      <c r="BC16" s="319"/>
      <c r="BD16" s="319"/>
      <c r="BE16" s="319"/>
      <c r="BF16" s="319"/>
      <c r="BG16" s="319"/>
      <c r="BH16" s="319"/>
      <c r="BI16" s="319"/>
      <c r="BJ16" s="319"/>
      <c r="BK16" s="319"/>
      <c r="BL16" s="319"/>
      <c r="BM16" s="319"/>
      <c r="BN16" s="319"/>
      <c r="BO16" s="319"/>
      <c r="BP16" s="319"/>
    </row>
    <row r="17" spans="1:68" ht="121.5" customHeight="1" x14ac:dyDescent="0.25">
      <c r="A17" s="273" t="s">
        <v>43</v>
      </c>
      <c r="B17" s="273" t="s">
        <v>44</v>
      </c>
      <c r="C17" s="273" t="s">
        <v>45</v>
      </c>
      <c r="D17" s="273" t="s">
        <v>349</v>
      </c>
      <c r="E17" s="273" t="s">
        <v>47</v>
      </c>
      <c r="F17" s="273" t="s">
        <v>326</v>
      </c>
      <c r="G17" s="397"/>
      <c r="H17" s="394"/>
      <c r="I17" s="396" t="s">
        <v>429</v>
      </c>
      <c r="J17" s="394"/>
      <c r="K17" s="397"/>
      <c r="L17" s="273" t="s">
        <v>427</v>
      </c>
      <c r="M17" s="273" t="s">
        <v>384</v>
      </c>
      <c r="N17" s="273" t="s">
        <v>74</v>
      </c>
      <c r="O17" s="273">
        <v>0</v>
      </c>
      <c r="P17" s="273">
        <v>1</v>
      </c>
      <c r="Q17" s="495"/>
      <c r="R17" s="496"/>
      <c r="S17" s="496"/>
      <c r="T17" s="496"/>
      <c r="U17" s="497"/>
      <c r="V17" s="274"/>
      <c r="W17" s="274"/>
      <c r="X17" s="397"/>
      <c r="Y17" s="274">
        <v>0</v>
      </c>
      <c r="Z17" s="274">
        <v>1</v>
      </c>
      <c r="AA17" s="274">
        <v>0</v>
      </c>
      <c r="AB17" s="274" t="s">
        <v>386</v>
      </c>
      <c r="AC17" s="495"/>
      <c r="AD17" s="496"/>
      <c r="AE17" s="496"/>
      <c r="AF17" s="497"/>
      <c r="AG17" s="274">
        <v>0.03</v>
      </c>
      <c r="AH17" s="274">
        <v>1</v>
      </c>
      <c r="AI17" s="274">
        <v>0.03</v>
      </c>
      <c r="AJ17" s="274"/>
      <c r="AK17" s="495"/>
      <c r="AL17" s="496"/>
      <c r="AM17" s="496"/>
      <c r="AN17" s="497"/>
      <c r="AO17" s="274">
        <v>0.03</v>
      </c>
      <c r="AP17" s="274">
        <v>1</v>
      </c>
      <c r="AQ17" s="315">
        <v>0.06</v>
      </c>
      <c r="AR17" s="315" t="s">
        <v>428</v>
      </c>
      <c r="AS17" s="495"/>
      <c r="AT17" s="496"/>
      <c r="AU17" s="496"/>
      <c r="AV17" s="497"/>
    </row>
    <row r="18" spans="1:68" ht="114" customHeight="1" x14ac:dyDescent="0.25">
      <c r="A18" s="271" t="s">
        <v>43</v>
      </c>
      <c r="B18" s="271" t="s">
        <v>44</v>
      </c>
      <c r="C18" s="271" t="s">
        <v>45</v>
      </c>
      <c r="D18" s="271" t="s">
        <v>349</v>
      </c>
      <c r="E18" s="271" t="s">
        <v>375</v>
      </c>
      <c r="F18" s="271" t="s">
        <v>376</v>
      </c>
      <c r="G18" s="398"/>
      <c r="H18" s="395"/>
      <c r="I18" s="398"/>
      <c r="J18" s="395"/>
      <c r="K18" s="398"/>
      <c r="L18" s="271" t="s">
        <v>430</v>
      </c>
      <c r="M18" s="271" t="s">
        <v>384</v>
      </c>
      <c r="N18" s="271" t="s">
        <v>74</v>
      </c>
      <c r="O18" s="271">
        <v>0</v>
      </c>
      <c r="P18" s="271">
        <v>1</v>
      </c>
      <c r="Q18" s="495"/>
      <c r="R18" s="496"/>
      <c r="S18" s="496"/>
      <c r="T18" s="496"/>
      <c r="U18" s="497"/>
      <c r="V18" s="313"/>
      <c r="W18" s="313"/>
      <c r="X18" s="398"/>
      <c r="Y18" s="313">
        <v>0.1</v>
      </c>
      <c r="Z18" s="313">
        <v>1</v>
      </c>
      <c r="AA18" s="276">
        <v>0.1</v>
      </c>
      <c r="AB18" s="275"/>
      <c r="AC18" s="495"/>
      <c r="AD18" s="496"/>
      <c r="AE18" s="496"/>
      <c r="AF18" s="497"/>
      <c r="AG18" s="276">
        <v>0.1</v>
      </c>
      <c r="AH18" s="313">
        <v>1</v>
      </c>
      <c r="AI18" s="276">
        <v>0.2</v>
      </c>
      <c r="AJ18" s="275" t="s">
        <v>431</v>
      </c>
      <c r="AK18" s="495"/>
      <c r="AL18" s="496"/>
      <c r="AM18" s="496"/>
      <c r="AN18" s="497"/>
      <c r="AO18" s="276">
        <v>0.35</v>
      </c>
      <c r="AP18" s="313">
        <v>1</v>
      </c>
      <c r="AQ18" s="314">
        <v>0.55000000000000004</v>
      </c>
      <c r="AR18" s="316" t="s">
        <v>432</v>
      </c>
      <c r="AS18" s="495"/>
      <c r="AT18" s="496"/>
      <c r="AU18" s="496"/>
      <c r="AV18" s="497"/>
    </row>
    <row r="19" spans="1:68" ht="54" customHeight="1" x14ac:dyDescent="0.25">
      <c r="A19" s="21"/>
      <c r="B19" s="21"/>
      <c r="C19" s="21"/>
      <c r="D19" s="21"/>
      <c r="E19" s="21"/>
      <c r="F19" s="21"/>
      <c r="G19" s="21"/>
      <c r="H19" s="21"/>
      <c r="I19" s="21"/>
      <c r="J19" s="21"/>
      <c r="K19" s="21"/>
      <c r="L19" s="21"/>
      <c r="M19" s="21"/>
      <c r="N19" s="21"/>
      <c r="O19" s="21"/>
      <c r="P19" s="21"/>
      <c r="Q19" s="21"/>
      <c r="R19" s="21"/>
      <c r="S19" s="21"/>
      <c r="T19" s="21"/>
      <c r="U19" s="21"/>
      <c r="V19" s="21"/>
      <c r="W19" s="21"/>
      <c r="Y19" s="388" t="s">
        <v>433</v>
      </c>
      <c r="Z19" s="388"/>
      <c r="AA19" s="58">
        <f>AVERAGE(AA7,AA12,AA13,AA16,AA17,AA18)</f>
        <v>8.6500000000000007E-2</v>
      </c>
      <c r="AC19" s="388" t="s">
        <v>434</v>
      </c>
      <c r="AD19" s="388"/>
      <c r="AE19" s="58">
        <f>AVERAGE(AE7,AE8,AE9,AE10,AE11,AE12,AE13,AE14,AE15)</f>
        <v>0.1111111111111111</v>
      </c>
      <c r="AG19" s="388" t="s">
        <v>433</v>
      </c>
      <c r="AH19" s="388"/>
      <c r="AI19" s="58">
        <f>AVERAGE(AI7:AI18)</f>
        <v>0.18066666666666664</v>
      </c>
      <c r="AK19" s="388" t="s">
        <v>434</v>
      </c>
      <c r="AL19" s="388"/>
      <c r="AM19" s="58">
        <f>AVERAGE(AM7:AM15)</f>
        <v>0.17555555555555558</v>
      </c>
      <c r="AO19" s="388" t="s">
        <v>433</v>
      </c>
      <c r="AP19" s="388"/>
      <c r="AQ19" s="58">
        <f>AVERAGE(AQ7:AQ18)</f>
        <v>0.3</v>
      </c>
      <c r="AS19" s="388" t="s">
        <v>434</v>
      </c>
      <c r="AT19" s="388"/>
      <c r="AU19" s="58">
        <f>AVERAGE(AU7:AU15)</f>
        <v>0.31374999999999997</v>
      </c>
    </row>
    <row r="20" spans="1:68" s="21" customFormat="1" ht="22.5" customHeight="1" x14ac:dyDescent="0.25">
      <c r="AW20" s="319"/>
      <c r="AX20" s="319"/>
      <c r="AY20" s="319"/>
      <c r="AZ20" s="319"/>
      <c r="BA20" s="319"/>
      <c r="BB20" s="319"/>
      <c r="BC20" s="319"/>
      <c r="BD20" s="319"/>
      <c r="BE20" s="319"/>
      <c r="BF20" s="319"/>
      <c r="BG20" s="319"/>
      <c r="BH20" s="319"/>
      <c r="BI20" s="319"/>
      <c r="BJ20" s="319"/>
      <c r="BK20" s="319"/>
      <c r="BL20" s="319"/>
      <c r="BM20" s="319"/>
      <c r="BN20" s="319"/>
      <c r="BO20" s="319"/>
      <c r="BP20" s="319"/>
    </row>
    <row r="21" spans="1:68" s="21" customFormat="1" ht="22.5" customHeight="1" x14ac:dyDescent="0.25">
      <c r="AW21" s="319"/>
      <c r="AX21" s="319"/>
      <c r="AY21" s="319"/>
      <c r="AZ21" s="319"/>
      <c r="BA21" s="319"/>
      <c r="BB21" s="319"/>
      <c r="BC21" s="319"/>
      <c r="BD21" s="319"/>
      <c r="BE21" s="319"/>
      <c r="BF21" s="319"/>
      <c r="BG21" s="319"/>
      <c r="BH21" s="319"/>
      <c r="BI21" s="319"/>
      <c r="BJ21" s="319"/>
      <c r="BK21" s="319"/>
      <c r="BL21" s="319"/>
      <c r="BM21" s="319"/>
      <c r="BN21" s="319"/>
      <c r="BO21" s="319"/>
      <c r="BP21" s="319"/>
    </row>
    <row r="22" spans="1:68" s="21" customFormat="1" ht="22.5" customHeight="1" x14ac:dyDescent="0.25">
      <c r="AW22" s="319"/>
      <c r="AX22" s="319"/>
      <c r="AY22" s="319"/>
      <c r="AZ22" s="319"/>
      <c r="BA22" s="319"/>
      <c r="BB22" s="319"/>
      <c r="BC22" s="319"/>
      <c r="BD22" s="319"/>
      <c r="BE22" s="319"/>
      <c r="BF22" s="319"/>
      <c r="BG22" s="319"/>
      <c r="BH22" s="319"/>
      <c r="BI22" s="319"/>
      <c r="BJ22" s="319"/>
      <c r="BK22" s="319"/>
      <c r="BL22" s="319"/>
      <c r="BM22" s="319"/>
      <c r="BN22" s="319"/>
      <c r="BO22" s="319"/>
      <c r="BP22" s="319"/>
    </row>
    <row r="23" spans="1:68" s="21" customFormat="1" ht="22.5" customHeight="1" x14ac:dyDescent="0.25">
      <c r="AW23" s="319"/>
      <c r="AX23" s="319"/>
      <c r="AY23" s="319"/>
      <c r="AZ23" s="319"/>
      <c r="BA23" s="319"/>
      <c r="BB23" s="319"/>
      <c r="BC23" s="319"/>
      <c r="BD23" s="319"/>
      <c r="BE23" s="319"/>
      <c r="BF23" s="319"/>
      <c r="BG23" s="319"/>
      <c r="BH23" s="319"/>
      <c r="BI23" s="319"/>
      <c r="BJ23" s="319"/>
      <c r="BK23" s="319"/>
      <c r="BL23" s="319"/>
      <c r="BM23" s="319"/>
      <c r="BN23" s="319"/>
      <c r="BO23" s="319"/>
      <c r="BP23" s="319"/>
    </row>
    <row r="24" spans="1:68" s="21" customFormat="1" ht="22.5" customHeight="1" x14ac:dyDescent="0.25">
      <c r="AW24" s="319"/>
      <c r="AX24" s="319"/>
      <c r="AY24" s="319"/>
      <c r="AZ24" s="319"/>
      <c r="BA24" s="319"/>
      <c r="BB24" s="319"/>
      <c r="BC24" s="319"/>
      <c r="BD24" s="319"/>
      <c r="BE24" s="319"/>
      <c r="BF24" s="319"/>
      <c r="BG24" s="319"/>
      <c r="BH24" s="319"/>
      <c r="BI24" s="319"/>
      <c r="BJ24" s="319"/>
      <c r="BK24" s="319"/>
      <c r="BL24" s="319"/>
      <c r="BM24" s="319"/>
      <c r="BN24" s="319"/>
      <c r="BO24" s="319"/>
      <c r="BP24" s="319"/>
    </row>
    <row r="25" spans="1:68" s="21" customFormat="1" ht="22.5" customHeight="1" x14ac:dyDescent="0.25">
      <c r="AW25" s="319"/>
      <c r="AX25" s="319"/>
      <c r="AY25" s="319"/>
      <c r="AZ25" s="319"/>
      <c r="BA25" s="319"/>
      <c r="BB25" s="319"/>
      <c r="BC25" s="319"/>
      <c r="BD25" s="319"/>
      <c r="BE25" s="319"/>
      <c r="BF25" s="319"/>
      <c r="BG25" s="319"/>
      <c r="BH25" s="319"/>
      <c r="BI25" s="319"/>
      <c r="BJ25" s="319"/>
      <c r="BK25" s="319"/>
      <c r="BL25" s="319"/>
      <c r="BM25" s="319"/>
      <c r="BN25" s="319"/>
      <c r="BO25" s="319"/>
      <c r="BP25" s="319"/>
    </row>
    <row r="26" spans="1:68" s="21" customFormat="1" ht="22.5" customHeight="1" x14ac:dyDescent="0.25">
      <c r="AW26" s="319"/>
      <c r="AX26" s="319"/>
      <c r="AY26" s="319"/>
      <c r="AZ26" s="319"/>
      <c r="BA26" s="319"/>
      <c r="BB26" s="319"/>
      <c r="BC26" s="319"/>
      <c r="BD26" s="319"/>
      <c r="BE26" s="319"/>
      <c r="BF26" s="319"/>
      <c r="BG26" s="319"/>
      <c r="BH26" s="319"/>
      <c r="BI26" s="319"/>
      <c r="BJ26" s="319"/>
      <c r="BK26" s="319"/>
      <c r="BL26" s="319"/>
      <c r="BM26" s="319"/>
      <c r="BN26" s="319"/>
      <c r="BO26" s="319"/>
      <c r="BP26" s="319"/>
    </row>
    <row r="27" spans="1:68" s="21" customFormat="1" ht="22.5" customHeight="1" x14ac:dyDescent="0.25">
      <c r="AW27" s="319"/>
      <c r="AX27" s="319"/>
      <c r="AY27" s="319"/>
      <c r="AZ27" s="319"/>
      <c r="BA27" s="319"/>
      <c r="BB27" s="319"/>
      <c r="BC27" s="319"/>
      <c r="BD27" s="319"/>
      <c r="BE27" s="319"/>
      <c r="BF27" s="319"/>
      <c r="BG27" s="319"/>
      <c r="BH27" s="319"/>
      <c r="BI27" s="319"/>
      <c r="BJ27" s="319"/>
      <c r="BK27" s="319"/>
      <c r="BL27" s="319"/>
      <c r="BM27" s="319"/>
      <c r="BN27" s="319"/>
      <c r="BO27" s="319"/>
      <c r="BP27" s="319"/>
    </row>
    <row r="28" spans="1:68" s="21" customFormat="1" ht="22.5" customHeight="1" x14ac:dyDescent="0.25">
      <c r="AW28" s="319"/>
      <c r="AX28" s="319"/>
      <c r="AY28" s="319"/>
      <c r="AZ28" s="319"/>
      <c r="BA28" s="319"/>
      <c r="BB28" s="319"/>
      <c r="BC28" s="319"/>
      <c r="BD28" s="319"/>
      <c r="BE28" s="319"/>
      <c r="BF28" s="319"/>
      <c r="BG28" s="319"/>
      <c r="BH28" s="319"/>
      <c r="BI28" s="319"/>
      <c r="BJ28" s="319"/>
      <c r="BK28" s="319"/>
      <c r="BL28" s="319"/>
      <c r="BM28" s="319"/>
      <c r="BN28" s="319"/>
      <c r="BO28" s="319"/>
      <c r="BP28" s="319"/>
    </row>
    <row r="29" spans="1:68" s="21" customFormat="1" ht="22.5" customHeight="1" x14ac:dyDescent="0.25">
      <c r="AW29" s="319"/>
      <c r="AX29" s="319"/>
      <c r="AY29" s="319"/>
      <c r="AZ29" s="319"/>
      <c r="BA29" s="319"/>
      <c r="BB29" s="319"/>
      <c r="BC29" s="319"/>
      <c r="BD29" s="319"/>
      <c r="BE29" s="319"/>
      <c r="BF29" s="319"/>
      <c r="BG29" s="319"/>
      <c r="BH29" s="319"/>
      <c r="BI29" s="319"/>
      <c r="BJ29" s="319"/>
      <c r="BK29" s="319"/>
      <c r="BL29" s="319"/>
      <c r="BM29" s="319"/>
      <c r="BN29" s="319"/>
      <c r="BO29" s="319"/>
      <c r="BP29" s="319"/>
    </row>
    <row r="30" spans="1:68" s="21" customFormat="1" ht="22.5" customHeight="1" x14ac:dyDescent="0.25">
      <c r="AW30" s="319"/>
      <c r="AX30" s="319"/>
      <c r="AY30" s="319"/>
      <c r="AZ30" s="319"/>
      <c r="BA30" s="319"/>
      <c r="BB30" s="319"/>
      <c r="BC30" s="319"/>
      <c r="BD30" s="319"/>
      <c r="BE30" s="319"/>
      <c r="BF30" s="319"/>
      <c r="BG30" s="319"/>
      <c r="BH30" s="319"/>
      <c r="BI30" s="319"/>
      <c r="BJ30" s="319"/>
      <c r="BK30" s="319"/>
      <c r="BL30" s="319"/>
      <c r="BM30" s="319"/>
      <c r="BN30" s="319"/>
      <c r="BO30" s="319"/>
      <c r="BP30" s="319"/>
    </row>
    <row r="31" spans="1:68" s="21" customFormat="1" ht="22.5" customHeight="1" x14ac:dyDescent="0.25">
      <c r="AW31" s="319"/>
      <c r="AX31" s="319"/>
      <c r="AY31" s="319"/>
      <c r="AZ31" s="319"/>
      <c r="BA31" s="319"/>
      <c r="BB31" s="319"/>
      <c r="BC31" s="319"/>
      <c r="BD31" s="319"/>
      <c r="BE31" s="319"/>
      <c r="BF31" s="319"/>
      <c r="BG31" s="319"/>
      <c r="BH31" s="319"/>
      <c r="BI31" s="319"/>
      <c r="BJ31" s="319"/>
      <c r="BK31" s="319"/>
      <c r="BL31" s="319"/>
      <c r="BM31" s="319"/>
      <c r="BN31" s="319"/>
      <c r="BO31" s="319"/>
      <c r="BP31" s="319"/>
    </row>
    <row r="32" spans="1:68" s="21" customFormat="1" ht="22.5" customHeight="1" x14ac:dyDescent="0.25">
      <c r="AW32" s="319"/>
      <c r="AX32" s="319"/>
      <c r="AY32" s="319"/>
      <c r="AZ32" s="319"/>
      <c r="BA32" s="319"/>
      <c r="BB32" s="319"/>
      <c r="BC32" s="319"/>
      <c r="BD32" s="319"/>
      <c r="BE32" s="319"/>
      <c r="BF32" s="319"/>
      <c r="BG32" s="319"/>
      <c r="BH32" s="319"/>
      <c r="BI32" s="319"/>
      <c r="BJ32" s="319"/>
      <c r="BK32" s="319"/>
      <c r="BL32" s="319"/>
      <c r="BM32" s="319"/>
      <c r="BN32" s="319"/>
      <c r="BO32" s="319"/>
      <c r="BP32" s="319"/>
    </row>
    <row r="33" spans="49:68" s="21" customFormat="1" ht="22.5" customHeight="1" x14ac:dyDescent="0.25">
      <c r="AW33" s="319"/>
      <c r="AX33" s="319"/>
      <c r="AY33" s="319"/>
      <c r="AZ33" s="319"/>
      <c r="BA33" s="319"/>
      <c r="BB33" s="319"/>
      <c r="BC33" s="319"/>
      <c r="BD33" s="319"/>
      <c r="BE33" s="319"/>
      <c r="BF33" s="319"/>
      <c r="BG33" s="319"/>
      <c r="BH33" s="319"/>
      <c r="BI33" s="319"/>
      <c r="BJ33" s="319"/>
      <c r="BK33" s="319"/>
      <c r="BL33" s="319"/>
      <c r="BM33" s="319"/>
      <c r="BN33" s="319"/>
      <c r="BO33" s="319"/>
      <c r="BP33" s="319"/>
    </row>
    <row r="34" spans="49:68" s="21" customFormat="1" ht="22.5" customHeight="1" x14ac:dyDescent="0.25">
      <c r="AW34" s="319"/>
      <c r="AX34" s="319"/>
      <c r="AY34" s="319"/>
      <c r="AZ34" s="319"/>
      <c r="BA34" s="319"/>
      <c r="BB34" s="319"/>
      <c r="BC34" s="319"/>
      <c r="BD34" s="319"/>
      <c r="BE34" s="319"/>
      <c r="BF34" s="319"/>
      <c r="BG34" s="319"/>
      <c r="BH34" s="319"/>
      <c r="BI34" s="319"/>
      <c r="BJ34" s="319"/>
      <c r="BK34" s="319"/>
      <c r="BL34" s="319"/>
      <c r="BM34" s="319"/>
      <c r="BN34" s="319"/>
      <c r="BO34" s="319"/>
      <c r="BP34" s="319"/>
    </row>
    <row r="35" spans="49:68" s="21" customFormat="1" ht="22.5" customHeight="1" x14ac:dyDescent="0.25">
      <c r="AW35" s="319"/>
      <c r="AX35" s="319"/>
      <c r="AY35" s="319"/>
      <c r="AZ35" s="319"/>
      <c r="BA35" s="319"/>
      <c r="BB35" s="319"/>
      <c r="BC35" s="319"/>
      <c r="BD35" s="319"/>
      <c r="BE35" s="319"/>
      <c r="BF35" s="319"/>
      <c r="BG35" s="319"/>
      <c r="BH35" s="319"/>
      <c r="BI35" s="319"/>
      <c r="BJ35" s="319"/>
      <c r="BK35" s="319"/>
      <c r="BL35" s="319"/>
      <c r="BM35" s="319"/>
      <c r="BN35" s="319"/>
      <c r="BO35" s="319"/>
      <c r="BP35" s="319"/>
    </row>
    <row r="36" spans="49:68" s="21" customFormat="1" ht="22.5" customHeight="1" x14ac:dyDescent="0.25">
      <c r="AW36" s="319"/>
      <c r="AX36" s="319"/>
      <c r="AY36" s="319"/>
      <c r="AZ36" s="319"/>
      <c r="BA36" s="319"/>
      <c r="BB36" s="319"/>
      <c r="BC36" s="319"/>
      <c r="BD36" s="319"/>
      <c r="BE36" s="319"/>
      <c r="BF36" s="319"/>
      <c r="BG36" s="319"/>
      <c r="BH36" s="319"/>
      <c r="BI36" s="319"/>
      <c r="BJ36" s="319"/>
      <c r="BK36" s="319"/>
      <c r="BL36" s="319"/>
      <c r="BM36" s="319"/>
      <c r="BN36" s="319"/>
      <c r="BO36" s="319"/>
      <c r="BP36" s="319"/>
    </row>
    <row r="37" spans="49:68" s="21" customFormat="1" ht="22.5" customHeight="1" x14ac:dyDescent="0.25">
      <c r="AW37" s="319"/>
      <c r="AX37" s="319"/>
      <c r="AY37" s="319"/>
      <c r="AZ37" s="319"/>
      <c r="BA37" s="319"/>
      <c r="BB37" s="319"/>
      <c r="BC37" s="319"/>
      <c r="BD37" s="319"/>
      <c r="BE37" s="319"/>
      <c r="BF37" s="319"/>
      <c r="BG37" s="319"/>
      <c r="BH37" s="319"/>
      <c r="BI37" s="319"/>
      <c r="BJ37" s="319"/>
      <c r="BK37" s="319"/>
      <c r="BL37" s="319"/>
      <c r="BM37" s="319"/>
      <c r="BN37" s="319"/>
      <c r="BO37" s="319"/>
      <c r="BP37" s="319"/>
    </row>
    <row r="38" spans="49:68" s="21" customFormat="1" ht="22.5" customHeight="1" x14ac:dyDescent="0.25">
      <c r="AW38" s="319"/>
      <c r="AX38" s="319"/>
      <c r="AY38" s="319"/>
      <c r="AZ38" s="319"/>
      <c r="BA38" s="319"/>
      <c r="BB38" s="319"/>
      <c r="BC38" s="319"/>
      <c r="BD38" s="319"/>
      <c r="BE38" s="319"/>
      <c r="BF38" s="319"/>
      <c r="BG38" s="319"/>
      <c r="BH38" s="319"/>
      <c r="BI38" s="319"/>
      <c r="BJ38" s="319"/>
      <c r="BK38" s="319"/>
      <c r="BL38" s="319"/>
      <c r="BM38" s="319"/>
      <c r="BN38" s="319"/>
      <c r="BO38" s="319"/>
      <c r="BP38" s="319"/>
    </row>
    <row r="39" spans="49:68" s="21" customFormat="1" ht="22.5" customHeight="1" x14ac:dyDescent="0.25">
      <c r="AW39" s="319"/>
      <c r="AX39" s="319"/>
      <c r="AY39" s="319"/>
      <c r="AZ39" s="319"/>
      <c r="BA39" s="319"/>
      <c r="BB39" s="319"/>
      <c r="BC39" s="319"/>
      <c r="BD39" s="319"/>
      <c r="BE39" s="319"/>
      <c r="BF39" s="319"/>
      <c r="BG39" s="319"/>
      <c r="BH39" s="319"/>
      <c r="BI39" s="319"/>
      <c r="BJ39" s="319"/>
      <c r="BK39" s="319"/>
      <c r="BL39" s="319"/>
      <c r="BM39" s="319"/>
      <c r="BN39" s="319"/>
      <c r="BO39" s="319"/>
      <c r="BP39" s="319"/>
    </row>
    <row r="40" spans="49:68" s="21" customFormat="1" ht="22.5" customHeight="1" x14ac:dyDescent="0.25">
      <c r="AW40" s="319"/>
      <c r="AX40" s="319"/>
      <c r="AY40" s="319"/>
      <c r="AZ40" s="319"/>
      <c r="BA40" s="319"/>
      <c r="BB40" s="319"/>
      <c r="BC40" s="319"/>
      <c r="BD40" s="319"/>
      <c r="BE40" s="319"/>
      <c r="BF40" s="319"/>
      <c r="BG40" s="319"/>
      <c r="BH40" s="319"/>
      <c r="BI40" s="319"/>
      <c r="BJ40" s="319"/>
      <c r="BK40" s="319"/>
      <c r="BL40" s="319"/>
      <c r="BM40" s="319"/>
      <c r="BN40" s="319"/>
      <c r="BO40" s="319"/>
      <c r="BP40" s="319"/>
    </row>
    <row r="41" spans="49:68" s="21" customFormat="1" ht="22.5" customHeight="1" x14ac:dyDescent="0.25">
      <c r="AW41" s="319"/>
      <c r="AX41" s="319"/>
      <c r="AY41" s="319"/>
      <c r="AZ41" s="319"/>
      <c r="BA41" s="319"/>
      <c r="BB41" s="319"/>
      <c r="BC41" s="319"/>
      <c r="BD41" s="319"/>
      <c r="BE41" s="319"/>
      <c r="BF41" s="319"/>
      <c r="BG41" s="319"/>
      <c r="BH41" s="319"/>
      <c r="BI41" s="319"/>
      <c r="BJ41" s="319"/>
      <c r="BK41" s="319"/>
      <c r="BL41" s="319"/>
      <c r="BM41" s="319"/>
      <c r="BN41" s="319"/>
      <c r="BO41" s="319"/>
      <c r="BP41" s="319"/>
    </row>
    <row r="42" spans="49:68" s="21" customFormat="1" ht="22.5" customHeight="1" x14ac:dyDescent="0.25">
      <c r="AW42" s="319"/>
      <c r="AX42" s="319"/>
      <c r="AY42" s="319"/>
      <c r="AZ42" s="319"/>
      <c r="BA42" s="319"/>
      <c r="BB42" s="319"/>
      <c r="BC42" s="319"/>
      <c r="BD42" s="319"/>
      <c r="BE42" s="319"/>
      <c r="BF42" s="319"/>
      <c r="BG42" s="319"/>
      <c r="BH42" s="319"/>
      <c r="BI42" s="319"/>
      <c r="BJ42" s="319"/>
      <c r="BK42" s="319"/>
      <c r="BL42" s="319"/>
      <c r="BM42" s="319"/>
      <c r="BN42" s="319"/>
      <c r="BO42" s="319"/>
      <c r="BP42" s="319"/>
    </row>
    <row r="43" spans="49:68" s="21" customFormat="1" ht="22.5" customHeight="1" x14ac:dyDescent="0.25">
      <c r="AW43" s="319"/>
      <c r="AX43" s="319"/>
      <c r="AY43" s="319"/>
      <c r="AZ43" s="319"/>
      <c r="BA43" s="319"/>
      <c r="BB43" s="319"/>
      <c r="BC43" s="319"/>
      <c r="BD43" s="319"/>
      <c r="BE43" s="319"/>
      <c r="BF43" s="319"/>
      <c r="BG43" s="319"/>
      <c r="BH43" s="319"/>
      <c r="BI43" s="319"/>
      <c r="BJ43" s="319"/>
      <c r="BK43" s="319"/>
      <c r="BL43" s="319"/>
      <c r="BM43" s="319"/>
      <c r="BN43" s="319"/>
      <c r="BO43" s="319"/>
      <c r="BP43" s="319"/>
    </row>
    <row r="44" spans="49:68" s="21" customFormat="1" ht="22.5" customHeight="1" x14ac:dyDescent="0.25">
      <c r="AW44" s="319"/>
      <c r="AX44" s="319"/>
      <c r="AY44" s="319"/>
      <c r="AZ44" s="319"/>
      <c r="BA44" s="319"/>
      <c r="BB44" s="319"/>
      <c r="BC44" s="319"/>
      <c r="BD44" s="319"/>
      <c r="BE44" s="319"/>
      <c r="BF44" s="319"/>
      <c r="BG44" s="319"/>
      <c r="BH44" s="319"/>
      <c r="BI44" s="319"/>
      <c r="BJ44" s="319"/>
      <c r="BK44" s="319"/>
      <c r="BL44" s="319"/>
      <c r="BM44" s="319"/>
      <c r="BN44" s="319"/>
      <c r="BO44" s="319"/>
      <c r="BP44" s="319"/>
    </row>
    <row r="45" spans="49:68" s="21" customFormat="1" ht="22.5" customHeight="1" x14ac:dyDescent="0.25">
      <c r="AW45" s="319"/>
      <c r="AX45" s="319"/>
      <c r="AY45" s="319"/>
      <c r="AZ45" s="319"/>
      <c r="BA45" s="319"/>
      <c r="BB45" s="319"/>
      <c r="BC45" s="319"/>
      <c r="BD45" s="319"/>
      <c r="BE45" s="319"/>
      <c r="BF45" s="319"/>
      <c r="BG45" s="319"/>
      <c r="BH45" s="319"/>
      <c r="BI45" s="319"/>
      <c r="BJ45" s="319"/>
      <c r="BK45" s="319"/>
      <c r="BL45" s="319"/>
      <c r="BM45" s="319"/>
      <c r="BN45" s="319"/>
      <c r="BO45" s="319"/>
      <c r="BP45" s="319"/>
    </row>
    <row r="46" spans="49:68" s="21" customFormat="1" ht="22.5" customHeight="1" x14ac:dyDescent="0.25">
      <c r="AW46" s="319"/>
      <c r="AX46" s="319"/>
      <c r="AY46" s="319"/>
      <c r="AZ46" s="319"/>
      <c r="BA46" s="319"/>
      <c r="BB46" s="319"/>
      <c r="BC46" s="319"/>
      <c r="BD46" s="319"/>
      <c r="BE46" s="319"/>
      <c r="BF46" s="319"/>
      <c r="BG46" s="319"/>
      <c r="BH46" s="319"/>
      <c r="BI46" s="319"/>
      <c r="BJ46" s="319"/>
      <c r="BK46" s="319"/>
      <c r="BL46" s="319"/>
      <c r="BM46" s="319"/>
      <c r="BN46" s="319"/>
      <c r="BO46" s="319"/>
      <c r="BP46" s="319"/>
    </row>
    <row r="47" spans="49:68" s="21" customFormat="1" ht="22.5" customHeight="1" x14ac:dyDescent="0.25">
      <c r="AW47" s="319"/>
      <c r="AX47" s="319"/>
      <c r="AY47" s="319"/>
      <c r="AZ47" s="319"/>
      <c r="BA47" s="319"/>
      <c r="BB47" s="319"/>
      <c r="BC47" s="319"/>
      <c r="BD47" s="319"/>
      <c r="BE47" s="319"/>
      <c r="BF47" s="319"/>
      <c r="BG47" s="319"/>
      <c r="BH47" s="319"/>
      <c r="BI47" s="319"/>
      <c r="BJ47" s="319"/>
      <c r="BK47" s="319"/>
      <c r="BL47" s="319"/>
      <c r="BM47" s="319"/>
      <c r="BN47" s="319"/>
      <c r="BO47" s="319"/>
      <c r="BP47" s="319"/>
    </row>
    <row r="48" spans="49:68" s="21" customFormat="1" ht="22.5" customHeight="1" x14ac:dyDescent="0.25">
      <c r="AW48" s="319"/>
      <c r="AX48" s="319"/>
      <c r="AY48" s="319"/>
      <c r="AZ48" s="319"/>
      <c r="BA48" s="319"/>
      <c r="BB48" s="319"/>
      <c r="BC48" s="319"/>
      <c r="BD48" s="319"/>
      <c r="BE48" s="319"/>
      <c r="BF48" s="319"/>
      <c r="BG48" s="319"/>
      <c r="BH48" s="319"/>
      <c r="BI48" s="319"/>
      <c r="BJ48" s="319"/>
      <c r="BK48" s="319"/>
      <c r="BL48" s="319"/>
      <c r="BM48" s="319"/>
      <c r="BN48" s="319"/>
      <c r="BO48" s="319"/>
      <c r="BP48" s="319"/>
    </row>
    <row r="49" spans="49:68" s="21" customFormat="1" ht="22.5" customHeight="1" x14ac:dyDescent="0.25">
      <c r="AW49" s="319"/>
      <c r="AX49" s="319"/>
      <c r="AY49" s="319"/>
      <c r="AZ49" s="319"/>
      <c r="BA49" s="319"/>
      <c r="BB49" s="319"/>
      <c r="BC49" s="319"/>
      <c r="BD49" s="319"/>
      <c r="BE49" s="319"/>
      <c r="BF49" s="319"/>
      <c r="BG49" s="319"/>
      <c r="BH49" s="319"/>
      <c r="BI49" s="319"/>
      <c r="BJ49" s="319"/>
      <c r="BK49" s="319"/>
      <c r="BL49" s="319"/>
      <c r="BM49" s="319"/>
      <c r="BN49" s="319"/>
      <c r="BO49" s="319"/>
      <c r="BP49" s="319"/>
    </row>
    <row r="50" spans="49:68" s="21" customFormat="1" ht="22.5" customHeight="1" x14ac:dyDescent="0.25">
      <c r="AW50" s="319"/>
      <c r="AX50" s="319"/>
      <c r="AY50" s="319"/>
      <c r="AZ50" s="319"/>
      <c r="BA50" s="319"/>
      <c r="BB50" s="319"/>
      <c r="BC50" s="319"/>
      <c r="BD50" s="319"/>
      <c r="BE50" s="319"/>
      <c r="BF50" s="319"/>
      <c r="BG50" s="319"/>
      <c r="BH50" s="319"/>
      <c r="BI50" s="319"/>
      <c r="BJ50" s="319"/>
      <c r="BK50" s="319"/>
      <c r="BL50" s="319"/>
      <c r="BM50" s="319"/>
      <c r="BN50" s="319"/>
      <c r="BO50" s="319"/>
      <c r="BP50" s="319"/>
    </row>
    <row r="51" spans="49:68" s="21" customFormat="1" ht="22.5" customHeight="1" x14ac:dyDescent="0.25">
      <c r="AW51" s="319"/>
      <c r="AX51" s="319"/>
      <c r="AY51" s="319"/>
      <c r="AZ51" s="319"/>
      <c r="BA51" s="319"/>
      <c r="BB51" s="319"/>
      <c r="BC51" s="319"/>
      <c r="BD51" s="319"/>
      <c r="BE51" s="319"/>
      <c r="BF51" s="319"/>
      <c r="BG51" s="319"/>
      <c r="BH51" s="319"/>
      <c r="BI51" s="319"/>
      <c r="BJ51" s="319"/>
      <c r="BK51" s="319"/>
      <c r="BL51" s="319"/>
      <c r="BM51" s="319"/>
      <c r="BN51" s="319"/>
      <c r="BO51" s="319"/>
      <c r="BP51" s="319"/>
    </row>
    <row r="52" spans="49:68" s="21" customFormat="1" ht="22.5" customHeight="1" x14ac:dyDescent="0.25">
      <c r="AW52" s="319"/>
      <c r="AX52" s="319"/>
      <c r="AY52" s="319"/>
      <c r="AZ52" s="319"/>
      <c r="BA52" s="319"/>
      <c r="BB52" s="319"/>
      <c r="BC52" s="319"/>
      <c r="BD52" s="319"/>
      <c r="BE52" s="319"/>
      <c r="BF52" s="319"/>
      <c r="BG52" s="319"/>
      <c r="BH52" s="319"/>
      <c r="BI52" s="319"/>
      <c r="BJ52" s="319"/>
      <c r="BK52" s="319"/>
      <c r="BL52" s="319"/>
      <c r="BM52" s="319"/>
      <c r="BN52" s="319"/>
      <c r="BO52" s="319"/>
      <c r="BP52" s="319"/>
    </row>
    <row r="53" spans="49:68" s="21" customFormat="1" ht="22.5" customHeight="1" x14ac:dyDescent="0.25">
      <c r="AW53" s="319"/>
      <c r="AX53" s="319"/>
      <c r="AY53" s="319"/>
      <c r="AZ53" s="319"/>
      <c r="BA53" s="319"/>
      <c r="BB53" s="319"/>
      <c r="BC53" s="319"/>
      <c r="BD53" s="319"/>
      <c r="BE53" s="319"/>
      <c r="BF53" s="319"/>
      <c r="BG53" s="319"/>
      <c r="BH53" s="319"/>
      <c r="BI53" s="319"/>
      <c r="BJ53" s="319"/>
      <c r="BK53" s="319"/>
      <c r="BL53" s="319"/>
      <c r="BM53" s="319"/>
      <c r="BN53" s="319"/>
      <c r="BO53" s="319"/>
      <c r="BP53" s="319"/>
    </row>
    <row r="54" spans="49:68" s="21" customFormat="1" ht="22.5" customHeight="1" x14ac:dyDescent="0.25">
      <c r="AW54" s="319"/>
      <c r="AX54" s="319"/>
      <c r="AY54" s="319"/>
      <c r="AZ54" s="319"/>
      <c r="BA54" s="319"/>
      <c r="BB54" s="319"/>
      <c r="BC54" s="319"/>
      <c r="BD54" s="319"/>
      <c r="BE54" s="319"/>
      <c r="BF54" s="319"/>
      <c r="BG54" s="319"/>
      <c r="BH54" s="319"/>
      <c r="BI54" s="319"/>
      <c r="BJ54" s="319"/>
      <c r="BK54" s="319"/>
      <c r="BL54" s="319"/>
      <c r="BM54" s="319"/>
      <c r="BN54" s="319"/>
      <c r="BO54" s="319"/>
      <c r="BP54" s="319"/>
    </row>
    <row r="55" spans="49:68" s="21" customFormat="1" ht="22.5" customHeight="1" x14ac:dyDescent="0.25">
      <c r="AW55" s="319"/>
      <c r="AX55" s="319"/>
      <c r="AY55" s="319"/>
      <c r="AZ55" s="319"/>
      <c r="BA55" s="319"/>
      <c r="BB55" s="319"/>
      <c r="BC55" s="319"/>
      <c r="BD55" s="319"/>
      <c r="BE55" s="319"/>
      <c r="BF55" s="319"/>
      <c r="BG55" s="319"/>
      <c r="BH55" s="319"/>
      <c r="BI55" s="319"/>
      <c r="BJ55" s="319"/>
      <c r="BK55" s="319"/>
      <c r="BL55" s="319"/>
      <c r="BM55" s="319"/>
      <c r="BN55" s="319"/>
      <c r="BO55" s="319"/>
      <c r="BP55" s="319"/>
    </row>
    <row r="56" spans="49:68" s="21" customFormat="1" ht="22.5" customHeight="1" x14ac:dyDescent="0.25">
      <c r="AW56" s="319"/>
      <c r="AX56" s="319"/>
      <c r="AY56" s="319"/>
      <c r="AZ56" s="319"/>
      <c r="BA56" s="319"/>
      <c r="BB56" s="319"/>
      <c r="BC56" s="319"/>
      <c r="BD56" s="319"/>
      <c r="BE56" s="319"/>
      <c r="BF56" s="319"/>
      <c r="BG56" s="319"/>
      <c r="BH56" s="319"/>
      <c r="BI56" s="319"/>
      <c r="BJ56" s="319"/>
      <c r="BK56" s="319"/>
      <c r="BL56" s="319"/>
      <c r="BM56" s="319"/>
      <c r="BN56" s="319"/>
      <c r="BO56" s="319"/>
      <c r="BP56" s="319"/>
    </row>
    <row r="57" spans="49:68" s="21" customFormat="1" ht="22.5" customHeight="1" x14ac:dyDescent="0.25">
      <c r="AW57" s="319"/>
      <c r="AX57" s="319"/>
      <c r="AY57" s="319"/>
      <c r="AZ57" s="319"/>
      <c r="BA57" s="319"/>
      <c r="BB57" s="319"/>
      <c r="BC57" s="319"/>
      <c r="BD57" s="319"/>
      <c r="BE57" s="319"/>
      <c r="BF57" s="319"/>
      <c r="BG57" s="319"/>
      <c r="BH57" s="319"/>
      <c r="BI57" s="319"/>
      <c r="BJ57" s="319"/>
      <c r="BK57" s="319"/>
      <c r="BL57" s="319"/>
      <c r="BM57" s="319"/>
      <c r="BN57" s="319"/>
      <c r="BO57" s="319"/>
      <c r="BP57" s="319"/>
    </row>
    <row r="58" spans="49:68" s="21" customFormat="1" ht="22.5" customHeight="1" x14ac:dyDescent="0.25">
      <c r="AW58" s="319"/>
      <c r="AX58" s="319"/>
      <c r="AY58" s="319"/>
      <c r="AZ58" s="319"/>
      <c r="BA58" s="319"/>
      <c r="BB58" s="319"/>
      <c r="BC58" s="319"/>
      <c r="BD58" s="319"/>
      <c r="BE58" s="319"/>
      <c r="BF58" s="319"/>
      <c r="BG58" s="319"/>
      <c r="BH58" s="319"/>
      <c r="BI58" s="319"/>
      <c r="BJ58" s="319"/>
      <c r="BK58" s="319"/>
      <c r="BL58" s="319"/>
      <c r="BM58" s="319"/>
      <c r="BN58" s="319"/>
      <c r="BO58" s="319"/>
      <c r="BP58" s="319"/>
    </row>
  </sheetData>
  <sheetProtection algorithmName="SHA-512" hashValue="eNUw3Us0GALWdTGd5NIVzy7yQP0axOyvnTBXBtf0a9wVsqhyZEhAMbX2UlslNWUsUndr7ke8pnvQvswH3y65cQ==" saltValue="AQ1b5TFhiXkHf4OucNmD5A==" spinCount="100000" sheet="1" objects="1" scenarios="1" selectLockedCells="1" selectUnlockedCells="1"/>
  <mergeCells count="93">
    <mergeCell ref="AS16:AV16"/>
    <mergeCell ref="AS17:AV17"/>
    <mergeCell ref="AS18:AV18"/>
    <mergeCell ref="Y19:Z19"/>
    <mergeCell ref="AC19:AD19"/>
    <mergeCell ref="AG19:AH19"/>
    <mergeCell ref="AK19:AL19"/>
    <mergeCell ref="AO19:AP19"/>
    <mergeCell ref="AS19:AT19"/>
    <mergeCell ref="AC16:AF16"/>
    <mergeCell ref="AC17:AF17"/>
    <mergeCell ref="AC18:AF18"/>
    <mergeCell ref="AK16:AN16"/>
    <mergeCell ref="AK17:AN17"/>
    <mergeCell ref="AK18:AN18"/>
    <mergeCell ref="E13:E15"/>
    <mergeCell ref="F13:F15"/>
    <mergeCell ref="I17:I18"/>
    <mergeCell ref="Q16:U16"/>
    <mergeCell ref="Q17:U17"/>
    <mergeCell ref="Q18:U18"/>
    <mergeCell ref="AQ13:AQ15"/>
    <mergeCell ref="AR13:AR15"/>
    <mergeCell ref="AG13:AG15"/>
    <mergeCell ref="AH13:AH15"/>
    <mergeCell ref="AI13:AI15"/>
    <mergeCell ref="AJ13:AJ15"/>
    <mergeCell ref="AO13:AO15"/>
    <mergeCell ref="AP13:AP15"/>
    <mergeCell ref="AR7:AR11"/>
    <mergeCell ref="A13:A15"/>
    <mergeCell ref="B13:B15"/>
    <mergeCell ref="C13:C15"/>
    <mergeCell ref="D13:D15"/>
    <mergeCell ref="L13:L15"/>
    <mergeCell ref="M13:M15"/>
    <mergeCell ref="N13:N15"/>
    <mergeCell ref="AH7:AH11"/>
    <mergeCell ref="AI7:AI11"/>
    <mergeCell ref="AJ7:AJ11"/>
    <mergeCell ref="AO7:AO11"/>
    <mergeCell ref="AP7:AP11"/>
    <mergeCell ref="AQ7:AQ11"/>
    <mergeCell ref="Y7:Y11"/>
    <mergeCell ref="Z7:Z11"/>
    <mergeCell ref="AA7:AA11"/>
    <mergeCell ref="AB7:AB11"/>
    <mergeCell ref="X7:X18"/>
    <mergeCell ref="AG7:AG11"/>
    <mergeCell ref="Y13:Y15"/>
    <mergeCell ref="Z13:Z15"/>
    <mergeCell ref="AA13:AA15"/>
    <mergeCell ref="AB13:AB15"/>
    <mergeCell ref="F7:F11"/>
    <mergeCell ref="W7:W15"/>
    <mergeCell ref="O13:O15"/>
    <mergeCell ref="P13:P15"/>
    <mergeCell ref="G7:G18"/>
    <mergeCell ref="H7:H18"/>
    <mergeCell ref="I7:I16"/>
    <mergeCell ref="J7:J18"/>
    <mergeCell ref="K7:K18"/>
    <mergeCell ref="L7:L11"/>
    <mergeCell ref="M7:M11"/>
    <mergeCell ref="N7:N11"/>
    <mergeCell ref="O7:O11"/>
    <mergeCell ref="P7:P11"/>
    <mergeCell ref="V7:V15"/>
    <mergeCell ref="A7:A11"/>
    <mergeCell ref="B7:B11"/>
    <mergeCell ref="C7:C11"/>
    <mergeCell ref="E7:E11"/>
    <mergeCell ref="D7:D11"/>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C1:X3"/>
    <mergeCell ref="A4:K4"/>
    <mergeCell ref="L4:P5"/>
    <mergeCell ref="Q4:U5"/>
    <mergeCell ref="V4:W5"/>
    <mergeCell ref="X4:X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5F2A-ABE3-41BB-B9E4-371C26F03A12}">
  <sheetPr>
    <tabColor theme="9" tint="-0.249977111117893"/>
  </sheetPr>
  <dimension ref="A1:AAF618"/>
  <sheetViews>
    <sheetView topLeftCell="Y1" zoomScaleNormal="100" workbookViewId="0">
      <selection activeCell="AC79" sqref="AC79:AE79"/>
    </sheetView>
  </sheetViews>
  <sheetFormatPr baseColWidth="10" defaultColWidth="11.42578125" defaultRowHeight="22.5" customHeight="1" x14ac:dyDescent="0.25"/>
  <cols>
    <col min="1" max="1" width="22.42578125" style="94" customWidth="1"/>
    <col min="2" max="2" width="26.7109375" style="94" customWidth="1"/>
    <col min="3" max="3" width="23.85546875" style="94" customWidth="1"/>
    <col min="4" max="4" width="33.42578125" style="94" customWidth="1"/>
    <col min="5" max="5" width="43.42578125" style="94" customWidth="1"/>
    <col min="6" max="6" width="17.140625" style="94" customWidth="1"/>
    <col min="7" max="7" width="26.7109375" style="94" customWidth="1"/>
    <col min="8" max="8" width="16.7109375" style="94" customWidth="1"/>
    <col min="9" max="9" width="17.28515625" style="94" customWidth="1"/>
    <col min="10" max="10" width="16.85546875" style="94" customWidth="1"/>
    <col min="11" max="11" width="12.5703125" style="94" customWidth="1"/>
    <col min="12" max="12" width="29.5703125" style="94" customWidth="1"/>
    <col min="13" max="13" width="35.42578125" style="94" customWidth="1"/>
    <col min="14" max="14" width="12.28515625" style="94" customWidth="1"/>
    <col min="15" max="15" width="10.7109375" style="94" customWidth="1"/>
    <col min="16" max="16" width="12.28515625" style="94" customWidth="1"/>
    <col min="17" max="17" width="25.28515625" style="94" customWidth="1"/>
    <col min="18" max="18" width="34" style="94" customWidth="1"/>
    <col min="19" max="19" width="19.28515625" style="142" customWidth="1"/>
    <col min="20" max="20" width="11.7109375" style="94" customWidth="1"/>
    <col min="21" max="21" width="18" style="94" customWidth="1"/>
    <col min="22" max="22" width="17" style="145" customWidth="1"/>
    <col min="23" max="23" width="18.5703125" style="145" customWidth="1"/>
    <col min="24" max="24" width="20.7109375" style="94" customWidth="1"/>
    <col min="25" max="25" width="12.85546875" style="94" customWidth="1"/>
    <col min="26" max="26" width="7.140625" style="94" customWidth="1"/>
    <col min="27" max="27" width="20.7109375" style="94" customWidth="1"/>
    <col min="28" max="28" width="37.7109375" style="94" customWidth="1"/>
    <col min="29" max="29" width="11.5703125" style="94" customWidth="1"/>
    <col min="30" max="30" width="8.140625" style="94" customWidth="1"/>
    <col min="31" max="31" width="20.42578125" style="94" customWidth="1"/>
    <col min="32" max="32" width="43" style="142" customWidth="1"/>
    <col min="33" max="33" width="12.85546875" style="94" customWidth="1"/>
    <col min="34" max="34" width="7.140625" style="94" customWidth="1"/>
    <col min="35" max="35" width="20.7109375" style="94" customWidth="1"/>
    <col min="36" max="36" width="37.7109375" style="94" customWidth="1"/>
    <col min="37" max="37" width="11.5703125" style="94" customWidth="1"/>
    <col min="38" max="38" width="8.140625" style="94" customWidth="1"/>
    <col min="39" max="39" width="20.42578125" style="94" customWidth="1"/>
    <col min="40" max="40" width="43" style="142" customWidth="1"/>
    <col min="41" max="41" width="12.85546875" style="94" customWidth="1"/>
    <col min="42" max="42" width="7.140625" style="94" customWidth="1"/>
    <col min="43" max="43" width="20.7109375" style="94" customWidth="1"/>
    <col min="44" max="44" width="37.7109375" style="94" customWidth="1"/>
    <col min="45" max="45" width="11.5703125" style="94" customWidth="1"/>
    <col min="46" max="46" width="8.140625" style="94" customWidth="1"/>
    <col min="47" max="47" width="20.42578125" style="94" customWidth="1"/>
    <col min="48" max="48" width="43" style="142" customWidth="1"/>
    <col min="49" max="708" width="11.42578125" style="21"/>
    <col min="709" max="16384" width="11.42578125" style="94"/>
  </cols>
  <sheetData>
    <row r="1" spans="1:708"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708"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708"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708" s="7" customFormat="1" ht="12.75" customHeight="1" x14ac:dyDescent="0.25">
      <c r="A4" s="453" t="s">
        <v>5</v>
      </c>
      <c r="B4" s="454"/>
      <c r="C4" s="454"/>
      <c r="D4" s="454"/>
      <c r="E4" s="454"/>
      <c r="F4" s="454"/>
      <c r="G4" s="454"/>
      <c r="H4" s="454"/>
      <c r="I4" s="454"/>
      <c r="J4" s="454"/>
      <c r="K4" s="455"/>
      <c r="L4" s="456" t="s">
        <v>6</v>
      </c>
      <c r="M4" s="457"/>
      <c r="N4" s="457"/>
      <c r="O4" s="457"/>
      <c r="P4" s="458"/>
      <c r="Q4" s="456" t="s">
        <v>7</v>
      </c>
      <c r="R4" s="457"/>
      <c r="S4" s="457"/>
      <c r="T4" s="457"/>
      <c r="U4" s="458"/>
      <c r="V4" s="498" t="s">
        <v>8</v>
      </c>
      <c r="W4" s="499"/>
      <c r="X4" s="466" t="s">
        <v>9</v>
      </c>
      <c r="Y4" s="459" t="s">
        <v>10</v>
      </c>
      <c r="Z4" s="460"/>
      <c r="AA4" s="460"/>
      <c r="AB4" s="460"/>
      <c r="AC4" s="460"/>
      <c r="AD4" s="460"/>
      <c r="AE4" s="460"/>
      <c r="AF4" s="461"/>
      <c r="AG4" s="459" t="s">
        <v>11</v>
      </c>
      <c r="AH4" s="460"/>
      <c r="AI4" s="460"/>
      <c r="AJ4" s="460"/>
      <c r="AK4" s="460"/>
      <c r="AL4" s="460"/>
      <c r="AM4" s="460"/>
      <c r="AN4" s="461"/>
      <c r="AO4" s="459" t="s">
        <v>12</v>
      </c>
      <c r="AP4" s="460"/>
      <c r="AQ4" s="460"/>
      <c r="AR4" s="460"/>
      <c r="AS4" s="460"/>
      <c r="AT4" s="460"/>
      <c r="AU4" s="460"/>
      <c r="AV4" s="461"/>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row>
    <row r="5" spans="1:708" s="9" customFormat="1" ht="15" x14ac:dyDescent="0.25">
      <c r="A5" s="468" t="s">
        <v>13</v>
      </c>
      <c r="B5" s="469"/>
      <c r="C5" s="470"/>
      <c r="D5" s="8" t="s">
        <v>14</v>
      </c>
      <c r="E5" s="468" t="s">
        <v>15</v>
      </c>
      <c r="F5" s="470"/>
      <c r="G5" s="468" t="s">
        <v>16</v>
      </c>
      <c r="H5" s="469"/>
      <c r="I5" s="470"/>
      <c r="J5" s="471" t="s">
        <v>17</v>
      </c>
      <c r="K5" s="471" t="s">
        <v>18</v>
      </c>
      <c r="L5" s="459"/>
      <c r="M5" s="460"/>
      <c r="N5" s="460"/>
      <c r="O5" s="460"/>
      <c r="P5" s="461"/>
      <c r="Q5" s="459"/>
      <c r="R5" s="460"/>
      <c r="S5" s="460"/>
      <c r="T5" s="460"/>
      <c r="U5" s="461"/>
      <c r="V5" s="500"/>
      <c r="W5" s="501"/>
      <c r="X5" s="467"/>
      <c r="Y5" s="468" t="s">
        <v>19</v>
      </c>
      <c r="Z5" s="469"/>
      <c r="AA5" s="469"/>
      <c r="AB5" s="473"/>
      <c r="AC5" s="474" t="s">
        <v>20</v>
      </c>
      <c r="AD5" s="469"/>
      <c r="AE5" s="469"/>
      <c r="AF5" s="470"/>
      <c r="AG5" s="468" t="s">
        <v>19</v>
      </c>
      <c r="AH5" s="469"/>
      <c r="AI5" s="469"/>
      <c r="AJ5" s="473"/>
      <c r="AK5" s="474" t="s">
        <v>20</v>
      </c>
      <c r="AL5" s="469"/>
      <c r="AM5" s="469"/>
      <c r="AN5" s="470"/>
      <c r="AO5" s="468" t="s">
        <v>19</v>
      </c>
      <c r="AP5" s="469"/>
      <c r="AQ5" s="469"/>
      <c r="AR5" s="473"/>
      <c r="AS5" s="474" t="s">
        <v>20</v>
      </c>
      <c r="AT5" s="469"/>
      <c r="AU5" s="469"/>
      <c r="AV5" s="470"/>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row>
    <row r="6" spans="1:708" s="7" customFormat="1" ht="25.5" customHeight="1" x14ac:dyDescent="0.25">
      <c r="A6" s="10" t="s">
        <v>21</v>
      </c>
      <c r="B6" s="10" t="s">
        <v>22</v>
      </c>
      <c r="C6" s="11" t="s">
        <v>23</v>
      </c>
      <c r="D6" s="11" t="s">
        <v>24</v>
      </c>
      <c r="E6" s="11" t="s">
        <v>25</v>
      </c>
      <c r="F6" s="11" t="s">
        <v>26</v>
      </c>
      <c r="G6" s="11" t="s">
        <v>27</v>
      </c>
      <c r="H6" s="11" t="s">
        <v>28</v>
      </c>
      <c r="I6" s="11" t="s">
        <v>29</v>
      </c>
      <c r="J6" s="502"/>
      <c r="K6" s="502"/>
      <c r="L6" s="11" t="s">
        <v>6</v>
      </c>
      <c r="M6" s="11" t="s">
        <v>30</v>
      </c>
      <c r="N6" s="12" t="s">
        <v>31</v>
      </c>
      <c r="O6" s="12" t="s">
        <v>32</v>
      </c>
      <c r="P6" s="12" t="s">
        <v>33</v>
      </c>
      <c r="Q6" s="11" t="s">
        <v>7</v>
      </c>
      <c r="R6" s="11" t="s">
        <v>34</v>
      </c>
      <c r="S6" s="11" t="s">
        <v>31</v>
      </c>
      <c r="T6" s="11" t="s">
        <v>32</v>
      </c>
      <c r="U6" s="11" t="s">
        <v>35</v>
      </c>
      <c r="V6" s="13" t="s">
        <v>36</v>
      </c>
      <c r="W6" s="13" t="s">
        <v>37</v>
      </c>
      <c r="X6" s="11" t="s">
        <v>38</v>
      </c>
      <c r="Y6" s="11" t="s">
        <v>39</v>
      </c>
      <c r="Z6" s="11" t="s">
        <v>40</v>
      </c>
      <c r="AA6" s="11" t="s">
        <v>41</v>
      </c>
      <c r="AB6" s="11" t="s">
        <v>42</v>
      </c>
      <c r="AC6" s="11" t="s">
        <v>39</v>
      </c>
      <c r="AD6" s="11" t="s">
        <v>40</v>
      </c>
      <c r="AE6" s="11" t="s">
        <v>41</v>
      </c>
      <c r="AF6" s="11" t="s">
        <v>42</v>
      </c>
      <c r="AG6" s="12" t="s">
        <v>39</v>
      </c>
      <c r="AH6" s="12" t="s">
        <v>40</v>
      </c>
      <c r="AI6" s="12" t="s">
        <v>41</v>
      </c>
      <c r="AJ6" s="12" t="s">
        <v>42</v>
      </c>
      <c r="AK6" s="12" t="s">
        <v>39</v>
      </c>
      <c r="AL6" s="12" t="s">
        <v>40</v>
      </c>
      <c r="AM6" s="12" t="s">
        <v>41</v>
      </c>
      <c r="AN6" s="12" t="s">
        <v>42</v>
      </c>
      <c r="AO6" s="11" t="s">
        <v>39</v>
      </c>
      <c r="AP6" s="11" t="s">
        <v>40</v>
      </c>
      <c r="AQ6" s="11" t="s">
        <v>41</v>
      </c>
      <c r="AR6" s="11" t="s">
        <v>42</v>
      </c>
      <c r="AS6" s="11" t="s">
        <v>39</v>
      </c>
      <c r="AT6" s="11" t="s">
        <v>40</v>
      </c>
      <c r="AU6" s="11" t="s">
        <v>41</v>
      </c>
      <c r="AV6" s="11" t="s">
        <v>42</v>
      </c>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row>
    <row r="7" spans="1:708" s="22" customFormat="1" ht="55.5" customHeight="1" x14ac:dyDescent="0.25">
      <c r="A7" s="503" t="s">
        <v>43</v>
      </c>
      <c r="B7" s="505" t="s">
        <v>44</v>
      </c>
      <c r="C7" s="507" t="s">
        <v>45</v>
      </c>
      <c r="D7" s="509" t="s">
        <v>46</v>
      </c>
      <c r="E7" s="509" t="s">
        <v>47</v>
      </c>
      <c r="F7" s="509" t="s">
        <v>48</v>
      </c>
      <c r="G7" s="509" t="s">
        <v>49</v>
      </c>
      <c r="H7" s="509" t="s">
        <v>50</v>
      </c>
      <c r="I7" s="509" t="s">
        <v>51</v>
      </c>
      <c r="J7" s="509" t="s">
        <v>52</v>
      </c>
      <c r="K7" s="509" t="s">
        <v>53</v>
      </c>
      <c r="L7" s="509" t="s">
        <v>54</v>
      </c>
      <c r="M7" s="509" t="s">
        <v>55</v>
      </c>
      <c r="N7" s="509" t="s">
        <v>56</v>
      </c>
      <c r="O7" s="509"/>
      <c r="P7" s="509">
        <v>480</v>
      </c>
      <c r="Q7" s="14" t="s">
        <v>57</v>
      </c>
      <c r="R7" s="14" t="s">
        <v>58</v>
      </c>
      <c r="S7" s="15" t="s">
        <v>56</v>
      </c>
      <c r="T7" s="15"/>
      <c r="U7" s="15">
        <v>139</v>
      </c>
      <c r="V7" s="16">
        <v>779377189</v>
      </c>
      <c r="W7" s="511">
        <v>64326892613</v>
      </c>
      <c r="X7" s="17" t="s">
        <v>59</v>
      </c>
      <c r="Y7" s="512">
        <v>41</v>
      </c>
      <c r="Z7" s="512">
        <f>+P7</f>
        <v>480</v>
      </c>
      <c r="AA7" s="532">
        <f>+Y7/Z7</f>
        <v>8.5416666666666669E-2</v>
      </c>
      <c r="AB7" s="534" t="s">
        <v>60</v>
      </c>
      <c r="AC7" s="15">
        <v>6</v>
      </c>
      <c r="AD7" s="15">
        <f>+U7</f>
        <v>139</v>
      </c>
      <c r="AE7" s="18">
        <f>+AC7/AD7</f>
        <v>4.3165467625899283E-2</v>
      </c>
      <c r="AF7" s="15" t="s">
        <v>61</v>
      </c>
      <c r="AG7" s="522">
        <v>77</v>
      </c>
      <c r="AH7" s="522">
        <v>480</v>
      </c>
      <c r="AI7" s="524">
        <v>0.16041666666666668</v>
      </c>
      <c r="AJ7" s="520" t="s">
        <v>62</v>
      </c>
      <c r="AK7" s="19">
        <v>17</v>
      </c>
      <c r="AL7" s="19">
        <v>139</v>
      </c>
      <c r="AM7" s="20">
        <v>0.1223021582733813</v>
      </c>
      <c r="AN7" s="19" t="s">
        <v>63</v>
      </c>
      <c r="AO7" s="522">
        <v>108</v>
      </c>
      <c r="AP7" s="522">
        <f>+P7</f>
        <v>480</v>
      </c>
      <c r="AQ7" s="524">
        <f>+AO7/AP7</f>
        <v>0.22500000000000001</v>
      </c>
      <c r="AR7" s="520" t="s">
        <v>64</v>
      </c>
      <c r="AS7" s="19">
        <v>20</v>
      </c>
      <c r="AT7" s="19">
        <f>+U7</f>
        <v>139</v>
      </c>
      <c r="AU7" s="20">
        <f>+AS7/AT7</f>
        <v>0.14388489208633093</v>
      </c>
      <c r="AV7" s="19" t="s">
        <v>65</v>
      </c>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row>
    <row r="8" spans="1:708" s="33" customFormat="1" ht="55.5" customHeight="1" x14ac:dyDescent="0.25">
      <c r="A8" s="504"/>
      <c r="B8" s="506"/>
      <c r="C8" s="508"/>
      <c r="D8" s="510"/>
      <c r="E8" s="510"/>
      <c r="F8" s="510"/>
      <c r="G8" s="510"/>
      <c r="H8" s="510"/>
      <c r="I8" s="510"/>
      <c r="J8" s="510"/>
      <c r="K8" s="510"/>
      <c r="L8" s="510"/>
      <c r="M8" s="510"/>
      <c r="N8" s="510"/>
      <c r="O8" s="510"/>
      <c r="P8" s="510"/>
      <c r="Q8" s="23" t="s">
        <v>66</v>
      </c>
      <c r="R8" s="23" t="s">
        <v>67</v>
      </c>
      <c r="S8" s="24" t="s">
        <v>56</v>
      </c>
      <c r="T8" s="24"/>
      <c r="U8" s="24">
        <v>436</v>
      </c>
      <c r="V8" s="25">
        <v>779377189</v>
      </c>
      <c r="W8" s="511"/>
      <c r="X8" s="26" t="s">
        <v>59</v>
      </c>
      <c r="Y8" s="513"/>
      <c r="Z8" s="513"/>
      <c r="AA8" s="533"/>
      <c r="AB8" s="535"/>
      <c r="AC8" s="27">
        <v>24</v>
      </c>
      <c r="AD8" s="27">
        <f>+U8</f>
        <v>436</v>
      </c>
      <c r="AE8" s="28">
        <f>+AC8/AD8</f>
        <v>5.5045871559633031E-2</v>
      </c>
      <c r="AF8" s="29" t="s">
        <v>68</v>
      </c>
      <c r="AG8" s="523"/>
      <c r="AH8" s="523"/>
      <c r="AI8" s="525"/>
      <c r="AJ8" s="521"/>
      <c r="AK8" s="30">
        <v>52</v>
      </c>
      <c r="AL8" s="30">
        <v>436</v>
      </c>
      <c r="AM8" s="31">
        <v>0.11926605504587157</v>
      </c>
      <c r="AN8" s="32" t="s">
        <v>69</v>
      </c>
      <c r="AO8" s="523"/>
      <c r="AP8" s="523"/>
      <c r="AQ8" s="525"/>
      <c r="AR8" s="521"/>
      <c r="AS8" s="30">
        <v>77</v>
      </c>
      <c r="AT8" s="30">
        <f>+U8</f>
        <v>436</v>
      </c>
      <c r="AU8" s="31">
        <f>+AS8/AT8</f>
        <v>0.17660550458715596</v>
      </c>
      <c r="AV8" s="32" t="s">
        <v>70</v>
      </c>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row>
    <row r="9" spans="1:708" s="22" customFormat="1" ht="70.5" customHeight="1" x14ac:dyDescent="0.25">
      <c r="A9" s="504"/>
      <c r="B9" s="506"/>
      <c r="C9" s="14" t="s">
        <v>45</v>
      </c>
      <c r="D9" s="14" t="s">
        <v>46</v>
      </c>
      <c r="E9" s="15" t="s">
        <v>71</v>
      </c>
      <c r="F9" s="15" t="s">
        <v>48</v>
      </c>
      <c r="G9" s="15" t="s">
        <v>49</v>
      </c>
      <c r="H9" s="14" t="s">
        <v>50</v>
      </c>
      <c r="I9" s="15" t="s">
        <v>51</v>
      </c>
      <c r="J9" s="15" t="s">
        <v>52</v>
      </c>
      <c r="K9" s="14" t="s">
        <v>53</v>
      </c>
      <c r="L9" s="14" t="s">
        <v>72</v>
      </c>
      <c r="M9" s="14" t="s">
        <v>73</v>
      </c>
      <c r="N9" s="15" t="s">
        <v>74</v>
      </c>
      <c r="O9" s="15"/>
      <c r="P9" s="34">
        <v>0.89</v>
      </c>
      <c r="Q9" s="35"/>
      <c r="R9" s="36"/>
      <c r="S9" s="37"/>
      <c r="T9" s="36"/>
      <c r="U9" s="38"/>
      <c r="V9" s="16">
        <v>866003712</v>
      </c>
      <c r="W9" s="511"/>
      <c r="X9" s="39" t="s">
        <v>59</v>
      </c>
      <c r="Y9" s="40">
        <f>16/16</f>
        <v>1</v>
      </c>
      <c r="Z9" s="40">
        <f>+P9</f>
        <v>0.89</v>
      </c>
      <c r="AA9" s="40">
        <f>+Y9/Z9</f>
        <v>1.1235955056179776</v>
      </c>
      <c r="AB9" s="41" t="s">
        <v>75</v>
      </c>
      <c r="AC9" s="526"/>
      <c r="AD9" s="527"/>
      <c r="AE9" s="527"/>
      <c r="AF9" s="528"/>
      <c r="AG9" s="42">
        <v>1</v>
      </c>
      <c r="AH9" s="42">
        <v>0.89</v>
      </c>
      <c r="AI9" s="42">
        <v>1.1235955056179776</v>
      </c>
      <c r="AJ9" s="43" t="s">
        <v>76</v>
      </c>
      <c r="AK9" s="529"/>
      <c r="AL9" s="530"/>
      <c r="AM9" s="530"/>
      <c r="AN9" s="531"/>
      <c r="AO9" s="42">
        <f>39/39</f>
        <v>1</v>
      </c>
      <c r="AP9" s="42">
        <f>+P9</f>
        <v>0.89</v>
      </c>
      <c r="AQ9" s="42">
        <f>+AO9/AP9</f>
        <v>1.1235955056179776</v>
      </c>
      <c r="AR9" s="43" t="s">
        <v>77</v>
      </c>
      <c r="AS9" s="529"/>
      <c r="AT9" s="530"/>
      <c r="AU9" s="530"/>
      <c r="AV9" s="53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c r="TS9" s="21"/>
      <c r="TT9" s="21"/>
      <c r="TU9" s="21"/>
      <c r="TV9" s="21"/>
      <c r="TW9" s="21"/>
      <c r="TX9" s="21"/>
      <c r="TY9" s="21"/>
      <c r="TZ9" s="21"/>
      <c r="UA9" s="21"/>
      <c r="UB9" s="21"/>
      <c r="UC9" s="21"/>
      <c r="UD9" s="21"/>
      <c r="UE9" s="21"/>
      <c r="UF9" s="21"/>
      <c r="UG9" s="21"/>
      <c r="UH9" s="21"/>
      <c r="UI9" s="21"/>
      <c r="UJ9" s="21"/>
      <c r="UK9" s="21"/>
      <c r="UL9" s="21"/>
      <c r="UM9" s="21"/>
      <c r="UN9" s="21"/>
      <c r="UO9" s="21"/>
      <c r="UP9" s="21"/>
      <c r="UQ9" s="21"/>
      <c r="UR9" s="21"/>
      <c r="US9" s="21"/>
      <c r="UT9" s="21"/>
      <c r="UU9" s="21"/>
      <c r="UV9" s="21"/>
      <c r="UW9" s="21"/>
      <c r="UX9" s="21"/>
      <c r="UY9" s="21"/>
      <c r="UZ9" s="21"/>
      <c r="VA9" s="21"/>
      <c r="VB9" s="21"/>
      <c r="VC9" s="21"/>
      <c r="VD9" s="21"/>
      <c r="VE9" s="21"/>
      <c r="VF9" s="21"/>
      <c r="VG9" s="21"/>
      <c r="VH9" s="21"/>
      <c r="VI9" s="21"/>
      <c r="VJ9" s="21"/>
      <c r="VK9" s="21"/>
      <c r="VL9" s="21"/>
      <c r="VM9" s="21"/>
      <c r="VN9" s="21"/>
      <c r="VO9" s="21"/>
      <c r="VP9" s="21"/>
      <c r="VQ9" s="21"/>
      <c r="VR9" s="21"/>
      <c r="VS9" s="21"/>
      <c r="VT9" s="21"/>
      <c r="VU9" s="21"/>
      <c r="VV9" s="21"/>
      <c r="VW9" s="21"/>
      <c r="VX9" s="21"/>
      <c r="VY9" s="21"/>
      <c r="VZ9" s="21"/>
      <c r="WA9" s="21"/>
      <c r="WB9" s="21"/>
      <c r="WC9" s="21"/>
      <c r="WD9" s="21"/>
      <c r="WE9" s="21"/>
      <c r="WF9" s="21"/>
      <c r="WG9" s="21"/>
      <c r="WH9" s="21"/>
      <c r="WI9" s="21"/>
      <c r="WJ9" s="21"/>
      <c r="WK9" s="21"/>
      <c r="WL9" s="21"/>
      <c r="WM9" s="21"/>
      <c r="WN9" s="21"/>
      <c r="WO9" s="21"/>
      <c r="WP9" s="21"/>
      <c r="WQ9" s="21"/>
      <c r="WR9" s="21"/>
      <c r="WS9" s="21"/>
      <c r="WT9" s="21"/>
      <c r="WU9" s="21"/>
      <c r="WV9" s="21"/>
      <c r="WW9" s="21"/>
      <c r="WX9" s="21"/>
      <c r="WY9" s="21"/>
      <c r="WZ9" s="21"/>
      <c r="XA9" s="21"/>
      <c r="XB9" s="21"/>
      <c r="XC9" s="21"/>
      <c r="XD9" s="21"/>
      <c r="XE9" s="21"/>
      <c r="XF9" s="21"/>
      <c r="XG9" s="21"/>
      <c r="XH9" s="21"/>
      <c r="XI9" s="21"/>
      <c r="XJ9" s="21"/>
      <c r="XK9" s="21"/>
      <c r="XL9" s="21"/>
      <c r="XM9" s="21"/>
      <c r="XN9" s="21"/>
      <c r="XO9" s="21"/>
      <c r="XP9" s="21"/>
      <c r="XQ9" s="21"/>
      <c r="XR9" s="21"/>
      <c r="XS9" s="21"/>
      <c r="XT9" s="21"/>
      <c r="XU9" s="21"/>
      <c r="XV9" s="21"/>
      <c r="XW9" s="21"/>
      <c r="XX9" s="21"/>
      <c r="XY9" s="21"/>
      <c r="XZ9" s="21"/>
      <c r="YA9" s="21"/>
      <c r="YB9" s="21"/>
      <c r="YC9" s="21"/>
      <c r="YD9" s="21"/>
      <c r="YE9" s="21"/>
      <c r="YF9" s="21"/>
      <c r="YG9" s="21"/>
      <c r="YH9" s="21"/>
      <c r="YI9" s="21"/>
      <c r="YJ9" s="21"/>
      <c r="YK9" s="21"/>
      <c r="YL9" s="21"/>
      <c r="YM9" s="21"/>
      <c r="YN9" s="21"/>
      <c r="YO9" s="21"/>
      <c r="YP9" s="21"/>
      <c r="YQ9" s="21"/>
      <c r="YR9" s="21"/>
      <c r="YS9" s="21"/>
      <c r="YT9" s="21"/>
      <c r="YU9" s="21"/>
      <c r="YV9" s="21"/>
      <c r="YW9" s="21"/>
      <c r="YX9" s="21"/>
      <c r="YY9" s="21"/>
      <c r="YZ9" s="21"/>
      <c r="ZA9" s="21"/>
      <c r="ZB9" s="21"/>
      <c r="ZC9" s="21"/>
      <c r="ZD9" s="21"/>
      <c r="ZE9" s="21"/>
      <c r="ZF9" s="21"/>
      <c r="ZG9" s="21"/>
      <c r="ZH9" s="21"/>
      <c r="ZI9" s="21"/>
      <c r="ZJ9" s="21"/>
      <c r="ZK9" s="21"/>
      <c r="ZL9" s="21"/>
      <c r="ZM9" s="21"/>
      <c r="ZN9" s="21"/>
      <c r="ZO9" s="21"/>
      <c r="ZP9" s="21"/>
      <c r="ZQ9" s="21"/>
      <c r="ZR9" s="21"/>
      <c r="ZS9" s="21"/>
      <c r="ZT9" s="21"/>
      <c r="ZU9" s="21"/>
      <c r="ZV9" s="21"/>
      <c r="ZW9" s="21"/>
      <c r="ZX9" s="21"/>
      <c r="ZY9" s="21"/>
      <c r="ZZ9" s="21"/>
      <c r="AAA9" s="21"/>
      <c r="AAB9" s="21"/>
      <c r="AAC9" s="21"/>
      <c r="AAD9" s="21"/>
      <c r="AAE9" s="21"/>
      <c r="AAF9" s="21"/>
    </row>
    <row r="10" spans="1:708" s="33" customFormat="1" ht="51" customHeight="1" x14ac:dyDescent="0.25">
      <c r="A10" s="504"/>
      <c r="B10" s="506"/>
      <c r="C10" s="514" t="s">
        <v>45</v>
      </c>
      <c r="D10" s="514" t="s">
        <v>46</v>
      </c>
      <c r="E10" s="514" t="s">
        <v>47</v>
      </c>
      <c r="F10" s="514" t="s">
        <v>48</v>
      </c>
      <c r="G10" s="514" t="s">
        <v>49</v>
      </c>
      <c r="H10" s="514" t="s">
        <v>50</v>
      </c>
      <c r="I10" s="514" t="s">
        <v>78</v>
      </c>
      <c r="J10" s="514" t="s">
        <v>52</v>
      </c>
      <c r="K10" s="514" t="s">
        <v>53</v>
      </c>
      <c r="L10" s="514" t="s">
        <v>79</v>
      </c>
      <c r="M10" s="514" t="s">
        <v>80</v>
      </c>
      <c r="N10" s="514" t="s">
        <v>56</v>
      </c>
      <c r="O10" s="514"/>
      <c r="P10" s="514">
        <v>2488</v>
      </c>
      <c r="Q10" s="44" t="s">
        <v>81</v>
      </c>
      <c r="R10" s="44" t="s">
        <v>82</v>
      </c>
      <c r="S10" s="45" t="s">
        <v>56</v>
      </c>
      <c r="T10" s="44"/>
      <c r="U10" s="45">
        <v>989</v>
      </c>
      <c r="V10" s="25">
        <v>2932575877</v>
      </c>
      <c r="W10" s="511"/>
      <c r="X10" s="26" t="s">
        <v>59</v>
      </c>
      <c r="Y10" s="517">
        <f>+Y18+Y26+Y34+Y42+Y50</f>
        <v>49</v>
      </c>
      <c r="Z10" s="536">
        <f>+P10</f>
        <v>2488</v>
      </c>
      <c r="AA10" s="539">
        <f>Y10/Z10</f>
        <v>1.9694533762057879E-2</v>
      </c>
      <c r="AB10" s="542" t="s">
        <v>83</v>
      </c>
      <c r="AC10" s="27">
        <f>+AC18+AC26+AC34+AC42+AC50</f>
        <v>87</v>
      </c>
      <c r="AD10" s="27">
        <f>+U10</f>
        <v>989</v>
      </c>
      <c r="AE10" s="28">
        <f>+AC10/AD10</f>
        <v>8.7967644084934279E-2</v>
      </c>
      <c r="AF10" s="29" t="s">
        <v>84</v>
      </c>
      <c r="AG10" s="545">
        <v>190</v>
      </c>
      <c r="AH10" s="548">
        <v>2488</v>
      </c>
      <c r="AI10" s="551">
        <v>7.6366559485530547E-2</v>
      </c>
      <c r="AJ10" s="554" t="s">
        <v>85</v>
      </c>
      <c r="AK10" s="30">
        <v>192</v>
      </c>
      <c r="AL10" s="30">
        <v>989</v>
      </c>
      <c r="AM10" s="31">
        <v>0.19413549039433772</v>
      </c>
      <c r="AN10" s="32" t="s">
        <v>86</v>
      </c>
      <c r="AO10" s="545">
        <f>+AO18+AO26+AO34+AO42+AO50</f>
        <v>340</v>
      </c>
      <c r="AP10" s="548">
        <f>+P10</f>
        <v>2488</v>
      </c>
      <c r="AQ10" s="551">
        <f>AO10/AP10</f>
        <v>0.13665594855305466</v>
      </c>
      <c r="AR10" s="554" t="s">
        <v>87</v>
      </c>
      <c r="AS10" s="30">
        <f>+AS18+AS26+AS34+AS42+AS50</f>
        <v>274</v>
      </c>
      <c r="AT10" s="30">
        <f>+U10</f>
        <v>989</v>
      </c>
      <c r="AU10" s="31">
        <f>+AS10/AT10</f>
        <v>0.27704752275025279</v>
      </c>
      <c r="AV10" s="32" t="s">
        <v>88</v>
      </c>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row>
    <row r="11" spans="1:708" s="22" customFormat="1" ht="38.25" customHeight="1" x14ac:dyDescent="0.25">
      <c r="A11" s="504"/>
      <c r="B11" s="506"/>
      <c r="C11" s="515"/>
      <c r="D11" s="515"/>
      <c r="E11" s="515"/>
      <c r="F11" s="515"/>
      <c r="G11" s="515"/>
      <c r="H11" s="515"/>
      <c r="I11" s="515"/>
      <c r="J11" s="515"/>
      <c r="K11" s="515"/>
      <c r="L11" s="515"/>
      <c r="M11" s="515"/>
      <c r="N11" s="515"/>
      <c r="O11" s="515"/>
      <c r="P11" s="516"/>
      <c r="Q11" s="14" t="s">
        <v>89</v>
      </c>
      <c r="R11" s="14" t="s">
        <v>90</v>
      </c>
      <c r="S11" s="15" t="s">
        <v>56</v>
      </c>
      <c r="T11" s="14"/>
      <c r="U11" s="15">
        <v>2355</v>
      </c>
      <c r="V11" s="16">
        <v>2932575877</v>
      </c>
      <c r="W11" s="511"/>
      <c r="X11" s="17" t="s">
        <v>59</v>
      </c>
      <c r="Y11" s="518"/>
      <c r="Z11" s="537"/>
      <c r="AA11" s="540"/>
      <c r="AB11" s="543"/>
      <c r="AC11" s="15">
        <f>+AC19+AC27+AC35+AC43+AC51+AC20+AC28+AC36+AC44+AC52</f>
        <v>65</v>
      </c>
      <c r="AD11" s="15">
        <f>+U11</f>
        <v>2355</v>
      </c>
      <c r="AE11" s="18">
        <f>+AC11/AD11</f>
        <v>2.7600849256900213E-2</v>
      </c>
      <c r="AF11" s="15" t="s">
        <v>91</v>
      </c>
      <c r="AG11" s="546"/>
      <c r="AH11" s="549"/>
      <c r="AI11" s="552"/>
      <c r="AJ11" s="555"/>
      <c r="AK11" s="19">
        <v>224</v>
      </c>
      <c r="AL11" s="19">
        <v>2355</v>
      </c>
      <c r="AM11" s="20">
        <v>9.51167728237792E-2</v>
      </c>
      <c r="AN11" s="19" t="s">
        <v>92</v>
      </c>
      <c r="AO11" s="546"/>
      <c r="AP11" s="549"/>
      <c r="AQ11" s="552"/>
      <c r="AR11" s="555"/>
      <c r="AS11" s="19">
        <f>+AS19+AS27+AS35+AS43+AS51+AS20+AS28+AS36+AS44+AS52</f>
        <v>450</v>
      </c>
      <c r="AT11" s="19">
        <f>+U11</f>
        <v>2355</v>
      </c>
      <c r="AU11" s="20">
        <f>+AS11/AT11</f>
        <v>0.19108280254777071</v>
      </c>
      <c r="AV11" s="19" t="s">
        <v>93</v>
      </c>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row>
    <row r="12" spans="1:708" s="33" customFormat="1" ht="45" customHeight="1" x14ac:dyDescent="0.25">
      <c r="A12" s="504"/>
      <c r="B12" s="506"/>
      <c r="C12" s="515"/>
      <c r="D12" s="515"/>
      <c r="E12" s="515"/>
      <c r="F12" s="515"/>
      <c r="G12" s="515"/>
      <c r="H12" s="515"/>
      <c r="I12" s="515"/>
      <c r="J12" s="515"/>
      <c r="K12" s="515"/>
      <c r="L12" s="515"/>
      <c r="M12" s="515"/>
      <c r="N12" s="515"/>
      <c r="O12" s="515"/>
      <c r="P12" s="515"/>
      <c r="Q12" s="23" t="s">
        <v>94</v>
      </c>
      <c r="R12" s="23" t="s">
        <v>95</v>
      </c>
      <c r="S12" s="24" t="s">
        <v>74</v>
      </c>
      <c r="T12" s="23"/>
      <c r="U12" s="46">
        <v>0.75</v>
      </c>
      <c r="V12" s="47">
        <v>2932575877</v>
      </c>
      <c r="W12" s="511"/>
      <c r="X12" s="48" t="s">
        <v>59</v>
      </c>
      <c r="Y12" s="519"/>
      <c r="Z12" s="538"/>
      <c r="AA12" s="541"/>
      <c r="AB12" s="544"/>
      <c r="AC12" s="49">
        <f>(0/8)</f>
        <v>0</v>
      </c>
      <c r="AD12" s="50">
        <f>+U12</f>
        <v>0.75</v>
      </c>
      <c r="AE12" s="51">
        <f>+AC12/AD12</f>
        <v>0</v>
      </c>
      <c r="AF12" s="24" t="s">
        <v>96</v>
      </c>
      <c r="AG12" s="547"/>
      <c r="AH12" s="550"/>
      <c r="AI12" s="553"/>
      <c r="AJ12" s="556"/>
      <c r="AK12" s="52">
        <v>0.76190476190476186</v>
      </c>
      <c r="AL12" s="53">
        <v>0.75</v>
      </c>
      <c r="AM12" s="52">
        <v>1.0158730158730158</v>
      </c>
      <c r="AN12" s="54" t="s">
        <v>97</v>
      </c>
      <c r="AO12" s="547"/>
      <c r="AP12" s="550"/>
      <c r="AQ12" s="553"/>
      <c r="AR12" s="556"/>
      <c r="AS12" s="52">
        <f>(27/48)</f>
        <v>0.5625</v>
      </c>
      <c r="AT12" s="53">
        <f>+U12</f>
        <v>0.75</v>
      </c>
      <c r="AU12" s="52">
        <f>+AS12/AT12</f>
        <v>0.75</v>
      </c>
      <c r="AV12" s="54" t="s">
        <v>98</v>
      </c>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c r="TS12" s="21"/>
      <c r="TT12" s="21"/>
      <c r="TU12" s="21"/>
      <c r="TV12" s="21"/>
      <c r="TW12" s="21"/>
      <c r="TX12" s="21"/>
      <c r="TY12" s="21"/>
      <c r="TZ12" s="21"/>
      <c r="UA12" s="21"/>
      <c r="UB12" s="21"/>
      <c r="UC12" s="21"/>
      <c r="UD12" s="21"/>
      <c r="UE12" s="21"/>
      <c r="UF12" s="21"/>
      <c r="UG12" s="21"/>
      <c r="UH12" s="21"/>
      <c r="UI12" s="21"/>
      <c r="UJ12" s="21"/>
      <c r="UK12" s="21"/>
      <c r="UL12" s="21"/>
      <c r="UM12" s="21"/>
      <c r="UN12" s="21"/>
      <c r="UO12" s="21"/>
      <c r="UP12" s="21"/>
      <c r="UQ12" s="21"/>
      <c r="UR12" s="21"/>
      <c r="US12" s="21"/>
      <c r="UT12" s="21"/>
      <c r="UU12" s="21"/>
      <c r="UV12" s="21"/>
      <c r="UW12" s="21"/>
      <c r="UX12" s="21"/>
      <c r="UY12" s="21"/>
      <c r="UZ12" s="21"/>
      <c r="VA12" s="21"/>
      <c r="VB12" s="21"/>
      <c r="VC12" s="21"/>
      <c r="VD12" s="21"/>
      <c r="VE12" s="21"/>
      <c r="VF12" s="21"/>
      <c r="VG12" s="21"/>
      <c r="VH12" s="21"/>
      <c r="VI12" s="21"/>
      <c r="VJ12" s="21"/>
      <c r="VK12" s="21"/>
      <c r="VL12" s="21"/>
      <c r="VM12" s="21"/>
      <c r="VN12" s="21"/>
      <c r="VO12" s="21"/>
      <c r="VP12" s="21"/>
      <c r="VQ12" s="21"/>
      <c r="VR12" s="21"/>
      <c r="VS12" s="21"/>
      <c r="VT12" s="21"/>
      <c r="VU12" s="21"/>
      <c r="VV12" s="21"/>
      <c r="VW12" s="21"/>
      <c r="VX12" s="21"/>
      <c r="VY12" s="21"/>
      <c r="VZ12" s="21"/>
      <c r="WA12" s="21"/>
      <c r="WB12" s="21"/>
      <c r="WC12" s="21"/>
      <c r="WD12" s="21"/>
      <c r="WE12" s="21"/>
      <c r="WF12" s="21"/>
      <c r="WG12" s="21"/>
      <c r="WH12" s="21"/>
      <c r="WI12" s="21"/>
      <c r="WJ12" s="21"/>
      <c r="WK12" s="21"/>
      <c r="WL12" s="21"/>
      <c r="WM12" s="21"/>
      <c r="WN12" s="21"/>
      <c r="WO12" s="21"/>
      <c r="WP12" s="21"/>
      <c r="WQ12" s="21"/>
      <c r="WR12" s="21"/>
      <c r="WS12" s="21"/>
      <c r="WT12" s="21"/>
      <c r="WU12" s="21"/>
      <c r="WV12" s="21"/>
      <c r="WW12" s="21"/>
      <c r="WX12" s="21"/>
      <c r="WY12" s="21"/>
      <c r="WZ12" s="21"/>
      <c r="XA12" s="21"/>
      <c r="XB12" s="21"/>
      <c r="XC12" s="21"/>
      <c r="XD12" s="21"/>
      <c r="XE12" s="21"/>
      <c r="XF12" s="21"/>
      <c r="XG12" s="21"/>
      <c r="XH12" s="21"/>
      <c r="XI12" s="21"/>
      <c r="XJ12" s="21"/>
      <c r="XK12" s="21"/>
      <c r="XL12" s="21"/>
      <c r="XM12" s="21"/>
      <c r="XN12" s="21"/>
      <c r="XO12" s="21"/>
      <c r="XP12" s="21"/>
      <c r="XQ12" s="21"/>
      <c r="XR12" s="21"/>
      <c r="XS12" s="21"/>
      <c r="XT12" s="21"/>
      <c r="XU12" s="21"/>
      <c r="XV12" s="21"/>
      <c r="XW12" s="21"/>
      <c r="XX12" s="21"/>
      <c r="XY12" s="21"/>
      <c r="XZ12" s="21"/>
      <c r="YA12" s="21"/>
      <c r="YB12" s="21"/>
      <c r="YC12" s="21"/>
      <c r="YD12" s="21"/>
      <c r="YE12" s="21"/>
      <c r="YF12" s="21"/>
      <c r="YG12" s="21"/>
      <c r="YH12" s="21"/>
      <c r="YI12" s="21"/>
      <c r="YJ12" s="21"/>
      <c r="YK12" s="21"/>
      <c r="YL12" s="21"/>
      <c r="YM12" s="21"/>
      <c r="YN12" s="21"/>
      <c r="YO12" s="21"/>
      <c r="YP12" s="21"/>
      <c r="YQ12" s="21"/>
      <c r="YR12" s="21"/>
      <c r="YS12" s="21"/>
      <c r="YT12" s="21"/>
      <c r="YU12" s="21"/>
      <c r="YV12" s="21"/>
      <c r="YW12" s="21"/>
      <c r="YX12" s="21"/>
      <c r="YY12" s="21"/>
      <c r="YZ12" s="21"/>
      <c r="ZA12" s="21"/>
      <c r="ZB12" s="21"/>
      <c r="ZC12" s="21"/>
      <c r="ZD12" s="21"/>
      <c r="ZE12" s="21"/>
      <c r="ZF12" s="21"/>
      <c r="ZG12" s="21"/>
      <c r="ZH12" s="21"/>
      <c r="ZI12" s="21"/>
      <c r="ZJ12" s="21"/>
      <c r="ZK12" s="21"/>
      <c r="ZL12" s="21"/>
      <c r="ZM12" s="21"/>
      <c r="ZN12" s="21"/>
      <c r="ZO12" s="21"/>
      <c r="ZP12" s="21"/>
      <c r="ZQ12" s="21"/>
      <c r="ZR12" s="21"/>
      <c r="ZS12" s="21"/>
      <c r="ZT12" s="21"/>
      <c r="ZU12" s="21"/>
      <c r="ZV12" s="21"/>
      <c r="ZW12" s="21"/>
      <c r="ZX12" s="21"/>
      <c r="ZY12" s="21"/>
      <c r="ZZ12" s="21"/>
      <c r="AAA12" s="21"/>
      <c r="AAB12" s="21"/>
      <c r="AAC12" s="21"/>
      <c r="AAD12" s="21"/>
      <c r="AAE12" s="21"/>
      <c r="AAF12" s="21"/>
    </row>
    <row r="13" spans="1:708" s="22" customFormat="1" ht="57" customHeight="1" x14ac:dyDescent="0.25">
      <c r="A13" s="55"/>
      <c r="B13" s="55"/>
      <c r="C13" s="55"/>
      <c r="D13" s="55"/>
      <c r="E13" s="55"/>
      <c r="F13" s="55"/>
      <c r="G13" s="55"/>
      <c r="H13" s="55"/>
      <c r="I13" s="55"/>
      <c r="J13" s="55"/>
      <c r="K13" s="55"/>
      <c r="L13" s="55"/>
      <c r="M13" s="55"/>
      <c r="N13" s="55"/>
      <c r="O13" s="55"/>
      <c r="P13" s="56"/>
      <c r="Q13" s="55"/>
      <c r="R13" s="55"/>
      <c r="S13" s="56"/>
      <c r="T13" s="55"/>
      <c r="U13" s="55"/>
      <c r="V13" s="57"/>
      <c r="W13" s="57"/>
      <c r="X13" s="55"/>
      <c r="Y13" s="388" t="s">
        <v>99</v>
      </c>
      <c r="Z13" s="388"/>
      <c r="AA13" s="58">
        <f>AVERAGE(AA7:AA12)</f>
        <v>0.40956890201556745</v>
      </c>
      <c r="AB13" s="59"/>
      <c r="AC13" s="557" t="s">
        <v>100</v>
      </c>
      <c r="AD13" s="557"/>
      <c r="AE13" s="60">
        <f>AVERAGE(AE7,AE8,AE10,AE11,AE12)</f>
        <v>4.2755966505473364E-2</v>
      </c>
      <c r="AF13" s="61"/>
      <c r="AG13" s="564" t="s">
        <v>99</v>
      </c>
      <c r="AH13" s="564"/>
      <c r="AI13" s="62">
        <v>0.45345957725672492</v>
      </c>
      <c r="AJ13" s="63"/>
      <c r="AK13" s="565" t="s">
        <v>100</v>
      </c>
      <c r="AL13" s="565"/>
      <c r="AM13" s="64">
        <v>0.30933869848207712</v>
      </c>
      <c r="AN13" s="65"/>
      <c r="AO13" s="388" t="s">
        <v>99</v>
      </c>
      <c r="AP13" s="388"/>
      <c r="AQ13" s="58">
        <f>AVERAGE(AQ7:AQ12)</f>
        <v>0.49508381805701079</v>
      </c>
      <c r="AR13" s="59"/>
      <c r="AS13" s="557" t="s">
        <v>100</v>
      </c>
      <c r="AT13" s="557"/>
      <c r="AU13" s="60">
        <f>AVERAGE(AU7,AU8,AU10,AU11,AU12)</f>
        <v>0.30772414439430207</v>
      </c>
      <c r="AV13" s="6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row>
    <row r="14" spans="1:708" s="72" customFormat="1" ht="54" customHeight="1" x14ac:dyDescent="0.25">
      <c r="A14" s="504" t="s">
        <v>43</v>
      </c>
      <c r="B14" s="558" t="s">
        <v>44</v>
      </c>
      <c r="C14" s="507" t="s">
        <v>45</v>
      </c>
      <c r="D14" s="507" t="s">
        <v>46</v>
      </c>
      <c r="E14" s="507" t="s">
        <v>47</v>
      </c>
      <c r="F14" s="507" t="s">
        <v>48</v>
      </c>
      <c r="G14" s="507" t="s">
        <v>49</v>
      </c>
      <c r="H14" s="507" t="s">
        <v>50</v>
      </c>
      <c r="I14" s="560" t="s">
        <v>51</v>
      </c>
      <c r="J14" s="391" t="s">
        <v>52</v>
      </c>
      <c r="K14" s="391" t="s">
        <v>101</v>
      </c>
      <c r="L14" s="391" t="s">
        <v>54</v>
      </c>
      <c r="M14" s="391" t="s">
        <v>55</v>
      </c>
      <c r="N14" s="391" t="s">
        <v>56</v>
      </c>
      <c r="O14" s="391"/>
      <c r="P14" s="391">
        <v>80</v>
      </c>
      <c r="Q14" s="66" t="s">
        <v>57</v>
      </c>
      <c r="R14" s="66" t="s">
        <v>58</v>
      </c>
      <c r="S14" s="67" t="s">
        <v>56</v>
      </c>
      <c r="T14" s="67">
        <v>34</v>
      </c>
      <c r="U14" s="67">
        <v>45</v>
      </c>
      <c r="V14" s="569">
        <v>615412908</v>
      </c>
      <c r="W14" s="570">
        <v>64326892613</v>
      </c>
      <c r="X14" s="26" t="s">
        <v>102</v>
      </c>
      <c r="Y14" s="391">
        <v>3</v>
      </c>
      <c r="Z14" s="391">
        <f>+P14</f>
        <v>80</v>
      </c>
      <c r="AA14" s="392">
        <f>Y14/Z14</f>
        <v>3.7499999999999999E-2</v>
      </c>
      <c r="AB14" s="391" t="s">
        <v>103</v>
      </c>
      <c r="AC14" s="67">
        <v>3</v>
      </c>
      <c r="AD14" s="67">
        <f t="shared" ref="AD14:AD20" si="0">+U14</f>
        <v>45</v>
      </c>
      <c r="AE14" s="68">
        <f>AC14/AD14</f>
        <v>6.6666666666666666E-2</v>
      </c>
      <c r="AF14" s="67" t="s">
        <v>104</v>
      </c>
      <c r="AG14" s="562">
        <v>8</v>
      </c>
      <c r="AH14" s="562">
        <v>80</v>
      </c>
      <c r="AI14" s="563">
        <v>0.1</v>
      </c>
      <c r="AJ14" s="562" t="s">
        <v>105</v>
      </c>
      <c r="AK14" s="69">
        <v>3</v>
      </c>
      <c r="AL14" s="69">
        <v>45</v>
      </c>
      <c r="AM14" s="70">
        <v>6.6666666666666666E-2</v>
      </c>
      <c r="AN14" s="69" t="s">
        <v>106</v>
      </c>
      <c r="AO14" s="562">
        <v>11</v>
      </c>
      <c r="AP14" s="562">
        <f>+P14</f>
        <v>80</v>
      </c>
      <c r="AQ14" s="563">
        <f>AO14/AP14</f>
        <v>0.13750000000000001</v>
      </c>
      <c r="AR14" s="562" t="s">
        <v>107</v>
      </c>
      <c r="AS14" s="69">
        <v>3</v>
      </c>
      <c r="AT14" s="69">
        <f t="shared" ref="AT14:AT20" si="1">+U14</f>
        <v>45</v>
      </c>
      <c r="AU14" s="70">
        <f>AS14/AT14</f>
        <v>6.6666666666666666E-2</v>
      </c>
      <c r="AV14" s="69" t="s">
        <v>108</v>
      </c>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71"/>
      <c r="MX14" s="71"/>
      <c r="MY14" s="71"/>
      <c r="MZ14" s="71"/>
      <c r="NA14" s="71"/>
      <c r="NB14" s="71"/>
      <c r="NC14" s="71"/>
      <c r="ND14" s="71"/>
      <c r="NE14" s="71"/>
      <c r="NF14" s="71"/>
      <c r="NG14" s="71"/>
      <c r="NH14" s="71"/>
      <c r="NI14" s="71"/>
      <c r="NJ14" s="71"/>
      <c r="NK14" s="71"/>
      <c r="NL14" s="71"/>
      <c r="NM14" s="71"/>
      <c r="NN14" s="71"/>
      <c r="NO14" s="71"/>
      <c r="NP14" s="71"/>
      <c r="NQ14" s="71"/>
      <c r="NR14" s="71"/>
      <c r="NS14" s="71"/>
      <c r="NT14" s="71"/>
      <c r="NU14" s="71"/>
      <c r="NV14" s="71"/>
      <c r="NW14" s="71"/>
      <c r="NX14" s="71"/>
      <c r="NY14" s="71"/>
      <c r="NZ14" s="71"/>
      <c r="OA14" s="71"/>
      <c r="OB14" s="71"/>
      <c r="OC14" s="71"/>
      <c r="OD14" s="71"/>
      <c r="OE14" s="71"/>
      <c r="OF14" s="71"/>
      <c r="OG14" s="71"/>
      <c r="OH14" s="71"/>
      <c r="OI14" s="71"/>
      <c r="OJ14" s="71"/>
      <c r="OK14" s="71"/>
      <c r="OL14" s="71"/>
      <c r="OM14" s="71"/>
      <c r="ON14" s="71"/>
      <c r="OO14" s="71"/>
      <c r="OP14" s="71"/>
      <c r="OQ14" s="71"/>
      <c r="OR14" s="71"/>
      <c r="OS14" s="71"/>
      <c r="OT14" s="71"/>
      <c r="OU14" s="71"/>
      <c r="OV14" s="71"/>
      <c r="OW14" s="71"/>
      <c r="OX14" s="71"/>
      <c r="OY14" s="71"/>
      <c r="OZ14" s="71"/>
      <c r="PA14" s="71"/>
      <c r="PB14" s="71"/>
      <c r="PC14" s="71"/>
      <c r="PD14" s="71"/>
      <c r="PE14" s="71"/>
      <c r="PF14" s="71"/>
      <c r="PG14" s="71"/>
      <c r="PH14" s="71"/>
      <c r="PI14" s="71"/>
      <c r="PJ14" s="71"/>
      <c r="PK14" s="71"/>
      <c r="PL14" s="71"/>
      <c r="PM14" s="71"/>
      <c r="PN14" s="71"/>
      <c r="PO14" s="71"/>
      <c r="PP14" s="71"/>
      <c r="PQ14" s="71"/>
      <c r="PR14" s="71"/>
      <c r="PS14" s="71"/>
      <c r="PT14" s="71"/>
      <c r="PU14" s="71"/>
      <c r="PV14" s="71"/>
      <c r="PW14" s="71"/>
      <c r="PX14" s="71"/>
      <c r="PY14" s="71"/>
      <c r="PZ14" s="71"/>
      <c r="QA14" s="71"/>
      <c r="QB14" s="71"/>
      <c r="QC14" s="71"/>
      <c r="QD14" s="71"/>
      <c r="QE14" s="71"/>
      <c r="QF14" s="71"/>
      <c r="QG14" s="71"/>
      <c r="QH14" s="71"/>
      <c r="QI14" s="71"/>
      <c r="QJ14" s="71"/>
      <c r="QK14" s="71"/>
      <c r="QL14" s="71"/>
      <c r="QM14" s="71"/>
      <c r="QN14" s="71"/>
      <c r="QO14" s="71"/>
      <c r="QP14" s="71"/>
      <c r="QQ14" s="71"/>
      <c r="QR14" s="71"/>
      <c r="QS14" s="71"/>
      <c r="QT14" s="71"/>
      <c r="QU14" s="71"/>
      <c r="QV14" s="71"/>
      <c r="QW14" s="71"/>
      <c r="QX14" s="71"/>
      <c r="QY14" s="71"/>
      <c r="QZ14" s="71"/>
      <c r="RA14" s="71"/>
      <c r="RB14" s="71"/>
      <c r="RC14" s="71"/>
      <c r="RD14" s="71"/>
      <c r="RE14" s="71"/>
      <c r="RF14" s="71"/>
      <c r="RG14" s="71"/>
      <c r="RH14" s="71"/>
      <c r="RI14" s="71"/>
      <c r="RJ14" s="71"/>
      <c r="RK14" s="71"/>
      <c r="RL14" s="71"/>
      <c r="RM14" s="71"/>
      <c r="RN14" s="71"/>
      <c r="RO14" s="71"/>
      <c r="RP14" s="71"/>
      <c r="RQ14" s="71"/>
      <c r="RR14" s="71"/>
      <c r="RS14" s="71"/>
      <c r="RT14" s="71"/>
      <c r="RU14" s="71"/>
      <c r="RV14" s="71"/>
      <c r="RW14" s="71"/>
      <c r="RX14" s="71"/>
      <c r="RY14" s="71"/>
      <c r="RZ14" s="71"/>
      <c r="SA14" s="71"/>
      <c r="SB14" s="71"/>
      <c r="SC14" s="71"/>
      <c r="SD14" s="71"/>
      <c r="SE14" s="71"/>
      <c r="SF14" s="71"/>
      <c r="SG14" s="71"/>
      <c r="SH14" s="71"/>
      <c r="SI14" s="71"/>
      <c r="SJ14" s="71"/>
      <c r="SK14" s="71"/>
      <c r="SL14" s="71"/>
      <c r="SM14" s="71"/>
      <c r="SN14" s="71"/>
      <c r="SO14" s="71"/>
      <c r="SP14" s="71"/>
      <c r="SQ14" s="71"/>
      <c r="SR14" s="71"/>
      <c r="SS14" s="71"/>
      <c r="ST14" s="71"/>
      <c r="SU14" s="71"/>
      <c r="SV14" s="71"/>
      <c r="SW14" s="71"/>
      <c r="SX14" s="71"/>
      <c r="SY14" s="71"/>
      <c r="SZ14" s="71"/>
      <c r="TA14" s="71"/>
      <c r="TB14" s="71"/>
      <c r="TC14" s="71"/>
      <c r="TD14" s="71"/>
      <c r="TE14" s="71"/>
      <c r="TF14" s="71"/>
      <c r="TG14" s="71"/>
      <c r="TH14" s="71"/>
      <c r="TI14" s="71"/>
      <c r="TJ14" s="71"/>
      <c r="TK14" s="71"/>
      <c r="TL14" s="71"/>
      <c r="TM14" s="71"/>
      <c r="TN14" s="71"/>
      <c r="TO14" s="71"/>
      <c r="TP14" s="71"/>
      <c r="TQ14" s="71"/>
      <c r="TR14" s="71"/>
      <c r="TS14" s="71"/>
      <c r="TT14" s="71"/>
      <c r="TU14" s="71"/>
      <c r="TV14" s="71"/>
      <c r="TW14" s="71"/>
      <c r="TX14" s="71"/>
      <c r="TY14" s="71"/>
      <c r="TZ14" s="71"/>
      <c r="UA14" s="71"/>
      <c r="UB14" s="71"/>
      <c r="UC14" s="71"/>
      <c r="UD14" s="71"/>
      <c r="UE14" s="71"/>
      <c r="UF14" s="71"/>
      <c r="UG14" s="71"/>
      <c r="UH14" s="71"/>
      <c r="UI14" s="71"/>
      <c r="UJ14" s="71"/>
      <c r="UK14" s="71"/>
      <c r="UL14" s="71"/>
      <c r="UM14" s="71"/>
      <c r="UN14" s="71"/>
      <c r="UO14" s="71"/>
      <c r="UP14" s="71"/>
      <c r="UQ14" s="71"/>
      <c r="UR14" s="71"/>
      <c r="US14" s="71"/>
      <c r="UT14" s="71"/>
      <c r="UU14" s="71"/>
      <c r="UV14" s="71"/>
      <c r="UW14" s="71"/>
      <c r="UX14" s="71"/>
      <c r="UY14" s="71"/>
      <c r="UZ14" s="71"/>
      <c r="VA14" s="71"/>
      <c r="VB14" s="71"/>
      <c r="VC14" s="71"/>
      <c r="VD14" s="71"/>
      <c r="VE14" s="71"/>
      <c r="VF14" s="71"/>
      <c r="VG14" s="71"/>
      <c r="VH14" s="71"/>
      <c r="VI14" s="71"/>
      <c r="VJ14" s="71"/>
      <c r="VK14" s="71"/>
      <c r="VL14" s="71"/>
      <c r="VM14" s="71"/>
      <c r="VN14" s="71"/>
      <c r="VO14" s="71"/>
      <c r="VP14" s="71"/>
      <c r="VQ14" s="71"/>
      <c r="VR14" s="71"/>
      <c r="VS14" s="71"/>
      <c r="VT14" s="71"/>
      <c r="VU14" s="71"/>
      <c r="VV14" s="71"/>
      <c r="VW14" s="71"/>
      <c r="VX14" s="71"/>
      <c r="VY14" s="71"/>
      <c r="VZ14" s="71"/>
      <c r="WA14" s="71"/>
      <c r="WB14" s="71"/>
      <c r="WC14" s="71"/>
      <c r="WD14" s="71"/>
      <c r="WE14" s="71"/>
      <c r="WF14" s="71"/>
      <c r="WG14" s="71"/>
      <c r="WH14" s="71"/>
      <c r="WI14" s="71"/>
      <c r="WJ14" s="71"/>
      <c r="WK14" s="71"/>
      <c r="WL14" s="71"/>
      <c r="WM14" s="71"/>
      <c r="WN14" s="71"/>
      <c r="WO14" s="71"/>
      <c r="WP14" s="71"/>
      <c r="WQ14" s="71"/>
      <c r="WR14" s="71"/>
      <c r="WS14" s="71"/>
      <c r="WT14" s="71"/>
      <c r="WU14" s="71"/>
      <c r="WV14" s="71"/>
      <c r="WW14" s="71"/>
      <c r="WX14" s="71"/>
      <c r="WY14" s="71"/>
      <c r="WZ14" s="71"/>
      <c r="XA14" s="71"/>
      <c r="XB14" s="71"/>
      <c r="XC14" s="71"/>
      <c r="XD14" s="71"/>
      <c r="XE14" s="71"/>
      <c r="XF14" s="71"/>
      <c r="XG14" s="71"/>
      <c r="XH14" s="71"/>
      <c r="XI14" s="71"/>
      <c r="XJ14" s="71"/>
      <c r="XK14" s="71"/>
      <c r="XL14" s="71"/>
      <c r="XM14" s="71"/>
      <c r="XN14" s="71"/>
      <c r="XO14" s="71"/>
      <c r="XP14" s="71"/>
      <c r="XQ14" s="71"/>
      <c r="XR14" s="71"/>
      <c r="XS14" s="71"/>
      <c r="XT14" s="71"/>
      <c r="XU14" s="71"/>
      <c r="XV14" s="71"/>
      <c r="XW14" s="71"/>
      <c r="XX14" s="71"/>
      <c r="XY14" s="71"/>
      <c r="XZ14" s="71"/>
      <c r="YA14" s="71"/>
      <c r="YB14" s="71"/>
      <c r="YC14" s="71"/>
      <c r="YD14" s="71"/>
      <c r="YE14" s="71"/>
      <c r="YF14" s="71"/>
      <c r="YG14" s="71"/>
      <c r="YH14" s="71"/>
      <c r="YI14" s="71"/>
      <c r="YJ14" s="71"/>
      <c r="YK14" s="71"/>
      <c r="YL14" s="71"/>
      <c r="YM14" s="71"/>
      <c r="YN14" s="71"/>
      <c r="YO14" s="71"/>
      <c r="YP14" s="71"/>
      <c r="YQ14" s="71"/>
      <c r="YR14" s="71"/>
      <c r="YS14" s="71"/>
      <c r="YT14" s="71"/>
      <c r="YU14" s="71"/>
      <c r="YV14" s="71"/>
      <c r="YW14" s="71"/>
      <c r="YX14" s="71"/>
      <c r="YY14" s="71"/>
      <c r="YZ14" s="71"/>
      <c r="ZA14" s="71"/>
      <c r="ZB14" s="71"/>
      <c r="ZC14" s="71"/>
      <c r="ZD14" s="71"/>
      <c r="ZE14" s="71"/>
      <c r="ZF14" s="71"/>
      <c r="ZG14" s="71"/>
      <c r="ZH14" s="71"/>
      <c r="ZI14" s="71"/>
      <c r="ZJ14" s="71"/>
      <c r="ZK14" s="71"/>
      <c r="ZL14" s="71"/>
      <c r="ZM14" s="71"/>
      <c r="ZN14" s="71"/>
      <c r="ZO14" s="71"/>
      <c r="ZP14" s="71"/>
      <c r="ZQ14" s="71"/>
      <c r="ZR14" s="71"/>
      <c r="ZS14" s="71"/>
      <c r="ZT14" s="71"/>
      <c r="ZU14" s="71"/>
      <c r="ZV14" s="71"/>
      <c r="ZW14" s="71"/>
      <c r="ZX14" s="71"/>
      <c r="ZY14" s="71"/>
      <c r="ZZ14" s="71"/>
      <c r="AAA14" s="71"/>
      <c r="AAB14" s="71"/>
      <c r="AAC14" s="71"/>
      <c r="AAD14" s="71"/>
      <c r="AAE14" s="71"/>
      <c r="AAF14" s="71"/>
    </row>
    <row r="15" spans="1:708" s="79" customFormat="1" ht="54" customHeight="1" x14ac:dyDescent="0.25">
      <c r="A15" s="504"/>
      <c r="B15" s="559"/>
      <c r="C15" s="508"/>
      <c r="D15" s="508"/>
      <c r="E15" s="508"/>
      <c r="F15" s="508"/>
      <c r="G15" s="508"/>
      <c r="H15" s="508"/>
      <c r="I15" s="561"/>
      <c r="J15" s="391"/>
      <c r="K15" s="391"/>
      <c r="L15" s="391"/>
      <c r="M15" s="391"/>
      <c r="N15" s="391"/>
      <c r="O15" s="391"/>
      <c r="P15" s="391"/>
      <c r="Q15" s="73" t="s">
        <v>66</v>
      </c>
      <c r="R15" s="73" t="s">
        <v>67</v>
      </c>
      <c r="S15" s="74" t="s">
        <v>56</v>
      </c>
      <c r="T15" s="74">
        <v>35</v>
      </c>
      <c r="U15" s="74">
        <v>60</v>
      </c>
      <c r="V15" s="569"/>
      <c r="W15" s="570"/>
      <c r="X15" s="75" t="s">
        <v>102</v>
      </c>
      <c r="Y15" s="391"/>
      <c r="Z15" s="391"/>
      <c r="AA15" s="392"/>
      <c r="AB15" s="391"/>
      <c r="AC15" s="74">
        <v>4</v>
      </c>
      <c r="AD15" s="74">
        <f t="shared" si="0"/>
        <v>60</v>
      </c>
      <c r="AE15" s="76">
        <f>+AC15/AD15</f>
        <v>6.6666666666666666E-2</v>
      </c>
      <c r="AF15" s="74" t="s">
        <v>109</v>
      </c>
      <c r="AG15" s="562"/>
      <c r="AH15" s="562"/>
      <c r="AI15" s="563"/>
      <c r="AJ15" s="562"/>
      <c r="AK15" s="77">
        <v>7</v>
      </c>
      <c r="AL15" s="77">
        <v>60</v>
      </c>
      <c r="AM15" s="78">
        <v>0.11666666666666667</v>
      </c>
      <c r="AN15" s="77" t="s">
        <v>110</v>
      </c>
      <c r="AO15" s="562"/>
      <c r="AP15" s="562"/>
      <c r="AQ15" s="563"/>
      <c r="AR15" s="562"/>
      <c r="AS15" s="77">
        <v>9</v>
      </c>
      <c r="AT15" s="77">
        <f t="shared" si="1"/>
        <v>60</v>
      </c>
      <c r="AU15" s="78">
        <f>+AS15/AT15</f>
        <v>0.15</v>
      </c>
      <c r="AV15" s="77" t="s">
        <v>111</v>
      </c>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71"/>
      <c r="IG15" s="71"/>
      <c r="IH15" s="71"/>
      <c r="II15" s="71"/>
      <c r="IJ15" s="71"/>
      <c r="IK15" s="71"/>
      <c r="IL15" s="71"/>
      <c r="IM15" s="71"/>
      <c r="IN15" s="71"/>
      <c r="IO15" s="71"/>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71"/>
      <c r="MX15" s="71"/>
      <c r="MY15" s="71"/>
      <c r="MZ15" s="71"/>
      <c r="NA15" s="71"/>
      <c r="NB15" s="71"/>
      <c r="NC15" s="71"/>
      <c r="ND15" s="71"/>
      <c r="NE15" s="71"/>
      <c r="NF15" s="71"/>
      <c r="NG15" s="71"/>
      <c r="NH15" s="71"/>
      <c r="NI15" s="71"/>
      <c r="NJ15" s="71"/>
      <c r="NK15" s="71"/>
      <c r="NL15" s="71"/>
      <c r="NM15" s="71"/>
      <c r="NN15" s="71"/>
      <c r="NO15" s="71"/>
      <c r="NP15" s="71"/>
      <c r="NQ15" s="71"/>
      <c r="NR15" s="71"/>
      <c r="NS15" s="71"/>
      <c r="NT15" s="71"/>
      <c r="NU15" s="71"/>
      <c r="NV15" s="71"/>
      <c r="NW15" s="71"/>
      <c r="NX15" s="71"/>
      <c r="NY15" s="71"/>
      <c r="NZ15" s="71"/>
      <c r="OA15" s="71"/>
      <c r="OB15" s="71"/>
      <c r="OC15" s="71"/>
      <c r="OD15" s="71"/>
      <c r="OE15" s="71"/>
      <c r="OF15" s="71"/>
      <c r="OG15" s="71"/>
      <c r="OH15" s="71"/>
      <c r="OI15" s="71"/>
      <c r="OJ15" s="71"/>
      <c r="OK15" s="71"/>
      <c r="OL15" s="71"/>
      <c r="OM15" s="71"/>
      <c r="ON15" s="71"/>
      <c r="OO15" s="71"/>
      <c r="OP15" s="71"/>
      <c r="OQ15" s="71"/>
      <c r="OR15" s="71"/>
      <c r="OS15" s="71"/>
      <c r="OT15" s="71"/>
      <c r="OU15" s="71"/>
      <c r="OV15" s="71"/>
      <c r="OW15" s="71"/>
      <c r="OX15" s="71"/>
      <c r="OY15" s="71"/>
      <c r="OZ15" s="71"/>
      <c r="PA15" s="71"/>
      <c r="PB15" s="71"/>
      <c r="PC15" s="71"/>
      <c r="PD15" s="71"/>
      <c r="PE15" s="71"/>
      <c r="PF15" s="71"/>
      <c r="PG15" s="71"/>
      <c r="PH15" s="71"/>
      <c r="PI15" s="71"/>
      <c r="PJ15" s="71"/>
      <c r="PK15" s="71"/>
      <c r="PL15" s="71"/>
      <c r="PM15" s="71"/>
      <c r="PN15" s="71"/>
      <c r="PO15" s="71"/>
      <c r="PP15" s="71"/>
      <c r="PQ15" s="71"/>
      <c r="PR15" s="71"/>
      <c r="PS15" s="71"/>
      <c r="PT15" s="71"/>
      <c r="PU15" s="71"/>
      <c r="PV15" s="71"/>
      <c r="PW15" s="71"/>
      <c r="PX15" s="71"/>
      <c r="PY15" s="71"/>
      <c r="PZ15" s="71"/>
      <c r="QA15" s="71"/>
      <c r="QB15" s="71"/>
      <c r="QC15" s="71"/>
      <c r="QD15" s="71"/>
      <c r="QE15" s="71"/>
      <c r="QF15" s="71"/>
      <c r="QG15" s="71"/>
      <c r="QH15" s="71"/>
      <c r="QI15" s="71"/>
      <c r="QJ15" s="71"/>
      <c r="QK15" s="71"/>
      <c r="QL15" s="71"/>
      <c r="QM15" s="71"/>
      <c r="QN15" s="71"/>
      <c r="QO15" s="71"/>
      <c r="QP15" s="71"/>
      <c r="QQ15" s="71"/>
      <c r="QR15" s="71"/>
      <c r="QS15" s="71"/>
      <c r="QT15" s="71"/>
      <c r="QU15" s="71"/>
      <c r="QV15" s="71"/>
      <c r="QW15" s="71"/>
      <c r="QX15" s="71"/>
      <c r="QY15" s="71"/>
      <c r="QZ15" s="71"/>
      <c r="RA15" s="71"/>
      <c r="RB15" s="71"/>
      <c r="RC15" s="71"/>
      <c r="RD15" s="71"/>
      <c r="RE15" s="71"/>
      <c r="RF15" s="71"/>
      <c r="RG15" s="71"/>
      <c r="RH15" s="71"/>
      <c r="RI15" s="71"/>
      <c r="RJ15" s="71"/>
      <c r="RK15" s="71"/>
      <c r="RL15" s="71"/>
      <c r="RM15" s="71"/>
      <c r="RN15" s="71"/>
      <c r="RO15" s="71"/>
      <c r="RP15" s="71"/>
      <c r="RQ15" s="71"/>
      <c r="RR15" s="71"/>
      <c r="RS15" s="71"/>
      <c r="RT15" s="71"/>
      <c r="RU15" s="71"/>
      <c r="RV15" s="71"/>
      <c r="RW15" s="71"/>
      <c r="RX15" s="71"/>
      <c r="RY15" s="71"/>
      <c r="RZ15" s="71"/>
      <c r="SA15" s="71"/>
      <c r="SB15" s="71"/>
      <c r="SC15" s="71"/>
      <c r="SD15" s="71"/>
      <c r="SE15" s="71"/>
      <c r="SF15" s="71"/>
      <c r="SG15" s="71"/>
      <c r="SH15" s="71"/>
      <c r="SI15" s="71"/>
      <c r="SJ15" s="71"/>
      <c r="SK15" s="71"/>
      <c r="SL15" s="71"/>
      <c r="SM15" s="71"/>
      <c r="SN15" s="71"/>
      <c r="SO15" s="71"/>
      <c r="SP15" s="71"/>
      <c r="SQ15" s="71"/>
      <c r="SR15" s="71"/>
      <c r="SS15" s="71"/>
      <c r="ST15" s="71"/>
      <c r="SU15" s="71"/>
      <c r="SV15" s="71"/>
      <c r="SW15" s="71"/>
      <c r="SX15" s="71"/>
      <c r="SY15" s="71"/>
      <c r="SZ15" s="71"/>
      <c r="TA15" s="71"/>
      <c r="TB15" s="71"/>
      <c r="TC15" s="71"/>
      <c r="TD15" s="71"/>
      <c r="TE15" s="71"/>
      <c r="TF15" s="71"/>
      <c r="TG15" s="71"/>
      <c r="TH15" s="71"/>
      <c r="TI15" s="71"/>
      <c r="TJ15" s="71"/>
      <c r="TK15" s="71"/>
      <c r="TL15" s="71"/>
      <c r="TM15" s="71"/>
      <c r="TN15" s="71"/>
      <c r="TO15" s="71"/>
      <c r="TP15" s="71"/>
      <c r="TQ15" s="71"/>
      <c r="TR15" s="71"/>
      <c r="TS15" s="71"/>
      <c r="TT15" s="71"/>
      <c r="TU15" s="71"/>
      <c r="TV15" s="71"/>
      <c r="TW15" s="71"/>
      <c r="TX15" s="71"/>
      <c r="TY15" s="71"/>
      <c r="TZ15" s="71"/>
      <c r="UA15" s="71"/>
      <c r="UB15" s="71"/>
      <c r="UC15" s="71"/>
      <c r="UD15" s="71"/>
      <c r="UE15" s="71"/>
      <c r="UF15" s="71"/>
      <c r="UG15" s="71"/>
      <c r="UH15" s="71"/>
      <c r="UI15" s="71"/>
      <c r="UJ15" s="71"/>
      <c r="UK15" s="71"/>
      <c r="UL15" s="71"/>
      <c r="UM15" s="71"/>
      <c r="UN15" s="71"/>
      <c r="UO15" s="71"/>
      <c r="UP15" s="71"/>
      <c r="UQ15" s="71"/>
      <c r="UR15" s="71"/>
      <c r="US15" s="71"/>
      <c r="UT15" s="71"/>
      <c r="UU15" s="71"/>
      <c r="UV15" s="71"/>
      <c r="UW15" s="71"/>
      <c r="UX15" s="71"/>
      <c r="UY15" s="71"/>
      <c r="UZ15" s="71"/>
      <c r="VA15" s="71"/>
      <c r="VB15" s="71"/>
      <c r="VC15" s="71"/>
      <c r="VD15" s="71"/>
      <c r="VE15" s="71"/>
      <c r="VF15" s="71"/>
      <c r="VG15" s="71"/>
      <c r="VH15" s="71"/>
      <c r="VI15" s="71"/>
      <c r="VJ15" s="71"/>
      <c r="VK15" s="71"/>
      <c r="VL15" s="71"/>
      <c r="VM15" s="71"/>
      <c r="VN15" s="71"/>
      <c r="VO15" s="71"/>
      <c r="VP15" s="71"/>
      <c r="VQ15" s="71"/>
      <c r="VR15" s="71"/>
      <c r="VS15" s="71"/>
      <c r="VT15" s="71"/>
      <c r="VU15" s="71"/>
      <c r="VV15" s="71"/>
      <c r="VW15" s="71"/>
      <c r="VX15" s="71"/>
      <c r="VY15" s="71"/>
      <c r="VZ15" s="71"/>
      <c r="WA15" s="71"/>
      <c r="WB15" s="71"/>
      <c r="WC15" s="71"/>
      <c r="WD15" s="71"/>
      <c r="WE15" s="71"/>
      <c r="WF15" s="71"/>
      <c r="WG15" s="71"/>
      <c r="WH15" s="71"/>
      <c r="WI15" s="71"/>
      <c r="WJ15" s="71"/>
      <c r="WK15" s="71"/>
      <c r="WL15" s="71"/>
      <c r="WM15" s="71"/>
      <c r="WN15" s="71"/>
      <c r="WO15" s="71"/>
      <c r="WP15" s="71"/>
      <c r="WQ15" s="71"/>
      <c r="WR15" s="71"/>
      <c r="WS15" s="71"/>
      <c r="WT15" s="71"/>
      <c r="WU15" s="71"/>
      <c r="WV15" s="71"/>
      <c r="WW15" s="71"/>
      <c r="WX15" s="71"/>
      <c r="WY15" s="71"/>
      <c r="WZ15" s="71"/>
      <c r="XA15" s="71"/>
      <c r="XB15" s="71"/>
      <c r="XC15" s="71"/>
      <c r="XD15" s="71"/>
      <c r="XE15" s="71"/>
      <c r="XF15" s="71"/>
      <c r="XG15" s="71"/>
      <c r="XH15" s="71"/>
      <c r="XI15" s="71"/>
      <c r="XJ15" s="71"/>
      <c r="XK15" s="71"/>
      <c r="XL15" s="71"/>
      <c r="XM15" s="71"/>
      <c r="XN15" s="71"/>
      <c r="XO15" s="71"/>
      <c r="XP15" s="71"/>
      <c r="XQ15" s="71"/>
      <c r="XR15" s="71"/>
      <c r="XS15" s="71"/>
      <c r="XT15" s="71"/>
      <c r="XU15" s="71"/>
      <c r="XV15" s="71"/>
      <c r="XW15" s="71"/>
      <c r="XX15" s="71"/>
      <c r="XY15" s="71"/>
      <c r="XZ15" s="71"/>
      <c r="YA15" s="71"/>
      <c r="YB15" s="71"/>
      <c r="YC15" s="71"/>
      <c r="YD15" s="71"/>
      <c r="YE15" s="71"/>
      <c r="YF15" s="71"/>
      <c r="YG15" s="71"/>
      <c r="YH15" s="71"/>
      <c r="YI15" s="71"/>
      <c r="YJ15" s="71"/>
      <c r="YK15" s="71"/>
      <c r="YL15" s="71"/>
      <c r="YM15" s="71"/>
      <c r="YN15" s="71"/>
      <c r="YO15" s="71"/>
      <c r="YP15" s="71"/>
      <c r="YQ15" s="71"/>
      <c r="YR15" s="71"/>
      <c r="YS15" s="71"/>
      <c r="YT15" s="71"/>
      <c r="YU15" s="71"/>
      <c r="YV15" s="71"/>
      <c r="YW15" s="71"/>
      <c r="YX15" s="71"/>
      <c r="YY15" s="71"/>
      <c r="YZ15" s="71"/>
      <c r="ZA15" s="71"/>
      <c r="ZB15" s="71"/>
      <c r="ZC15" s="71"/>
      <c r="ZD15" s="71"/>
      <c r="ZE15" s="71"/>
      <c r="ZF15" s="71"/>
      <c r="ZG15" s="71"/>
      <c r="ZH15" s="71"/>
      <c r="ZI15" s="71"/>
      <c r="ZJ15" s="71"/>
      <c r="ZK15" s="71"/>
      <c r="ZL15" s="71"/>
      <c r="ZM15" s="71"/>
      <c r="ZN15" s="71"/>
      <c r="ZO15" s="71"/>
      <c r="ZP15" s="71"/>
      <c r="ZQ15" s="71"/>
      <c r="ZR15" s="71"/>
      <c r="ZS15" s="71"/>
      <c r="ZT15" s="71"/>
      <c r="ZU15" s="71"/>
      <c r="ZV15" s="71"/>
      <c r="ZW15" s="71"/>
      <c r="ZX15" s="71"/>
      <c r="ZY15" s="71"/>
      <c r="ZZ15" s="71"/>
      <c r="AAA15" s="71"/>
      <c r="AAB15" s="71"/>
      <c r="AAC15" s="71"/>
      <c r="AAD15" s="71"/>
      <c r="AAE15" s="71"/>
      <c r="AAF15" s="71"/>
    </row>
    <row r="16" spans="1:708" s="72" customFormat="1" ht="54" customHeight="1" x14ac:dyDescent="0.25">
      <c r="A16" s="490" t="s">
        <v>43</v>
      </c>
      <c r="B16" s="566" t="s">
        <v>44</v>
      </c>
      <c r="C16" s="567" t="s">
        <v>45</v>
      </c>
      <c r="D16" s="567" t="s">
        <v>46</v>
      </c>
      <c r="E16" s="567" t="s">
        <v>71</v>
      </c>
      <c r="F16" s="567" t="s">
        <v>48</v>
      </c>
      <c r="G16" s="567" t="s">
        <v>49</v>
      </c>
      <c r="H16" s="567" t="s">
        <v>50</v>
      </c>
      <c r="I16" s="577" t="s">
        <v>51</v>
      </c>
      <c r="J16" s="390" t="s">
        <v>52</v>
      </c>
      <c r="K16" s="390" t="s">
        <v>101</v>
      </c>
      <c r="L16" s="390" t="s">
        <v>72</v>
      </c>
      <c r="M16" s="390" t="s">
        <v>112</v>
      </c>
      <c r="N16" s="390" t="s">
        <v>74</v>
      </c>
      <c r="O16" s="390"/>
      <c r="P16" s="389">
        <v>0.89</v>
      </c>
      <c r="Q16" s="66" t="s">
        <v>113</v>
      </c>
      <c r="R16" s="66" t="s">
        <v>114</v>
      </c>
      <c r="S16" s="67" t="s">
        <v>74</v>
      </c>
      <c r="T16" s="67"/>
      <c r="U16" s="82">
        <v>0.89</v>
      </c>
      <c r="V16" s="574">
        <v>2990630691</v>
      </c>
      <c r="W16" s="570"/>
      <c r="X16" s="26" t="s">
        <v>102</v>
      </c>
      <c r="Y16" s="392">
        <f>(1/1)</f>
        <v>1</v>
      </c>
      <c r="Z16" s="576">
        <f>+P16</f>
        <v>0.89</v>
      </c>
      <c r="AA16" s="392">
        <f>Y16/Z16</f>
        <v>1.1235955056179776</v>
      </c>
      <c r="AB16" s="391" t="s">
        <v>115</v>
      </c>
      <c r="AC16" s="68">
        <f>(2/2)</f>
        <v>1</v>
      </c>
      <c r="AD16" s="82">
        <f t="shared" si="0"/>
        <v>0.89</v>
      </c>
      <c r="AE16" s="68">
        <f>+AC16/AD16</f>
        <v>1.1235955056179776</v>
      </c>
      <c r="AF16" s="67" t="s">
        <v>116</v>
      </c>
      <c r="AG16" s="563">
        <v>1</v>
      </c>
      <c r="AH16" s="573">
        <v>0.89</v>
      </c>
      <c r="AI16" s="563">
        <v>1.1235955056179776</v>
      </c>
      <c r="AJ16" s="562" t="s">
        <v>117</v>
      </c>
      <c r="AK16" s="70">
        <v>1</v>
      </c>
      <c r="AL16" s="84">
        <v>0.89</v>
      </c>
      <c r="AM16" s="70">
        <v>1.1235955056179776</v>
      </c>
      <c r="AN16" s="69" t="s">
        <v>118</v>
      </c>
      <c r="AO16" s="563">
        <f>(9/9)</f>
        <v>1</v>
      </c>
      <c r="AP16" s="573">
        <f>+P16</f>
        <v>0.89</v>
      </c>
      <c r="AQ16" s="563">
        <f>AO16/AP16</f>
        <v>1.1235955056179776</v>
      </c>
      <c r="AR16" s="562" t="s">
        <v>119</v>
      </c>
      <c r="AS16" s="70">
        <f>(3/3)</f>
        <v>1</v>
      </c>
      <c r="AT16" s="84">
        <f t="shared" si="1"/>
        <v>0.89</v>
      </c>
      <c r="AU16" s="70">
        <f>+AS16/AT16</f>
        <v>1.1235955056179776</v>
      </c>
      <c r="AV16" s="69" t="s">
        <v>120</v>
      </c>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c r="HH16" s="71"/>
      <c r="HI16" s="71"/>
      <c r="HJ16" s="71"/>
      <c r="HK16" s="71"/>
      <c r="HL16" s="71"/>
      <c r="HM16" s="71"/>
      <c r="HN16" s="71"/>
      <c r="HO16" s="71"/>
      <c r="HP16" s="71"/>
      <c r="HQ16" s="71"/>
      <c r="HR16" s="71"/>
      <c r="HS16" s="71"/>
      <c r="HT16" s="71"/>
      <c r="HU16" s="71"/>
      <c r="HV16" s="71"/>
      <c r="HW16" s="71"/>
      <c r="HX16" s="71"/>
      <c r="HY16" s="71"/>
      <c r="HZ16" s="71"/>
      <c r="IA16" s="71"/>
      <c r="IB16" s="71"/>
      <c r="IC16" s="71"/>
      <c r="ID16" s="71"/>
      <c r="IE16" s="71"/>
      <c r="IF16" s="71"/>
      <c r="IG16" s="71"/>
      <c r="IH16" s="71"/>
      <c r="II16" s="71"/>
      <c r="IJ16" s="71"/>
      <c r="IK16" s="71"/>
      <c r="IL16" s="71"/>
      <c r="IM16" s="71"/>
      <c r="IN16" s="71"/>
      <c r="IO16" s="71"/>
      <c r="IP16" s="71"/>
      <c r="IQ16" s="71"/>
      <c r="IR16" s="71"/>
      <c r="IS16" s="71"/>
      <c r="IT16" s="71"/>
      <c r="IU16" s="71"/>
      <c r="IV16" s="71"/>
      <c r="IW16" s="71"/>
      <c r="IX16" s="71"/>
      <c r="IY16" s="71"/>
      <c r="IZ16" s="71"/>
      <c r="JA16" s="71"/>
      <c r="JB16" s="71"/>
      <c r="JC16" s="71"/>
      <c r="JD16" s="71"/>
      <c r="JE16" s="71"/>
      <c r="JF16" s="71"/>
      <c r="JG16" s="71"/>
      <c r="JH16" s="71"/>
      <c r="JI16" s="71"/>
      <c r="JJ16" s="71"/>
      <c r="JK16" s="71"/>
      <c r="JL16" s="71"/>
      <c r="JM16" s="71"/>
      <c r="JN16" s="71"/>
      <c r="JO16" s="71"/>
      <c r="JP16" s="71"/>
      <c r="JQ16" s="71"/>
      <c r="JR16" s="71"/>
      <c r="JS16" s="71"/>
      <c r="JT16" s="71"/>
      <c r="JU16" s="71"/>
      <c r="JV16" s="71"/>
      <c r="JW16" s="71"/>
      <c r="JX16" s="71"/>
      <c r="JY16" s="71"/>
      <c r="JZ16" s="71"/>
      <c r="KA16" s="71"/>
      <c r="KB16" s="71"/>
      <c r="KC16" s="71"/>
      <c r="KD16" s="71"/>
      <c r="KE16" s="71"/>
      <c r="KF16" s="71"/>
      <c r="KG16" s="71"/>
      <c r="KH16" s="71"/>
      <c r="KI16" s="71"/>
      <c r="KJ16" s="71"/>
      <c r="KK16" s="71"/>
      <c r="KL16" s="71"/>
      <c r="KM16" s="71"/>
      <c r="KN16" s="71"/>
      <c r="KO16" s="71"/>
      <c r="KP16" s="71"/>
      <c r="KQ16" s="71"/>
      <c r="KR16" s="71"/>
      <c r="KS16" s="71"/>
      <c r="KT16" s="71"/>
      <c r="KU16" s="71"/>
      <c r="KV16" s="71"/>
      <c r="KW16" s="71"/>
      <c r="KX16" s="71"/>
      <c r="KY16" s="71"/>
      <c r="KZ16" s="71"/>
      <c r="LA16" s="71"/>
      <c r="LB16" s="71"/>
      <c r="LC16" s="71"/>
      <c r="LD16" s="71"/>
      <c r="LE16" s="71"/>
      <c r="LF16" s="71"/>
      <c r="LG16" s="71"/>
      <c r="LH16" s="71"/>
      <c r="LI16" s="71"/>
      <c r="LJ16" s="71"/>
      <c r="LK16" s="71"/>
      <c r="LL16" s="71"/>
      <c r="LM16" s="71"/>
      <c r="LN16" s="71"/>
      <c r="LO16" s="71"/>
      <c r="LP16" s="71"/>
      <c r="LQ16" s="71"/>
      <c r="LR16" s="71"/>
      <c r="LS16" s="71"/>
      <c r="LT16" s="71"/>
      <c r="LU16" s="71"/>
      <c r="LV16" s="71"/>
      <c r="LW16" s="71"/>
      <c r="LX16" s="71"/>
      <c r="LY16" s="71"/>
      <c r="LZ16" s="71"/>
      <c r="MA16" s="71"/>
      <c r="MB16" s="71"/>
      <c r="MC16" s="71"/>
      <c r="MD16" s="71"/>
      <c r="ME16" s="71"/>
      <c r="MF16" s="71"/>
      <c r="MG16" s="71"/>
      <c r="MH16" s="71"/>
      <c r="MI16" s="71"/>
      <c r="MJ16" s="71"/>
      <c r="MK16" s="71"/>
      <c r="ML16" s="71"/>
      <c r="MM16" s="71"/>
      <c r="MN16" s="71"/>
      <c r="MO16" s="71"/>
      <c r="MP16" s="71"/>
      <c r="MQ16" s="71"/>
      <c r="MR16" s="71"/>
      <c r="MS16" s="71"/>
      <c r="MT16" s="71"/>
      <c r="MU16" s="71"/>
      <c r="MV16" s="71"/>
      <c r="MW16" s="71"/>
      <c r="MX16" s="71"/>
      <c r="MY16" s="71"/>
      <c r="MZ16" s="71"/>
      <c r="NA16" s="71"/>
      <c r="NB16" s="71"/>
      <c r="NC16" s="71"/>
      <c r="ND16" s="71"/>
      <c r="NE16" s="71"/>
      <c r="NF16" s="71"/>
      <c r="NG16" s="71"/>
      <c r="NH16" s="71"/>
      <c r="NI16" s="71"/>
      <c r="NJ16" s="71"/>
      <c r="NK16" s="71"/>
      <c r="NL16" s="71"/>
      <c r="NM16" s="71"/>
      <c r="NN16" s="71"/>
      <c r="NO16" s="71"/>
      <c r="NP16" s="71"/>
      <c r="NQ16" s="71"/>
      <c r="NR16" s="71"/>
      <c r="NS16" s="71"/>
      <c r="NT16" s="71"/>
      <c r="NU16" s="71"/>
      <c r="NV16" s="71"/>
      <c r="NW16" s="71"/>
      <c r="NX16" s="71"/>
      <c r="NY16" s="71"/>
      <c r="NZ16" s="71"/>
      <c r="OA16" s="71"/>
      <c r="OB16" s="71"/>
      <c r="OC16" s="71"/>
      <c r="OD16" s="71"/>
      <c r="OE16" s="71"/>
      <c r="OF16" s="71"/>
      <c r="OG16" s="71"/>
      <c r="OH16" s="71"/>
      <c r="OI16" s="71"/>
      <c r="OJ16" s="71"/>
      <c r="OK16" s="71"/>
      <c r="OL16" s="71"/>
      <c r="OM16" s="71"/>
      <c r="ON16" s="71"/>
      <c r="OO16" s="71"/>
      <c r="OP16" s="71"/>
      <c r="OQ16" s="71"/>
      <c r="OR16" s="71"/>
      <c r="OS16" s="71"/>
      <c r="OT16" s="71"/>
      <c r="OU16" s="71"/>
      <c r="OV16" s="71"/>
      <c r="OW16" s="71"/>
      <c r="OX16" s="71"/>
      <c r="OY16" s="71"/>
      <c r="OZ16" s="71"/>
      <c r="PA16" s="71"/>
      <c r="PB16" s="71"/>
      <c r="PC16" s="71"/>
      <c r="PD16" s="71"/>
      <c r="PE16" s="71"/>
      <c r="PF16" s="71"/>
      <c r="PG16" s="71"/>
      <c r="PH16" s="71"/>
      <c r="PI16" s="71"/>
      <c r="PJ16" s="71"/>
      <c r="PK16" s="71"/>
      <c r="PL16" s="71"/>
      <c r="PM16" s="71"/>
      <c r="PN16" s="71"/>
      <c r="PO16" s="71"/>
      <c r="PP16" s="71"/>
      <c r="PQ16" s="71"/>
      <c r="PR16" s="71"/>
      <c r="PS16" s="71"/>
      <c r="PT16" s="71"/>
      <c r="PU16" s="71"/>
      <c r="PV16" s="71"/>
      <c r="PW16" s="71"/>
      <c r="PX16" s="71"/>
      <c r="PY16" s="71"/>
      <c r="PZ16" s="71"/>
      <c r="QA16" s="71"/>
      <c r="QB16" s="71"/>
      <c r="QC16" s="71"/>
      <c r="QD16" s="71"/>
      <c r="QE16" s="71"/>
      <c r="QF16" s="71"/>
      <c r="QG16" s="71"/>
      <c r="QH16" s="71"/>
      <c r="QI16" s="71"/>
      <c r="QJ16" s="71"/>
      <c r="QK16" s="71"/>
      <c r="QL16" s="71"/>
      <c r="QM16" s="71"/>
      <c r="QN16" s="71"/>
      <c r="QO16" s="71"/>
      <c r="QP16" s="71"/>
      <c r="QQ16" s="71"/>
      <c r="QR16" s="71"/>
      <c r="QS16" s="71"/>
      <c r="QT16" s="71"/>
      <c r="QU16" s="71"/>
      <c r="QV16" s="71"/>
      <c r="QW16" s="71"/>
      <c r="QX16" s="71"/>
      <c r="QY16" s="71"/>
      <c r="QZ16" s="71"/>
      <c r="RA16" s="71"/>
      <c r="RB16" s="71"/>
      <c r="RC16" s="71"/>
      <c r="RD16" s="71"/>
      <c r="RE16" s="71"/>
      <c r="RF16" s="71"/>
      <c r="RG16" s="71"/>
      <c r="RH16" s="71"/>
      <c r="RI16" s="71"/>
      <c r="RJ16" s="71"/>
      <c r="RK16" s="71"/>
      <c r="RL16" s="71"/>
      <c r="RM16" s="71"/>
      <c r="RN16" s="71"/>
      <c r="RO16" s="71"/>
      <c r="RP16" s="71"/>
      <c r="RQ16" s="71"/>
      <c r="RR16" s="71"/>
      <c r="RS16" s="71"/>
      <c r="RT16" s="71"/>
      <c r="RU16" s="71"/>
      <c r="RV16" s="71"/>
      <c r="RW16" s="71"/>
      <c r="RX16" s="71"/>
      <c r="RY16" s="71"/>
      <c r="RZ16" s="71"/>
      <c r="SA16" s="71"/>
      <c r="SB16" s="71"/>
      <c r="SC16" s="71"/>
      <c r="SD16" s="71"/>
      <c r="SE16" s="71"/>
      <c r="SF16" s="71"/>
      <c r="SG16" s="71"/>
      <c r="SH16" s="71"/>
      <c r="SI16" s="71"/>
      <c r="SJ16" s="71"/>
      <c r="SK16" s="71"/>
      <c r="SL16" s="71"/>
      <c r="SM16" s="71"/>
      <c r="SN16" s="71"/>
      <c r="SO16" s="71"/>
      <c r="SP16" s="71"/>
      <c r="SQ16" s="71"/>
      <c r="SR16" s="71"/>
      <c r="SS16" s="71"/>
      <c r="ST16" s="71"/>
      <c r="SU16" s="71"/>
      <c r="SV16" s="71"/>
      <c r="SW16" s="71"/>
      <c r="SX16" s="71"/>
      <c r="SY16" s="71"/>
      <c r="SZ16" s="71"/>
      <c r="TA16" s="71"/>
      <c r="TB16" s="71"/>
      <c r="TC16" s="71"/>
      <c r="TD16" s="71"/>
      <c r="TE16" s="71"/>
      <c r="TF16" s="71"/>
      <c r="TG16" s="71"/>
      <c r="TH16" s="71"/>
      <c r="TI16" s="71"/>
      <c r="TJ16" s="71"/>
      <c r="TK16" s="71"/>
      <c r="TL16" s="71"/>
      <c r="TM16" s="71"/>
      <c r="TN16" s="71"/>
      <c r="TO16" s="71"/>
      <c r="TP16" s="71"/>
      <c r="TQ16" s="71"/>
      <c r="TR16" s="71"/>
      <c r="TS16" s="71"/>
      <c r="TT16" s="71"/>
      <c r="TU16" s="71"/>
      <c r="TV16" s="71"/>
      <c r="TW16" s="71"/>
      <c r="TX16" s="71"/>
      <c r="TY16" s="71"/>
      <c r="TZ16" s="71"/>
      <c r="UA16" s="71"/>
      <c r="UB16" s="71"/>
      <c r="UC16" s="71"/>
      <c r="UD16" s="71"/>
      <c r="UE16" s="71"/>
      <c r="UF16" s="71"/>
      <c r="UG16" s="71"/>
      <c r="UH16" s="71"/>
      <c r="UI16" s="71"/>
      <c r="UJ16" s="71"/>
      <c r="UK16" s="71"/>
      <c r="UL16" s="71"/>
      <c r="UM16" s="71"/>
      <c r="UN16" s="71"/>
      <c r="UO16" s="71"/>
      <c r="UP16" s="71"/>
      <c r="UQ16" s="71"/>
      <c r="UR16" s="71"/>
      <c r="US16" s="71"/>
      <c r="UT16" s="71"/>
      <c r="UU16" s="71"/>
      <c r="UV16" s="71"/>
      <c r="UW16" s="71"/>
      <c r="UX16" s="71"/>
      <c r="UY16" s="71"/>
      <c r="UZ16" s="71"/>
      <c r="VA16" s="71"/>
      <c r="VB16" s="71"/>
      <c r="VC16" s="71"/>
      <c r="VD16" s="71"/>
      <c r="VE16" s="71"/>
      <c r="VF16" s="71"/>
      <c r="VG16" s="71"/>
      <c r="VH16" s="71"/>
      <c r="VI16" s="71"/>
      <c r="VJ16" s="71"/>
      <c r="VK16" s="71"/>
      <c r="VL16" s="71"/>
      <c r="VM16" s="71"/>
      <c r="VN16" s="71"/>
      <c r="VO16" s="71"/>
      <c r="VP16" s="71"/>
      <c r="VQ16" s="71"/>
      <c r="VR16" s="71"/>
      <c r="VS16" s="71"/>
      <c r="VT16" s="71"/>
      <c r="VU16" s="71"/>
      <c r="VV16" s="71"/>
      <c r="VW16" s="71"/>
      <c r="VX16" s="71"/>
      <c r="VY16" s="71"/>
      <c r="VZ16" s="71"/>
      <c r="WA16" s="71"/>
      <c r="WB16" s="71"/>
      <c r="WC16" s="71"/>
      <c r="WD16" s="71"/>
      <c r="WE16" s="71"/>
      <c r="WF16" s="71"/>
      <c r="WG16" s="71"/>
      <c r="WH16" s="71"/>
      <c r="WI16" s="71"/>
      <c r="WJ16" s="71"/>
      <c r="WK16" s="71"/>
      <c r="WL16" s="71"/>
      <c r="WM16" s="71"/>
      <c r="WN16" s="71"/>
      <c r="WO16" s="71"/>
      <c r="WP16" s="71"/>
      <c r="WQ16" s="71"/>
      <c r="WR16" s="71"/>
      <c r="WS16" s="71"/>
      <c r="WT16" s="71"/>
      <c r="WU16" s="71"/>
      <c r="WV16" s="71"/>
      <c r="WW16" s="71"/>
      <c r="WX16" s="71"/>
      <c r="WY16" s="71"/>
      <c r="WZ16" s="71"/>
      <c r="XA16" s="71"/>
      <c r="XB16" s="71"/>
      <c r="XC16" s="71"/>
      <c r="XD16" s="71"/>
      <c r="XE16" s="71"/>
      <c r="XF16" s="71"/>
      <c r="XG16" s="71"/>
      <c r="XH16" s="71"/>
      <c r="XI16" s="71"/>
      <c r="XJ16" s="71"/>
      <c r="XK16" s="71"/>
      <c r="XL16" s="71"/>
      <c r="XM16" s="71"/>
      <c r="XN16" s="71"/>
      <c r="XO16" s="71"/>
      <c r="XP16" s="71"/>
      <c r="XQ16" s="71"/>
      <c r="XR16" s="71"/>
      <c r="XS16" s="71"/>
      <c r="XT16" s="71"/>
      <c r="XU16" s="71"/>
      <c r="XV16" s="71"/>
      <c r="XW16" s="71"/>
      <c r="XX16" s="71"/>
      <c r="XY16" s="71"/>
      <c r="XZ16" s="71"/>
      <c r="YA16" s="71"/>
      <c r="YB16" s="71"/>
      <c r="YC16" s="71"/>
      <c r="YD16" s="71"/>
      <c r="YE16" s="71"/>
      <c r="YF16" s="71"/>
      <c r="YG16" s="71"/>
      <c r="YH16" s="71"/>
      <c r="YI16" s="71"/>
      <c r="YJ16" s="71"/>
      <c r="YK16" s="71"/>
      <c r="YL16" s="71"/>
      <c r="YM16" s="71"/>
      <c r="YN16" s="71"/>
      <c r="YO16" s="71"/>
      <c r="YP16" s="71"/>
      <c r="YQ16" s="71"/>
      <c r="YR16" s="71"/>
      <c r="YS16" s="71"/>
      <c r="YT16" s="71"/>
      <c r="YU16" s="71"/>
      <c r="YV16" s="71"/>
      <c r="YW16" s="71"/>
      <c r="YX16" s="71"/>
      <c r="YY16" s="71"/>
      <c r="YZ16" s="71"/>
      <c r="ZA16" s="71"/>
      <c r="ZB16" s="71"/>
      <c r="ZC16" s="71"/>
      <c r="ZD16" s="71"/>
      <c r="ZE16" s="71"/>
      <c r="ZF16" s="71"/>
      <c r="ZG16" s="71"/>
      <c r="ZH16" s="71"/>
      <c r="ZI16" s="71"/>
      <c r="ZJ16" s="71"/>
      <c r="ZK16" s="71"/>
      <c r="ZL16" s="71"/>
      <c r="ZM16" s="71"/>
      <c r="ZN16" s="71"/>
      <c r="ZO16" s="71"/>
      <c r="ZP16" s="71"/>
      <c r="ZQ16" s="71"/>
      <c r="ZR16" s="71"/>
      <c r="ZS16" s="71"/>
      <c r="ZT16" s="71"/>
      <c r="ZU16" s="71"/>
      <c r="ZV16" s="71"/>
      <c r="ZW16" s="71"/>
      <c r="ZX16" s="71"/>
      <c r="ZY16" s="71"/>
      <c r="ZZ16" s="71"/>
      <c r="AAA16" s="71"/>
      <c r="AAB16" s="71"/>
      <c r="AAC16" s="71"/>
      <c r="AAD16" s="71"/>
      <c r="AAE16" s="71"/>
      <c r="AAF16" s="71"/>
    </row>
    <row r="17" spans="1:708" s="79" customFormat="1" ht="54" customHeight="1" x14ac:dyDescent="0.25">
      <c r="A17" s="491"/>
      <c r="B17" s="566"/>
      <c r="C17" s="568"/>
      <c r="D17" s="568"/>
      <c r="E17" s="568"/>
      <c r="F17" s="568"/>
      <c r="G17" s="568"/>
      <c r="H17" s="568"/>
      <c r="I17" s="578"/>
      <c r="J17" s="390"/>
      <c r="K17" s="390"/>
      <c r="L17" s="390"/>
      <c r="M17" s="390"/>
      <c r="N17" s="390"/>
      <c r="O17" s="390"/>
      <c r="P17" s="389"/>
      <c r="Q17" s="73" t="s">
        <v>121</v>
      </c>
      <c r="R17" s="73" t="s">
        <v>122</v>
      </c>
      <c r="S17" s="74" t="s">
        <v>74</v>
      </c>
      <c r="T17" s="74"/>
      <c r="U17" s="85">
        <v>0.89</v>
      </c>
      <c r="V17" s="575"/>
      <c r="W17" s="570"/>
      <c r="X17" s="75" t="s">
        <v>102</v>
      </c>
      <c r="Y17" s="392"/>
      <c r="Z17" s="391"/>
      <c r="AA17" s="392"/>
      <c r="AB17" s="391"/>
      <c r="AC17" s="76">
        <f>0/3</f>
        <v>0</v>
      </c>
      <c r="AD17" s="85">
        <f t="shared" si="0"/>
        <v>0.89</v>
      </c>
      <c r="AE17" s="76">
        <f>+AC17/AD17</f>
        <v>0</v>
      </c>
      <c r="AF17" s="74" t="s">
        <v>123</v>
      </c>
      <c r="AG17" s="563"/>
      <c r="AH17" s="562"/>
      <c r="AI17" s="563"/>
      <c r="AJ17" s="562"/>
      <c r="AK17" s="78">
        <v>0</v>
      </c>
      <c r="AL17" s="86">
        <v>0.89</v>
      </c>
      <c r="AM17" s="78">
        <v>0</v>
      </c>
      <c r="AN17" s="77" t="s">
        <v>124</v>
      </c>
      <c r="AO17" s="563"/>
      <c r="AP17" s="562"/>
      <c r="AQ17" s="563"/>
      <c r="AR17" s="562"/>
      <c r="AS17" s="78">
        <f>0/9</f>
        <v>0</v>
      </c>
      <c r="AT17" s="86">
        <f t="shared" si="1"/>
        <v>0.89</v>
      </c>
      <c r="AU17" s="78">
        <f>+AS17/AT17</f>
        <v>0</v>
      </c>
      <c r="AV17" s="77" t="s">
        <v>125</v>
      </c>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c r="IW17" s="71"/>
      <c r="IX17" s="71"/>
      <c r="IY17" s="71"/>
      <c r="IZ17" s="71"/>
      <c r="JA17" s="71"/>
      <c r="JB17" s="71"/>
      <c r="JC17" s="71"/>
      <c r="JD17" s="71"/>
      <c r="JE17" s="71"/>
      <c r="JF17" s="71"/>
      <c r="JG17" s="71"/>
      <c r="JH17" s="71"/>
      <c r="JI17" s="71"/>
      <c r="JJ17" s="71"/>
      <c r="JK17" s="71"/>
      <c r="JL17" s="71"/>
      <c r="JM17" s="71"/>
      <c r="JN17" s="71"/>
      <c r="JO17" s="71"/>
      <c r="JP17" s="71"/>
      <c r="JQ17" s="71"/>
      <c r="JR17" s="71"/>
      <c r="JS17" s="71"/>
      <c r="JT17" s="71"/>
      <c r="JU17" s="71"/>
      <c r="JV17" s="71"/>
      <c r="JW17" s="71"/>
      <c r="JX17" s="71"/>
      <c r="JY17" s="71"/>
      <c r="JZ17" s="71"/>
      <c r="KA17" s="71"/>
      <c r="KB17" s="71"/>
      <c r="KC17" s="71"/>
      <c r="KD17" s="71"/>
      <c r="KE17" s="71"/>
      <c r="KF17" s="71"/>
      <c r="KG17" s="71"/>
      <c r="KH17" s="71"/>
      <c r="KI17" s="71"/>
      <c r="KJ17" s="71"/>
      <c r="KK17" s="71"/>
      <c r="KL17" s="71"/>
      <c r="KM17" s="71"/>
      <c r="KN17" s="71"/>
      <c r="KO17" s="71"/>
      <c r="KP17" s="71"/>
      <c r="KQ17" s="71"/>
      <c r="KR17" s="71"/>
      <c r="KS17" s="71"/>
      <c r="KT17" s="71"/>
      <c r="KU17" s="71"/>
      <c r="KV17" s="71"/>
      <c r="KW17" s="71"/>
      <c r="KX17" s="71"/>
      <c r="KY17" s="71"/>
      <c r="KZ17" s="71"/>
      <c r="LA17" s="71"/>
      <c r="LB17" s="71"/>
      <c r="LC17" s="71"/>
      <c r="LD17" s="71"/>
      <c r="LE17" s="71"/>
      <c r="LF17" s="71"/>
      <c r="LG17" s="71"/>
      <c r="LH17" s="71"/>
      <c r="LI17" s="71"/>
      <c r="LJ17" s="71"/>
      <c r="LK17" s="71"/>
      <c r="LL17" s="71"/>
      <c r="LM17" s="71"/>
      <c r="LN17" s="71"/>
      <c r="LO17" s="71"/>
      <c r="LP17" s="71"/>
      <c r="LQ17" s="71"/>
      <c r="LR17" s="71"/>
      <c r="LS17" s="71"/>
      <c r="LT17" s="71"/>
      <c r="LU17" s="71"/>
      <c r="LV17" s="71"/>
      <c r="LW17" s="71"/>
      <c r="LX17" s="71"/>
      <c r="LY17" s="71"/>
      <c r="LZ17" s="71"/>
      <c r="MA17" s="71"/>
      <c r="MB17" s="71"/>
      <c r="MC17" s="71"/>
      <c r="MD17" s="71"/>
      <c r="ME17" s="71"/>
      <c r="MF17" s="71"/>
      <c r="MG17" s="71"/>
      <c r="MH17" s="71"/>
      <c r="MI17" s="71"/>
      <c r="MJ17" s="71"/>
      <c r="MK17" s="71"/>
      <c r="ML17" s="71"/>
      <c r="MM17" s="71"/>
      <c r="MN17" s="71"/>
      <c r="MO17" s="71"/>
      <c r="MP17" s="71"/>
      <c r="MQ17" s="71"/>
      <c r="MR17" s="71"/>
      <c r="MS17" s="71"/>
      <c r="MT17" s="71"/>
      <c r="MU17" s="71"/>
      <c r="MV17" s="71"/>
      <c r="MW17" s="71"/>
      <c r="MX17" s="71"/>
      <c r="MY17" s="71"/>
      <c r="MZ17" s="71"/>
      <c r="NA17" s="71"/>
      <c r="NB17" s="71"/>
      <c r="NC17" s="71"/>
      <c r="ND17" s="71"/>
      <c r="NE17" s="71"/>
      <c r="NF17" s="71"/>
      <c r="NG17" s="71"/>
      <c r="NH17" s="71"/>
      <c r="NI17" s="71"/>
      <c r="NJ17" s="71"/>
      <c r="NK17" s="71"/>
      <c r="NL17" s="71"/>
      <c r="NM17" s="71"/>
      <c r="NN17" s="71"/>
      <c r="NO17" s="71"/>
      <c r="NP17" s="71"/>
      <c r="NQ17" s="71"/>
      <c r="NR17" s="71"/>
      <c r="NS17" s="71"/>
      <c r="NT17" s="71"/>
      <c r="NU17" s="71"/>
      <c r="NV17" s="71"/>
      <c r="NW17" s="71"/>
      <c r="NX17" s="71"/>
      <c r="NY17" s="71"/>
      <c r="NZ17" s="71"/>
      <c r="OA17" s="71"/>
      <c r="OB17" s="71"/>
      <c r="OC17" s="71"/>
      <c r="OD17" s="71"/>
      <c r="OE17" s="71"/>
      <c r="OF17" s="71"/>
      <c r="OG17" s="71"/>
      <c r="OH17" s="71"/>
      <c r="OI17" s="71"/>
      <c r="OJ17" s="71"/>
      <c r="OK17" s="71"/>
      <c r="OL17" s="71"/>
      <c r="OM17" s="71"/>
      <c r="ON17" s="71"/>
      <c r="OO17" s="71"/>
      <c r="OP17" s="71"/>
      <c r="OQ17" s="71"/>
      <c r="OR17" s="71"/>
      <c r="OS17" s="71"/>
      <c r="OT17" s="71"/>
      <c r="OU17" s="71"/>
      <c r="OV17" s="71"/>
      <c r="OW17" s="71"/>
      <c r="OX17" s="71"/>
      <c r="OY17" s="71"/>
      <c r="OZ17" s="71"/>
      <c r="PA17" s="71"/>
      <c r="PB17" s="71"/>
      <c r="PC17" s="71"/>
      <c r="PD17" s="71"/>
      <c r="PE17" s="71"/>
      <c r="PF17" s="71"/>
      <c r="PG17" s="71"/>
      <c r="PH17" s="71"/>
      <c r="PI17" s="71"/>
      <c r="PJ17" s="71"/>
      <c r="PK17" s="71"/>
      <c r="PL17" s="71"/>
      <c r="PM17" s="71"/>
      <c r="PN17" s="71"/>
      <c r="PO17" s="71"/>
      <c r="PP17" s="71"/>
      <c r="PQ17" s="71"/>
      <c r="PR17" s="71"/>
      <c r="PS17" s="71"/>
      <c r="PT17" s="71"/>
      <c r="PU17" s="71"/>
      <c r="PV17" s="71"/>
      <c r="PW17" s="71"/>
      <c r="PX17" s="71"/>
      <c r="PY17" s="71"/>
      <c r="PZ17" s="71"/>
      <c r="QA17" s="71"/>
      <c r="QB17" s="71"/>
      <c r="QC17" s="71"/>
      <c r="QD17" s="71"/>
      <c r="QE17" s="71"/>
      <c r="QF17" s="71"/>
      <c r="QG17" s="71"/>
      <c r="QH17" s="71"/>
      <c r="QI17" s="71"/>
      <c r="QJ17" s="71"/>
      <c r="QK17" s="71"/>
      <c r="QL17" s="71"/>
      <c r="QM17" s="71"/>
      <c r="QN17" s="71"/>
      <c r="QO17" s="71"/>
      <c r="QP17" s="71"/>
      <c r="QQ17" s="71"/>
      <c r="QR17" s="71"/>
      <c r="QS17" s="71"/>
      <c r="QT17" s="71"/>
      <c r="QU17" s="71"/>
      <c r="QV17" s="71"/>
      <c r="QW17" s="71"/>
      <c r="QX17" s="71"/>
      <c r="QY17" s="71"/>
      <c r="QZ17" s="71"/>
      <c r="RA17" s="71"/>
      <c r="RB17" s="71"/>
      <c r="RC17" s="71"/>
      <c r="RD17" s="71"/>
      <c r="RE17" s="71"/>
      <c r="RF17" s="71"/>
      <c r="RG17" s="71"/>
      <c r="RH17" s="71"/>
      <c r="RI17" s="71"/>
      <c r="RJ17" s="71"/>
      <c r="RK17" s="71"/>
      <c r="RL17" s="71"/>
      <c r="RM17" s="71"/>
      <c r="RN17" s="71"/>
      <c r="RO17" s="71"/>
      <c r="RP17" s="71"/>
      <c r="RQ17" s="71"/>
      <c r="RR17" s="71"/>
      <c r="RS17" s="71"/>
      <c r="RT17" s="71"/>
      <c r="RU17" s="71"/>
      <c r="RV17" s="71"/>
      <c r="RW17" s="71"/>
      <c r="RX17" s="71"/>
      <c r="RY17" s="71"/>
      <c r="RZ17" s="71"/>
      <c r="SA17" s="71"/>
      <c r="SB17" s="71"/>
      <c r="SC17" s="71"/>
      <c r="SD17" s="71"/>
      <c r="SE17" s="71"/>
      <c r="SF17" s="71"/>
      <c r="SG17" s="71"/>
      <c r="SH17" s="71"/>
      <c r="SI17" s="71"/>
      <c r="SJ17" s="71"/>
      <c r="SK17" s="71"/>
      <c r="SL17" s="71"/>
      <c r="SM17" s="71"/>
      <c r="SN17" s="71"/>
      <c r="SO17" s="71"/>
      <c r="SP17" s="71"/>
      <c r="SQ17" s="71"/>
      <c r="SR17" s="71"/>
      <c r="SS17" s="71"/>
      <c r="ST17" s="71"/>
      <c r="SU17" s="71"/>
      <c r="SV17" s="71"/>
      <c r="SW17" s="71"/>
      <c r="SX17" s="71"/>
      <c r="SY17" s="71"/>
      <c r="SZ17" s="71"/>
      <c r="TA17" s="71"/>
      <c r="TB17" s="71"/>
      <c r="TC17" s="71"/>
      <c r="TD17" s="71"/>
      <c r="TE17" s="71"/>
      <c r="TF17" s="71"/>
      <c r="TG17" s="71"/>
      <c r="TH17" s="71"/>
      <c r="TI17" s="71"/>
      <c r="TJ17" s="71"/>
      <c r="TK17" s="71"/>
      <c r="TL17" s="71"/>
      <c r="TM17" s="71"/>
      <c r="TN17" s="71"/>
      <c r="TO17" s="71"/>
      <c r="TP17" s="71"/>
      <c r="TQ17" s="71"/>
      <c r="TR17" s="71"/>
      <c r="TS17" s="71"/>
      <c r="TT17" s="71"/>
      <c r="TU17" s="71"/>
      <c r="TV17" s="71"/>
      <c r="TW17" s="71"/>
      <c r="TX17" s="71"/>
      <c r="TY17" s="71"/>
      <c r="TZ17" s="71"/>
      <c r="UA17" s="71"/>
      <c r="UB17" s="71"/>
      <c r="UC17" s="71"/>
      <c r="UD17" s="71"/>
      <c r="UE17" s="71"/>
      <c r="UF17" s="71"/>
      <c r="UG17" s="71"/>
      <c r="UH17" s="71"/>
      <c r="UI17" s="71"/>
      <c r="UJ17" s="71"/>
      <c r="UK17" s="71"/>
      <c r="UL17" s="71"/>
      <c r="UM17" s="71"/>
      <c r="UN17" s="71"/>
      <c r="UO17" s="71"/>
      <c r="UP17" s="71"/>
      <c r="UQ17" s="71"/>
      <c r="UR17" s="71"/>
      <c r="US17" s="71"/>
      <c r="UT17" s="71"/>
      <c r="UU17" s="71"/>
      <c r="UV17" s="71"/>
      <c r="UW17" s="71"/>
      <c r="UX17" s="71"/>
      <c r="UY17" s="71"/>
      <c r="UZ17" s="71"/>
      <c r="VA17" s="71"/>
      <c r="VB17" s="71"/>
      <c r="VC17" s="71"/>
      <c r="VD17" s="71"/>
      <c r="VE17" s="71"/>
      <c r="VF17" s="71"/>
      <c r="VG17" s="71"/>
      <c r="VH17" s="71"/>
      <c r="VI17" s="71"/>
      <c r="VJ17" s="71"/>
      <c r="VK17" s="71"/>
      <c r="VL17" s="71"/>
      <c r="VM17" s="71"/>
      <c r="VN17" s="71"/>
      <c r="VO17" s="71"/>
      <c r="VP17" s="71"/>
      <c r="VQ17" s="71"/>
      <c r="VR17" s="71"/>
      <c r="VS17" s="71"/>
      <c r="VT17" s="71"/>
      <c r="VU17" s="71"/>
      <c r="VV17" s="71"/>
      <c r="VW17" s="71"/>
      <c r="VX17" s="71"/>
      <c r="VY17" s="71"/>
      <c r="VZ17" s="71"/>
      <c r="WA17" s="71"/>
      <c r="WB17" s="71"/>
      <c r="WC17" s="71"/>
      <c r="WD17" s="71"/>
      <c r="WE17" s="71"/>
      <c r="WF17" s="71"/>
      <c r="WG17" s="71"/>
      <c r="WH17" s="71"/>
      <c r="WI17" s="71"/>
      <c r="WJ17" s="71"/>
      <c r="WK17" s="71"/>
      <c r="WL17" s="71"/>
      <c r="WM17" s="71"/>
      <c r="WN17" s="71"/>
      <c r="WO17" s="71"/>
      <c r="WP17" s="71"/>
      <c r="WQ17" s="71"/>
      <c r="WR17" s="71"/>
      <c r="WS17" s="71"/>
      <c r="WT17" s="71"/>
      <c r="WU17" s="71"/>
      <c r="WV17" s="71"/>
      <c r="WW17" s="71"/>
      <c r="WX17" s="71"/>
      <c r="WY17" s="71"/>
      <c r="WZ17" s="71"/>
      <c r="XA17" s="71"/>
      <c r="XB17" s="71"/>
      <c r="XC17" s="71"/>
      <c r="XD17" s="71"/>
      <c r="XE17" s="71"/>
      <c r="XF17" s="71"/>
      <c r="XG17" s="71"/>
      <c r="XH17" s="71"/>
      <c r="XI17" s="71"/>
      <c r="XJ17" s="71"/>
      <c r="XK17" s="71"/>
      <c r="XL17" s="71"/>
      <c r="XM17" s="71"/>
      <c r="XN17" s="71"/>
      <c r="XO17" s="71"/>
      <c r="XP17" s="71"/>
      <c r="XQ17" s="71"/>
      <c r="XR17" s="71"/>
      <c r="XS17" s="71"/>
      <c r="XT17" s="71"/>
      <c r="XU17" s="71"/>
      <c r="XV17" s="71"/>
      <c r="XW17" s="71"/>
      <c r="XX17" s="71"/>
      <c r="XY17" s="71"/>
      <c r="XZ17" s="71"/>
      <c r="YA17" s="71"/>
      <c r="YB17" s="71"/>
      <c r="YC17" s="71"/>
      <c r="YD17" s="71"/>
      <c r="YE17" s="71"/>
      <c r="YF17" s="71"/>
      <c r="YG17" s="71"/>
      <c r="YH17" s="71"/>
      <c r="YI17" s="71"/>
      <c r="YJ17" s="71"/>
      <c r="YK17" s="71"/>
      <c r="YL17" s="71"/>
      <c r="YM17" s="71"/>
      <c r="YN17" s="71"/>
      <c r="YO17" s="71"/>
      <c r="YP17" s="71"/>
      <c r="YQ17" s="71"/>
      <c r="YR17" s="71"/>
      <c r="YS17" s="71"/>
      <c r="YT17" s="71"/>
      <c r="YU17" s="71"/>
      <c r="YV17" s="71"/>
      <c r="YW17" s="71"/>
      <c r="YX17" s="71"/>
      <c r="YY17" s="71"/>
      <c r="YZ17" s="71"/>
      <c r="ZA17" s="71"/>
      <c r="ZB17" s="71"/>
      <c r="ZC17" s="71"/>
      <c r="ZD17" s="71"/>
      <c r="ZE17" s="71"/>
      <c r="ZF17" s="71"/>
      <c r="ZG17" s="71"/>
      <c r="ZH17" s="71"/>
      <c r="ZI17" s="71"/>
      <c r="ZJ17" s="71"/>
      <c r="ZK17" s="71"/>
      <c r="ZL17" s="71"/>
      <c r="ZM17" s="71"/>
      <c r="ZN17" s="71"/>
      <c r="ZO17" s="71"/>
      <c r="ZP17" s="71"/>
      <c r="ZQ17" s="71"/>
      <c r="ZR17" s="71"/>
      <c r="ZS17" s="71"/>
      <c r="ZT17" s="71"/>
      <c r="ZU17" s="71"/>
      <c r="ZV17" s="71"/>
      <c r="ZW17" s="71"/>
      <c r="ZX17" s="71"/>
      <c r="ZY17" s="71"/>
      <c r="ZZ17" s="71"/>
      <c r="AAA17" s="71"/>
      <c r="AAB17" s="71"/>
      <c r="AAC17" s="71"/>
      <c r="AAD17" s="71"/>
      <c r="AAE17" s="71"/>
      <c r="AAF17" s="71"/>
    </row>
    <row r="18" spans="1:708" s="33" customFormat="1" ht="54" customHeight="1" x14ac:dyDescent="0.25">
      <c r="A18" s="504" t="s">
        <v>43</v>
      </c>
      <c r="B18" s="505" t="s">
        <v>44</v>
      </c>
      <c r="C18" s="507" t="s">
        <v>45</v>
      </c>
      <c r="D18" s="507" t="s">
        <v>46</v>
      </c>
      <c r="E18" s="507" t="s">
        <v>47</v>
      </c>
      <c r="F18" s="507" t="s">
        <v>48</v>
      </c>
      <c r="G18" s="507" t="s">
        <v>49</v>
      </c>
      <c r="H18" s="507" t="s">
        <v>50</v>
      </c>
      <c r="I18" s="560" t="s">
        <v>78</v>
      </c>
      <c r="J18" s="391" t="s">
        <v>52</v>
      </c>
      <c r="K18" s="391" t="s">
        <v>101</v>
      </c>
      <c r="L18" s="391" t="s">
        <v>79</v>
      </c>
      <c r="M18" s="391" t="s">
        <v>80</v>
      </c>
      <c r="N18" s="391" t="s">
        <v>56</v>
      </c>
      <c r="O18" s="391"/>
      <c r="P18" s="391">
        <v>566</v>
      </c>
      <c r="Q18" s="66" t="s">
        <v>81</v>
      </c>
      <c r="R18" s="66" t="s">
        <v>82</v>
      </c>
      <c r="S18" s="87" t="s">
        <v>56</v>
      </c>
      <c r="T18" s="88"/>
      <c r="U18" s="87">
        <v>425</v>
      </c>
      <c r="V18" s="89">
        <v>12224188561</v>
      </c>
      <c r="W18" s="570"/>
      <c r="X18" s="26" t="s">
        <v>126</v>
      </c>
      <c r="Y18" s="390">
        <v>25</v>
      </c>
      <c r="Z18" s="390">
        <f>+P18</f>
        <v>566</v>
      </c>
      <c r="AA18" s="389">
        <f>Y18/Z18</f>
        <v>4.4169611307420496E-2</v>
      </c>
      <c r="AB18" s="390" t="s">
        <v>127</v>
      </c>
      <c r="AC18" s="87">
        <v>36</v>
      </c>
      <c r="AD18" s="87">
        <f t="shared" si="0"/>
        <v>425</v>
      </c>
      <c r="AE18" s="90">
        <f>+AC18/AD18</f>
        <v>8.4705882352941173E-2</v>
      </c>
      <c r="AF18" s="67" t="s">
        <v>128</v>
      </c>
      <c r="AG18" s="579">
        <v>40</v>
      </c>
      <c r="AH18" s="579">
        <v>566</v>
      </c>
      <c r="AI18" s="580">
        <v>7.0671378091872794E-2</v>
      </c>
      <c r="AJ18" s="579" t="s">
        <v>129</v>
      </c>
      <c r="AK18" s="91">
        <v>93</v>
      </c>
      <c r="AL18" s="91">
        <v>425</v>
      </c>
      <c r="AM18" s="92">
        <v>0.21882352941176469</v>
      </c>
      <c r="AN18" s="69" t="s">
        <v>130</v>
      </c>
      <c r="AO18" s="579">
        <v>66</v>
      </c>
      <c r="AP18" s="579">
        <f>+P18</f>
        <v>566</v>
      </c>
      <c r="AQ18" s="580">
        <f>AO18/AP18</f>
        <v>0.1166077738515901</v>
      </c>
      <c r="AR18" s="579" t="s">
        <v>131</v>
      </c>
      <c r="AS18" s="91">
        <v>129</v>
      </c>
      <c r="AT18" s="91">
        <f t="shared" si="1"/>
        <v>425</v>
      </c>
      <c r="AU18" s="92">
        <f>+AS18/AT18</f>
        <v>0.30352941176470588</v>
      </c>
      <c r="AV18" s="69" t="s">
        <v>132</v>
      </c>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row>
    <row r="19" spans="1:708" s="22" customFormat="1" ht="53.25" customHeight="1" x14ac:dyDescent="0.25">
      <c r="A19" s="504"/>
      <c r="B19" s="506"/>
      <c r="C19" s="571"/>
      <c r="D19" s="571"/>
      <c r="E19" s="571"/>
      <c r="F19" s="571"/>
      <c r="G19" s="571"/>
      <c r="H19" s="571"/>
      <c r="I19" s="572"/>
      <c r="J19" s="391"/>
      <c r="K19" s="391"/>
      <c r="L19" s="391"/>
      <c r="M19" s="391"/>
      <c r="N19" s="391"/>
      <c r="O19" s="391"/>
      <c r="P19" s="391"/>
      <c r="Q19" s="73" t="s">
        <v>133</v>
      </c>
      <c r="R19" s="73" t="s">
        <v>134</v>
      </c>
      <c r="S19" s="74" t="s">
        <v>56</v>
      </c>
      <c r="T19" s="73"/>
      <c r="U19" s="74">
        <v>425</v>
      </c>
      <c r="V19" s="93">
        <v>12224188561</v>
      </c>
      <c r="W19" s="570"/>
      <c r="X19" s="75" t="s">
        <v>126</v>
      </c>
      <c r="Y19" s="390"/>
      <c r="Z19" s="390"/>
      <c r="AA19" s="389"/>
      <c r="AB19" s="390"/>
      <c r="AC19" s="74">
        <v>2</v>
      </c>
      <c r="AD19" s="74">
        <f t="shared" si="0"/>
        <v>425</v>
      </c>
      <c r="AE19" s="76">
        <f>AC19/AD19</f>
        <v>4.7058823529411761E-3</v>
      </c>
      <c r="AF19" s="74" t="s">
        <v>135</v>
      </c>
      <c r="AG19" s="579"/>
      <c r="AH19" s="579"/>
      <c r="AI19" s="580"/>
      <c r="AJ19" s="579"/>
      <c r="AK19" s="77">
        <v>17</v>
      </c>
      <c r="AL19" s="77">
        <v>425</v>
      </c>
      <c r="AM19" s="78">
        <v>0.04</v>
      </c>
      <c r="AN19" s="77" t="s">
        <v>136</v>
      </c>
      <c r="AO19" s="579"/>
      <c r="AP19" s="579"/>
      <c r="AQ19" s="580"/>
      <c r="AR19" s="579"/>
      <c r="AS19" s="77">
        <v>74</v>
      </c>
      <c r="AT19" s="77">
        <f t="shared" si="1"/>
        <v>425</v>
      </c>
      <c r="AU19" s="78">
        <f>AS19/AT19</f>
        <v>0.17411764705882352</v>
      </c>
      <c r="AV19" s="77" t="s">
        <v>137</v>
      </c>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row>
    <row r="20" spans="1:708" s="33" customFormat="1" ht="53.25" customHeight="1" x14ac:dyDescent="0.25">
      <c r="A20" s="504"/>
      <c r="B20" s="506"/>
      <c r="C20" s="571"/>
      <c r="D20" s="571"/>
      <c r="E20" s="571"/>
      <c r="F20" s="571"/>
      <c r="G20" s="571"/>
      <c r="H20" s="571"/>
      <c r="I20" s="572"/>
      <c r="J20" s="391"/>
      <c r="K20" s="391"/>
      <c r="L20" s="391"/>
      <c r="M20" s="391"/>
      <c r="N20" s="391"/>
      <c r="O20" s="391"/>
      <c r="P20" s="391"/>
      <c r="Q20" s="66" t="s">
        <v>138</v>
      </c>
      <c r="R20" s="66" t="s">
        <v>139</v>
      </c>
      <c r="S20" s="87" t="s">
        <v>56</v>
      </c>
      <c r="T20" s="88"/>
      <c r="U20" s="87">
        <v>47</v>
      </c>
      <c r="V20" s="89">
        <v>12224188561</v>
      </c>
      <c r="W20" s="570"/>
      <c r="X20" s="26" t="s">
        <v>126</v>
      </c>
      <c r="Y20" s="390"/>
      <c r="Z20" s="390"/>
      <c r="AA20" s="389"/>
      <c r="AB20" s="390"/>
      <c r="AC20" s="87">
        <v>1</v>
      </c>
      <c r="AD20" s="87">
        <f t="shared" si="0"/>
        <v>47</v>
      </c>
      <c r="AE20" s="90">
        <f>AC20/AD20</f>
        <v>2.1276595744680851E-2</v>
      </c>
      <c r="AF20" s="67" t="s">
        <v>140</v>
      </c>
      <c r="AG20" s="579"/>
      <c r="AH20" s="579"/>
      <c r="AI20" s="580"/>
      <c r="AJ20" s="579"/>
      <c r="AK20" s="91">
        <v>4</v>
      </c>
      <c r="AL20" s="91">
        <v>47</v>
      </c>
      <c r="AM20" s="92">
        <v>8.5106382978723402E-2</v>
      </c>
      <c r="AN20" s="69" t="s">
        <v>141</v>
      </c>
      <c r="AO20" s="579"/>
      <c r="AP20" s="579"/>
      <c r="AQ20" s="580"/>
      <c r="AR20" s="579"/>
      <c r="AS20" s="91">
        <v>6</v>
      </c>
      <c r="AT20" s="91">
        <f t="shared" si="1"/>
        <v>47</v>
      </c>
      <c r="AU20" s="92">
        <f>AS20/AT20</f>
        <v>0.1276595744680851</v>
      </c>
      <c r="AV20" s="69" t="s">
        <v>142</v>
      </c>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row>
    <row r="21" spans="1:708" s="22" customFormat="1" ht="70.5" customHeight="1" x14ac:dyDescent="0.25">
      <c r="A21" s="55"/>
      <c r="B21" s="55"/>
      <c r="C21" s="55"/>
      <c r="D21" s="55"/>
      <c r="E21" s="55"/>
      <c r="F21" s="55"/>
      <c r="G21" s="55"/>
      <c r="H21" s="55"/>
      <c r="I21" s="55"/>
      <c r="J21" s="55"/>
      <c r="K21" s="55"/>
      <c r="L21" s="55"/>
      <c r="M21" s="55"/>
      <c r="N21" s="55"/>
      <c r="O21" s="55"/>
      <c r="P21" s="56"/>
      <c r="Q21" s="55"/>
      <c r="R21" s="55"/>
      <c r="S21" s="56"/>
      <c r="T21" s="55"/>
      <c r="U21" s="55"/>
      <c r="V21" s="57"/>
      <c r="W21" s="57"/>
      <c r="X21" s="55"/>
      <c r="Y21" s="388" t="s">
        <v>99</v>
      </c>
      <c r="Z21" s="388"/>
      <c r="AA21" s="58">
        <f>AVERAGE(AA14:AA20)</f>
        <v>0.40175503897513276</v>
      </c>
      <c r="AB21" s="59"/>
      <c r="AC21" s="388" t="s">
        <v>100</v>
      </c>
      <c r="AD21" s="388"/>
      <c r="AE21" s="58">
        <f>AVERAGE(AE14:AE20)</f>
        <v>0.19537388562883914</v>
      </c>
      <c r="AF21" s="61"/>
      <c r="AG21" s="564" t="s">
        <v>99</v>
      </c>
      <c r="AH21" s="564"/>
      <c r="AI21" s="62">
        <v>0.43142229456995018</v>
      </c>
      <c r="AJ21" s="63"/>
      <c r="AK21" s="564" t="s">
        <v>100</v>
      </c>
      <c r="AL21" s="564"/>
      <c r="AM21" s="62">
        <v>0.23583696447739985</v>
      </c>
      <c r="AN21" s="65"/>
      <c r="AO21" s="388" t="s">
        <v>99</v>
      </c>
      <c r="AP21" s="388"/>
      <c r="AQ21" s="58">
        <f>AVERAGE(AQ14:AQ20)</f>
        <v>0.45923442648985585</v>
      </c>
      <c r="AR21" s="59"/>
      <c r="AS21" s="388" t="s">
        <v>100</v>
      </c>
      <c r="AT21" s="388"/>
      <c r="AU21" s="58">
        <f>AVERAGE(AU14:AU20)</f>
        <v>0.27793840079660842</v>
      </c>
      <c r="AV21" s="6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row>
    <row r="22" spans="1:708" ht="70.5" customHeight="1" x14ac:dyDescent="0.25">
      <c r="A22" s="504" t="s">
        <v>43</v>
      </c>
      <c r="B22" s="558" t="s">
        <v>44</v>
      </c>
      <c r="C22" s="507" t="s">
        <v>45</v>
      </c>
      <c r="D22" s="507" t="s">
        <v>46</v>
      </c>
      <c r="E22" s="507" t="s">
        <v>47</v>
      </c>
      <c r="F22" s="507" t="s">
        <v>48</v>
      </c>
      <c r="G22" s="507" t="s">
        <v>49</v>
      </c>
      <c r="H22" s="507" t="s">
        <v>50</v>
      </c>
      <c r="I22" s="560" t="s">
        <v>51</v>
      </c>
      <c r="J22" s="391" t="s">
        <v>52</v>
      </c>
      <c r="K22" s="391" t="s">
        <v>143</v>
      </c>
      <c r="L22" s="391" t="s">
        <v>54</v>
      </c>
      <c r="M22" s="391" t="s">
        <v>55</v>
      </c>
      <c r="N22" s="391" t="s">
        <v>56</v>
      </c>
      <c r="O22" s="391"/>
      <c r="P22" s="391">
        <v>57</v>
      </c>
      <c r="Q22" s="66" t="s">
        <v>57</v>
      </c>
      <c r="R22" s="66" t="s">
        <v>58</v>
      </c>
      <c r="S22" s="67" t="s">
        <v>56</v>
      </c>
      <c r="T22" s="67"/>
      <c r="U22" s="67">
        <v>46</v>
      </c>
      <c r="V22" s="582">
        <v>2383477753</v>
      </c>
      <c r="W22" s="582">
        <v>64326892613</v>
      </c>
      <c r="X22" s="67" t="s">
        <v>144</v>
      </c>
      <c r="Y22" s="391">
        <v>2</v>
      </c>
      <c r="Z22" s="391">
        <f>+P22</f>
        <v>57</v>
      </c>
      <c r="AA22" s="392">
        <f>+Y22/Z22</f>
        <v>3.5087719298245612E-2</v>
      </c>
      <c r="AB22" s="391" t="s">
        <v>145</v>
      </c>
      <c r="AC22" s="67">
        <v>1</v>
      </c>
      <c r="AD22" s="67">
        <f t="shared" ref="AD22:AD28" si="2">+U22</f>
        <v>46</v>
      </c>
      <c r="AE22" s="68">
        <f>+AC22/AD22</f>
        <v>2.1739130434782608E-2</v>
      </c>
      <c r="AF22" s="67" t="s">
        <v>146</v>
      </c>
      <c r="AG22" s="562">
        <v>4</v>
      </c>
      <c r="AH22" s="562">
        <v>57</v>
      </c>
      <c r="AI22" s="563">
        <v>7.0175438596491224E-2</v>
      </c>
      <c r="AJ22" s="562" t="s">
        <v>147</v>
      </c>
      <c r="AK22" s="69">
        <v>7</v>
      </c>
      <c r="AL22" s="69">
        <v>46</v>
      </c>
      <c r="AM22" s="70">
        <v>0.15217391304347827</v>
      </c>
      <c r="AN22" s="69" t="s">
        <v>148</v>
      </c>
      <c r="AO22" s="562">
        <v>7</v>
      </c>
      <c r="AP22" s="562">
        <f>+P22</f>
        <v>57</v>
      </c>
      <c r="AQ22" s="563">
        <f>+AO22/AP22</f>
        <v>0.12280701754385964</v>
      </c>
      <c r="AR22" s="562" t="s">
        <v>149</v>
      </c>
      <c r="AS22" s="69">
        <v>8</v>
      </c>
      <c r="AT22" s="69">
        <f t="shared" ref="AT22:AT28" si="3">+U22</f>
        <v>46</v>
      </c>
      <c r="AU22" s="70">
        <f>+AS22/AT22</f>
        <v>0.17391304347826086</v>
      </c>
      <c r="AV22" s="69" t="s">
        <v>150</v>
      </c>
    </row>
    <row r="23" spans="1:708" ht="70.5" customHeight="1" x14ac:dyDescent="0.25">
      <c r="A23" s="504"/>
      <c r="B23" s="559"/>
      <c r="C23" s="508"/>
      <c r="D23" s="508"/>
      <c r="E23" s="508"/>
      <c r="F23" s="508"/>
      <c r="G23" s="508"/>
      <c r="H23" s="508"/>
      <c r="I23" s="561"/>
      <c r="J23" s="391"/>
      <c r="K23" s="391"/>
      <c r="L23" s="391"/>
      <c r="M23" s="391"/>
      <c r="N23" s="391"/>
      <c r="O23" s="391"/>
      <c r="P23" s="391"/>
      <c r="Q23" s="73" t="s">
        <v>66</v>
      </c>
      <c r="R23" s="73" t="s">
        <v>67</v>
      </c>
      <c r="S23" s="74" t="s">
        <v>56</v>
      </c>
      <c r="T23" s="74"/>
      <c r="U23" s="74">
        <v>59</v>
      </c>
      <c r="V23" s="582"/>
      <c r="W23" s="582"/>
      <c r="X23" s="74" t="s">
        <v>144</v>
      </c>
      <c r="Y23" s="391"/>
      <c r="Z23" s="391"/>
      <c r="AA23" s="392"/>
      <c r="AB23" s="391"/>
      <c r="AC23" s="74">
        <v>0</v>
      </c>
      <c r="AD23" s="74">
        <f t="shared" si="2"/>
        <v>59</v>
      </c>
      <c r="AE23" s="76">
        <f>+AC23/AD23</f>
        <v>0</v>
      </c>
      <c r="AF23" s="74" t="s">
        <v>151</v>
      </c>
      <c r="AG23" s="562"/>
      <c r="AH23" s="562"/>
      <c r="AI23" s="563"/>
      <c r="AJ23" s="562"/>
      <c r="AK23" s="77">
        <v>3</v>
      </c>
      <c r="AL23" s="77">
        <v>59</v>
      </c>
      <c r="AM23" s="78">
        <v>5.0847457627118647E-2</v>
      </c>
      <c r="AN23" s="77" t="s">
        <v>152</v>
      </c>
      <c r="AO23" s="562"/>
      <c r="AP23" s="562"/>
      <c r="AQ23" s="563"/>
      <c r="AR23" s="562"/>
      <c r="AS23" s="77">
        <v>6</v>
      </c>
      <c r="AT23" s="77">
        <f t="shared" si="3"/>
        <v>59</v>
      </c>
      <c r="AU23" s="78">
        <f>+AS23/AT23</f>
        <v>0.10169491525423729</v>
      </c>
      <c r="AV23" s="77" t="s">
        <v>153</v>
      </c>
    </row>
    <row r="24" spans="1:708" ht="69.75" customHeight="1" x14ac:dyDescent="0.25">
      <c r="A24" s="490" t="s">
        <v>43</v>
      </c>
      <c r="B24" s="566" t="s">
        <v>44</v>
      </c>
      <c r="C24" s="567" t="s">
        <v>45</v>
      </c>
      <c r="D24" s="567" t="s">
        <v>46</v>
      </c>
      <c r="E24" s="567" t="s">
        <v>71</v>
      </c>
      <c r="F24" s="567" t="s">
        <v>48</v>
      </c>
      <c r="G24" s="567" t="s">
        <v>49</v>
      </c>
      <c r="H24" s="567" t="s">
        <v>50</v>
      </c>
      <c r="I24" s="577" t="s">
        <v>51</v>
      </c>
      <c r="J24" s="390" t="s">
        <v>52</v>
      </c>
      <c r="K24" s="390" t="s">
        <v>143</v>
      </c>
      <c r="L24" s="390" t="s">
        <v>72</v>
      </c>
      <c r="M24" s="390" t="s">
        <v>112</v>
      </c>
      <c r="N24" s="390" t="s">
        <v>74</v>
      </c>
      <c r="O24" s="390"/>
      <c r="P24" s="389">
        <v>0.89</v>
      </c>
      <c r="Q24" s="66" t="s">
        <v>113</v>
      </c>
      <c r="R24" s="66" t="s">
        <v>114</v>
      </c>
      <c r="S24" s="67" t="s">
        <v>74</v>
      </c>
      <c r="T24" s="67"/>
      <c r="U24" s="82">
        <v>0.89</v>
      </c>
      <c r="V24" s="585">
        <v>956016394</v>
      </c>
      <c r="W24" s="582"/>
      <c r="X24" s="67" t="s">
        <v>144</v>
      </c>
      <c r="Y24" s="392">
        <f>3/3</f>
        <v>1</v>
      </c>
      <c r="Z24" s="576">
        <f>+P24</f>
        <v>0.89</v>
      </c>
      <c r="AA24" s="576">
        <f>Y24/Z24</f>
        <v>1.1235955056179776</v>
      </c>
      <c r="AB24" s="391" t="s">
        <v>154</v>
      </c>
      <c r="AC24" s="68">
        <f>1/1</f>
        <v>1</v>
      </c>
      <c r="AD24" s="82">
        <f t="shared" si="2"/>
        <v>0.89</v>
      </c>
      <c r="AE24" s="68">
        <f>+AC24/AD24</f>
        <v>1.1235955056179776</v>
      </c>
      <c r="AF24" s="67" t="s">
        <v>155</v>
      </c>
      <c r="AG24" s="563">
        <v>1</v>
      </c>
      <c r="AH24" s="573">
        <v>0.89</v>
      </c>
      <c r="AI24" s="573">
        <v>1.1235955056179776</v>
      </c>
      <c r="AJ24" s="562" t="s">
        <v>156</v>
      </c>
      <c r="AK24" s="70">
        <v>1</v>
      </c>
      <c r="AL24" s="84">
        <v>0.89</v>
      </c>
      <c r="AM24" s="70">
        <v>1.1235955056179776</v>
      </c>
      <c r="AN24" s="69" t="s">
        <v>157</v>
      </c>
      <c r="AO24" s="563">
        <f>7/7</f>
        <v>1</v>
      </c>
      <c r="AP24" s="573">
        <f>+P24</f>
        <v>0.89</v>
      </c>
      <c r="AQ24" s="573">
        <f>AO24/AP24</f>
        <v>1.1235955056179776</v>
      </c>
      <c r="AR24" s="562" t="s">
        <v>158</v>
      </c>
      <c r="AS24" s="70">
        <f>8/8</f>
        <v>1</v>
      </c>
      <c r="AT24" s="84">
        <f t="shared" si="3"/>
        <v>0.89</v>
      </c>
      <c r="AU24" s="70">
        <f>+AS24/AT24</f>
        <v>1.1235955056179776</v>
      </c>
      <c r="AV24" s="69" t="s">
        <v>159</v>
      </c>
    </row>
    <row r="25" spans="1:708" ht="70.5" customHeight="1" x14ac:dyDescent="0.25">
      <c r="A25" s="491"/>
      <c r="B25" s="566"/>
      <c r="C25" s="568"/>
      <c r="D25" s="568"/>
      <c r="E25" s="568"/>
      <c r="F25" s="568"/>
      <c r="G25" s="568"/>
      <c r="H25" s="568"/>
      <c r="I25" s="578"/>
      <c r="J25" s="390"/>
      <c r="K25" s="390"/>
      <c r="L25" s="390"/>
      <c r="M25" s="390"/>
      <c r="N25" s="390"/>
      <c r="O25" s="390"/>
      <c r="P25" s="389"/>
      <c r="Q25" s="73" t="s">
        <v>121</v>
      </c>
      <c r="R25" s="73" t="s">
        <v>122</v>
      </c>
      <c r="S25" s="74" t="s">
        <v>74</v>
      </c>
      <c r="T25" s="74"/>
      <c r="U25" s="85">
        <v>0.89</v>
      </c>
      <c r="V25" s="585"/>
      <c r="W25" s="582"/>
      <c r="X25" s="74" t="s">
        <v>144</v>
      </c>
      <c r="Y25" s="392"/>
      <c r="Z25" s="391"/>
      <c r="AA25" s="391"/>
      <c r="AB25" s="391"/>
      <c r="AC25" s="76">
        <f>0/1</f>
        <v>0</v>
      </c>
      <c r="AD25" s="85">
        <f t="shared" si="2"/>
        <v>0.89</v>
      </c>
      <c r="AE25" s="76">
        <f>+AC25/AD25</f>
        <v>0</v>
      </c>
      <c r="AF25" s="74" t="s">
        <v>160</v>
      </c>
      <c r="AG25" s="563"/>
      <c r="AH25" s="562"/>
      <c r="AI25" s="562"/>
      <c r="AJ25" s="562"/>
      <c r="AK25" s="78">
        <v>0.25</v>
      </c>
      <c r="AL25" s="86">
        <v>0.89</v>
      </c>
      <c r="AM25" s="78">
        <v>0.2808988764044944</v>
      </c>
      <c r="AN25" s="77" t="s">
        <v>161</v>
      </c>
      <c r="AO25" s="563"/>
      <c r="AP25" s="562"/>
      <c r="AQ25" s="562"/>
      <c r="AR25" s="562"/>
      <c r="AS25" s="78">
        <f>1/7</f>
        <v>0.14285714285714285</v>
      </c>
      <c r="AT25" s="86">
        <f t="shared" si="3"/>
        <v>0.89</v>
      </c>
      <c r="AU25" s="78">
        <f>+AS25/AT25</f>
        <v>0.16051364365971107</v>
      </c>
      <c r="AV25" s="77" t="s">
        <v>162</v>
      </c>
    </row>
    <row r="26" spans="1:708" ht="70.5" customHeight="1" x14ac:dyDescent="0.25">
      <c r="A26" s="504" t="s">
        <v>43</v>
      </c>
      <c r="B26" s="505" t="s">
        <v>44</v>
      </c>
      <c r="C26" s="507" t="s">
        <v>45</v>
      </c>
      <c r="D26" s="507" t="s">
        <v>46</v>
      </c>
      <c r="E26" s="507" t="s">
        <v>47</v>
      </c>
      <c r="F26" s="507" t="s">
        <v>48</v>
      </c>
      <c r="G26" s="507" t="s">
        <v>49</v>
      </c>
      <c r="H26" s="507" t="s">
        <v>50</v>
      </c>
      <c r="I26" s="560" t="s">
        <v>78</v>
      </c>
      <c r="J26" s="391" t="s">
        <v>52</v>
      </c>
      <c r="K26" s="391" t="s">
        <v>143</v>
      </c>
      <c r="L26" s="391" t="s">
        <v>79</v>
      </c>
      <c r="M26" s="391" t="s">
        <v>80</v>
      </c>
      <c r="N26" s="391" t="s">
        <v>56</v>
      </c>
      <c r="O26" s="391"/>
      <c r="P26" s="391">
        <v>285</v>
      </c>
      <c r="Q26" s="88" t="s">
        <v>81</v>
      </c>
      <c r="R26" s="88" t="s">
        <v>82</v>
      </c>
      <c r="S26" s="88" t="s">
        <v>56</v>
      </c>
      <c r="T26" s="88"/>
      <c r="U26" s="87">
        <v>240</v>
      </c>
      <c r="V26" s="583">
        <v>7000961415</v>
      </c>
      <c r="W26" s="582"/>
      <c r="X26" s="67" t="s">
        <v>144</v>
      </c>
      <c r="Y26" s="584">
        <v>9</v>
      </c>
      <c r="Z26" s="584">
        <f>+P26</f>
        <v>285</v>
      </c>
      <c r="AA26" s="581">
        <f>Y26/Z26</f>
        <v>3.1578947368421054E-2</v>
      </c>
      <c r="AB26" s="391" t="s">
        <v>163</v>
      </c>
      <c r="AC26" s="87">
        <v>29</v>
      </c>
      <c r="AD26" s="87">
        <f t="shared" si="2"/>
        <v>240</v>
      </c>
      <c r="AE26" s="90">
        <f>AC26/AD26</f>
        <v>0.12083333333333333</v>
      </c>
      <c r="AF26" s="67" t="s">
        <v>164</v>
      </c>
      <c r="AG26" s="586">
        <v>27</v>
      </c>
      <c r="AH26" s="586">
        <v>285</v>
      </c>
      <c r="AI26" s="587">
        <v>9.4736842105263161E-2</v>
      </c>
      <c r="AJ26" s="562" t="s">
        <v>165</v>
      </c>
      <c r="AK26" s="91">
        <v>41</v>
      </c>
      <c r="AL26" s="91">
        <v>240</v>
      </c>
      <c r="AM26" s="92">
        <v>0.17083333333333334</v>
      </c>
      <c r="AN26" s="69" t="s">
        <v>166</v>
      </c>
      <c r="AO26" s="586">
        <v>35</v>
      </c>
      <c r="AP26" s="586">
        <f>+P26</f>
        <v>285</v>
      </c>
      <c r="AQ26" s="587">
        <f>AO26/AP26</f>
        <v>0.12280701754385964</v>
      </c>
      <c r="AR26" s="562" t="s">
        <v>167</v>
      </c>
      <c r="AS26" s="91">
        <v>65</v>
      </c>
      <c r="AT26" s="91">
        <f t="shared" si="3"/>
        <v>240</v>
      </c>
      <c r="AU26" s="92">
        <f>AS26/AT26</f>
        <v>0.27083333333333331</v>
      </c>
      <c r="AV26" s="69" t="s">
        <v>168</v>
      </c>
    </row>
    <row r="27" spans="1:708" ht="70.5" customHeight="1" x14ac:dyDescent="0.25">
      <c r="A27" s="504"/>
      <c r="B27" s="506"/>
      <c r="C27" s="571"/>
      <c r="D27" s="571"/>
      <c r="E27" s="571"/>
      <c r="F27" s="571"/>
      <c r="G27" s="571"/>
      <c r="H27" s="571"/>
      <c r="I27" s="572"/>
      <c r="J27" s="391"/>
      <c r="K27" s="391"/>
      <c r="L27" s="391"/>
      <c r="M27" s="391"/>
      <c r="N27" s="391"/>
      <c r="O27" s="391"/>
      <c r="P27" s="391"/>
      <c r="Q27" s="73" t="s">
        <v>133</v>
      </c>
      <c r="R27" s="73" t="s">
        <v>134</v>
      </c>
      <c r="S27" s="74" t="s">
        <v>56</v>
      </c>
      <c r="T27" s="73"/>
      <c r="U27" s="74">
        <v>244</v>
      </c>
      <c r="V27" s="583"/>
      <c r="W27" s="582"/>
      <c r="X27" s="74" t="s">
        <v>144</v>
      </c>
      <c r="Y27" s="584"/>
      <c r="Z27" s="584"/>
      <c r="AA27" s="581"/>
      <c r="AB27" s="391"/>
      <c r="AC27" s="74">
        <v>1</v>
      </c>
      <c r="AD27" s="74">
        <f t="shared" si="2"/>
        <v>244</v>
      </c>
      <c r="AE27" s="76">
        <f>AC27/AD27</f>
        <v>4.0983606557377051E-3</v>
      </c>
      <c r="AF27" s="74" t="s">
        <v>169</v>
      </c>
      <c r="AG27" s="586"/>
      <c r="AH27" s="586"/>
      <c r="AI27" s="587"/>
      <c r="AJ27" s="562"/>
      <c r="AK27" s="77">
        <v>17</v>
      </c>
      <c r="AL27" s="77">
        <v>244</v>
      </c>
      <c r="AM27" s="78">
        <v>6.9672131147540978E-2</v>
      </c>
      <c r="AN27" s="77" t="s">
        <v>170</v>
      </c>
      <c r="AO27" s="586"/>
      <c r="AP27" s="586"/>
      <c r="AQ27" s="587"/>
      <c r="AR27" s="562"/>
      <c r="AS27" s="77">
        <v>44</v>
      </c>
      <c r="AT27" s="77">
        <f t="shared" si="3"/>
        <v>244</v>
      </c>
      <c r="AU27" s="78">
        <f>AS27/AT27</f>
        <v>0.18032786885245902</v>
      </c>
      <c r="AV27" s="77" t="s">
        <v>171</v>
      </c>
    </row>
    <row r="28" spans="1:708" ht="70.5" customHeight="1" x14ac:dyDescent="0.25">
      <c r="A28" s="504"/>
      <c r="B28" s="506"/>
      <c r="C28" s="571"/>
      <c r="D28" s="571"/>
      <c r="E28" s="571"/>
      <c r="F28" s="571"/>
      <c r="G28" s="571"/>
      <c r="H28" s="571"/>
      <c r="I28" s="572"/>
      <c r="J28" s="391"/>
      <c r="K28" s="391"/>
      <c r="L28" s="391"/>
      <c r="M28" s="391"/>
      <c r="N28" s="391"/>
      <c r="O28" s="391"/>
      <c r="P28" s="391"/>
      <c r="Q28" s="88" t="s">
        <v>138</v>
      </c>
      <c r="R28" s="66" t="s">
        <v>139</v>
      </c>
      <c r="S28" s="87" t="s">
        <v>56</v>
      </c>
      <c r="T28" s="88"/>
      <c r="U28" s="87">
        <v>26</v>
      </c>
      <c r="V28" s="583"/>
      <c r="W28" s="582"/>
      <c r="X28" s="67" t="s">
        <v>144</v>
      </c>
      <c r="Y28" s="584"/>
      <c r="Z28" s="584"/>
      <c r="AA28" s="581"/>
      <c r="AB28" s="391"/>
      <c r="AC28" s="87">
        <v>1</v>
      </c>
      <c r="AD28" s="87">
        <f t="shared" si="2"/>
        <v>26</v>
      </c>
      <c r="AE28" s="90">
        <f>AC28/AD28</f>
        <v>3.8461538461538464E-2</v>
      </c>
      <c r="AF28" s="67" t="s">
        <v>172</v>
      </c>
      <c r="AG28" s="586"/>
      <c r="AH28" s="586"/>
      <c r="AI28" s="587"/>
      <c r="AJ28" s="562"/>
      <c r="AK28" s="91">
        <v>6</v>
      </c>
      <c r="AL28" s="91">
        <v>26</v>
      </c>
      <c r="AM28" s="92">
        <v>0.23076923076923078</v>
      </c>
      <c r="AN28" s="69" t="s">
        <v>173</v>
      </c>
      <c r="AO28" s="586"/>
      <c r="AP28" s="586"/>
      <c r="AQ28" s="587"/>
      <c r="AR28" s="562"/>
      <c r="AS28" s="91">
        <v>7</v>
      </c>
      <c r="AT28" s="91">
        <f t="shared" si="3"/>
        <v>26</v>
      </c>
      <c r="AU28" s="92">
        <f>AS28/AT28</f>
        <v>0.26923076923076922</v>
      </c>
      <c r="AV28" s="69" t="s">
        <v>174</v>
      </c>
    </row>
    <row r="29" spans="1:708" s="22" customFormat="1" ht="70.5" customHeight="1" x14ac:dyDescent="0.25">
      <c r="A29" s="55"/>
      <c r="B29" s="55"/>
      <c r="C29" s="55"/>
      <c r="D29" s="55"/>
      <c r="E29" s="55"/>
      <c r="F29" s="55"/>
      <c r="G29" s="55"/>
      <c r="H29" s="55"/>
      <c r="I29" s="55"/>
      <c r="J29" s="55"/>
      <c r="K29" s="55"/>
      <c r="L29" s="55"/>
      <c r="M29" s="55"/>
      <c r="N29" s="55"/>
      <c r="O29" s="55"/>
      <c r="P29" s="56"/>
      <c r="Q29" s="55"/>
      <c r="R29" s="55"/>
      <c r="S29" s="56"/>
      <c r="T29" s="55"/>
      <c r="U29" s="55"/>
      <c r="V29" s="57"/>
      <c r="W29" s="57"/>
      <c r="X29" s="55"/>
      <c r="Y29" s="388" t="s">
        <v>99</v>
      </c>
      <c r="Z29" s="388"/>
      <c r="AA29" s="58">
        <f>AVERAGE(AA22:AA28)</f>
        <v>0.39675405742821485</v>
      </c>
      <c r="AB29" s="59"/>
      <c r="AC29" s="388" t="s">
        <v>100</v>
      </c>
      <c r="AD29" s="388"/>
      <c r="AE29" s="58">
        <f>AVERAGE(AE22:AE28)</f>
        <v>0.18696112407190998</v>
      </c>
      <c r="AF29" s="61"/>
      <c r="AG29" s="564" t="s">
        <v>99</v>
      </c>
      <c r="AH29" s="564"/>
      <c r="AI29" s="62">
        <v>0.42950259543991071</v>
      </c>
      <c r="AJ29" s="63"/>
      <c r="AK29" s="564" t="s">
        <v>100</v>
      </c>
      <c r="AL29" s="564"/>
      <c r="AM29" s="62">
        <v>0.29697006399188203</v>
      </c>
      <c r="AN29" s="65"/>
      <c r="AO29" s="388" t="s">
        <v>99</v>
      </c>
      <c r="AP29" s="388"/>
      <c r="AQ29" s="58">
        <f>AVERAGE(AQ22:AQ28)</f>
        <v>0.45640318023523224</v>
      </c>
      <c r="AR29" s="59"/>
      <c r="AS29" s="388" t="s">
        <v>100</v>
      </c>
      <c r="AT29" s="388"/>
      <c r="AU29" s="58">
        <f>AVERAGE(AU22:AU28)</f>
        <v>0.32572986848953545</v>
      </c>
      <c r="AV29" s="6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row>
    <row r="30" spans="1:708" ht="69" customHeight="1" x14ac:dyDescent="0.25">
      <c r="A30" s="504" t="s">
        <v>43</v>
      </c>
      <c r="B30" s="558" t="s">
        <v>44</v>
      </c>
      <c r="C30" s="507" t="s">
        <v>45</v>
      </c>
      <c r="D30" s="507" t="s">
        <v>46</v>
      </c>
      <c r="E30" s="507" t="s">
        <v>47</v>
      </c>
      <c r="F30" s="507" t="s">
        <v>48</v>
      </c>
      <c r="G30" s="507" t="s">
        <v>49</v>
      </c>
      <c r="H30" s="507" t="s">
        <v>50</v>
      </c>
      <c r="I30" s="560" t="s">
        <v>51</v>
      </c>
      <c r="J30" s="391" t="s">
        <v>52</v>
      </c>
      <c r="K30" s="391" t="s">
        <v>175</v>
      </c>
      <c r="L30" s="391" t="s">
        <v>54</v>
      </c>
      <c r="M30" s="391" t="s">
        <v>55</v>
      </c>
      <c r="N30" s="391" t="s">
        <v>56</v>
      </c>
      <c r="O30" s="391"/>
      <c r="P30" s="391">
        <v>47</v>
      </c>
      <c r="Q30" s="66" t="s">
        <v>57</v>
      </c>
      <c r="R30" s="66" t="s">
        <v>58</v>
      </c>
      <c r="S30" s="67" t="s">
        <v>56</v>
      </c>
      <c r="T30" s="67"/>
      <c r="U30" s="67">
        <v>27</v>
      </c>
      <c r="V30" s="582">
        <v>1316892870</v>
      </c>
      <c r="W30" s="582">
        <v>64326892613</v>
      </c>
      <c r="X30" s="67" t="s">
        <v>176</v>
      </c>
      <c r="Y30" s="391">
        <v>3</v>
      </c>
      <c r="Z30" s="391">
        <f>+P30</f>
        <v>47</v>
      </c>
      <c r="AA30" s="392">
        <f>+Y30/Z30</f>
        <v>6.3829787234042548E-2</v>
      </c>
      <c r="AB30" s="391" t="s">
        <v>177</v>
      </c>
      <c r="AC30" s="67">
        <v>0</v>
      </c>
      <c r="AD30" s="67">
        <f t="shared" ref="AD30:AD36" si="4">+U30</f>
        <v>27</v>
      </c>
      <c r="AE30" s="68">
        <f t="shared" ref="AE30:AE36" si="5">+AC30/AD30</f>
        <v>0</v>
      </c>
      <c r="AF30" s="67" t="s">
        <v>178</v>
      </c>
      <c r="AG30" s="562">
        <v>7</v>
      </c>
      <c r="AH30" s="562">
        <v>47</v>
      </c>
      <c r="AI30" s="563">
        <v>0.14893617021276595</v>
      </c>
      <c r="AJ30" s="562" t="s">
        <v>179</v>
      </c>
      <c r="AK30" s="69">
        <v>2</v>
      </c>
      <c r="AL30" s="69">
        <v>27</v>
      </c>
      <c r="AM30" s="70">
        <v>7.407407407407407E-2</v>
      </c>
      <c r="AN30" s="69" t="s">
        <v>180</v>
      </c>
      <c r="AO30" s="562">
        <v>9</v>
      </c>
      <c r="AP30" s="562">
        <f>+P30</f>
        <v>47</v>
      </c>
      <c r="AQ30" s="563">
        <f>+AO30/AP30</f>
        <v>0.19148936170212766</v>
      </c>
      <c r="AR30" s="562" t="s">
        <v>181</v>
      </c>
      <c r="AS30" s="69">
        <v>3</v>
      </c>
      <c r="AT30" s="69">
        <f t="shared" ref="AT30:AT36" si="6">+U30</f>
        <v>27</v>
      </c>
      <c r="AU30" s="70">
        <f t="shared" ref="AU30:AU36" si="7">+AS30/AT30</f>
        <v>0.1111111111111111</v>
      </c>
      <c r="AV30" s="69" t="s">
        <v>182</v>
      </c>
    </row>
    <row r="31" spans="1:708" ht="70.5" customHeight="1" x14ac:dyDescent="0.25">
      <c r="A31" s="504"/>
      <c r="B31" s="559"/>
      <c r="C31" s="508"/>
      <c r="D31" s="508"/>
      <c r="E31" s="508"/>
      <c r="F31" s="508"/>
      <c r="G31" s="508"/>
      <c r="H31" s="508"/>
      <c r="I31" s="561"/>
      <c r="J31" s="391"/>
      <c r="K31" s="391"/>
      <c r="L31" s="391"/>
      <c r="M31" s="391"/>
      <c r="N31" s="391"/>
      <c r="O31" s="391"/>
      <c r="P31" s="391"/>
      <c r="Q31" s="73" t="s">
        <v>66</v>
      </c>
      <c r="R31" s="73" t="s">
        <v>67</v>
      </c>
      <c r="S31" s="74" t="s">
        <v>56</v>
      </c>
      <c r="T31" s="74"/>
      <c r="U31" s="74">
        <v>37</v>
      </c>
      <c r="V31" s="582"/>
      <c r="W31" s="582"/>
      <c r="X31" s="74" t="s">
        <v>176</v>
      </c>
      <c r="Y31" s="391"/>
      <c r="Z31" s="391"/>
      <c r="AA31" s="392"/>
      <c r="AB31" s="391"/>
      <c r="AC31" s="74">
        <v>3</v>
      </c>
      <c r="AD31" s="74">
        <f t="shared" si="4"/>
        <v>37</v>
      </c>
      <c r="AE31" s="76">
        <f t="shared" si="5"/>
        <v>8.1081081081081086E-2</v>
      </c>
      <c r="AF31" s="74" t="s">
        <v>183</v>
      </c>
      <c r="AG31" s="562"/>
      <c r="AH31" s="562"/>
      <c r="AI31" s="563"/>
      <c r="AJ31" s="562"/>
      <c r="AK31" s="77">
        <v>7</v>
      </c>
      <c r="AL31" s="77">
        <v>37</v>
      </c>
      <c r="AM31" s="78">
        <v>0.1891891891891892</v>
      </c>
      <c r="AN31" s="77" t="s">
        <v>184</v>
      </c>
      <c r="AO31" s="562"/>
      <c r="AP31" s="562"/>
      <c r="AQ31" s="563"/>
      <c r="AR31" s="562"/>
      <c r="AS31" s="77">
        <v>8</v>
      </c>
      <c r="AT31" s="77">
        <f t="shared" si="6"/>
        <v>37</v>
      </c>
      <c r="AU31" s="78">
        <f t="shared" si="7"/>
        <v>0.21621621621621623</v>
      </c>
      <c r="AV31" s="77" t="s">
        <v>185</v>
      </c>
    </row>
    <row r="32" spans="1:708" ht="70.5" customHeight="1" x14ac:dyDescent="0.25">
      <c r="A32" s="490" t="s">
        <v>43</v>
      </c>
      <c r="B32" s="566" t="s">
        <v>44</v>
      </c>
      <c r="C32" s="567" t="s">
        <v>45</v>
      </c>
      <c r="D32" s="567" t="s">
        <v>46</v>
      </c>
      <c r="E32" s="567" t="s">
        <v>71</v>
      </c>
      <c r="F32" s="567" t="s">
        <v>48</v>
      </c>
      <c r="G32" s="567" t="s">
        <v>49</v>
      </c>
      <c r="H32" s="567" t="s">
        <v>50</v>
      </c>
      <c r="I32" s="577" t="s">
        <v>51</v>
      </c>
      <c r="J32" s="390" t="s">
        <v>52</v>
      </c>
      <c r="K32" s="390" t="s">
        <v>175</v>
      </c>
      <c r="L32" s="390" t="s">
        <v>72</v>
      </c>
      <c r="M32" s="390" t="s">
        <v>112</v>
      </c>
      <c r="N32" s="390" t="s">
        <v>74</v>
      </c>
      <c r="O32" s="390"/>
      <c r="P32" s="389">
        <v>0.89</v>
      </c>
      <c r="Q32" s="66" t="s">
        <v>113</v>
      </c>
      <c r="R32" s="66" t="s">
        <v>114</v>
      </c>
      <c r="S32" s="67" t="s">
        <v>74</v>
      </c>
      <c r="T32" s="67"/>
      <c r="U32" s="82">
        <v>0.89</v>
      </c>
      <c r="V32" s="585">
        <v>972202195</v>
      </c>
      <c r="W32" s="582"/>
      <c r="X32" s="67" t="s">
        <v>176</v>
      </c>
      <c r="Y32" s="392">
        <f>3/3</f>
        <v>1</v>
      </c>
      <c r="Z32" s="576">
        <f>+P32</f>
        <v>0.89</v>
      </c>
      <c r="AA32" s="392">
        <f>+Y32/Z32</f>
        <v>1.1235955056179776</v>
      </c>
      <c r="AB32" s="391" t="s">
        <v>186</v>
      </c>
      <c r="AC32" s="68">
        <v>0</v>
      </c>
      <c r="AD32" s="82">
        <f t="shared" si="4"/>
        <v>0.89</v>
      </c>
      <c r="AE32" s="68">
        <f t="shared" si="5"/>
        <v>0</v>
      </c>
      <c r="AF32" s="67" t="s">
        <v>187</v>
      </c>
      <c r="AG32" s="563">
        <v>1</v>
      </c>
      <c r="AH32" s="573">
        <v>0.89</v>
      </c>
      <c r="AI32" s="563">
        <v>1.1235955056179776</v>
      </c>
      <c r="AJ32" s="562" t="s">
        <v>188</v>
      </c>
      <c r="AK32" s="70">
        <v>1</v>
      </c>
      <c r="AL32" s="84">
        <v>0.89</v>
      </c>
      <c r="AM32" s="70">
        <v>1.1235955056179776</v>
      </c>
      <c r="AN32" s="69" t="s">
        <v>189</v>
      </c>
      <c r="AO32" s="563">
        <f>7/7</f>
        <v>1</v>
      </c>
      <c r="AP32" s="573">
        <f>+P32</f>
        <v>0.89</v>
      </c>
      <c r="AQ32" s="563">
        <f>+AO32/AP32</f>
        <v>1.1235955056179776</v>
      </c>
      <c r="AR32" s="562" t="s">
        <v>190</v>
      </c>
      <c r="AS32" s="70">
        <f>+(2/2)</f>
        <v>1</v>
      </c>
      <c r="AT32" s="84">
        <f t="shared" si="6"/>
        <v>0.89</v>
      </c>
      <c r="AU32" s="70">
        <f t="shared" si="7"/>
        <v>1.1235955056179776</v>
      </c>
      <c r="AV32" s="69" t="s">
        <v>191</v>
      </c>
    </row>
    <row r="33" spans="1:708" ht="70.5" customHeight="1" x14ac:dyDescent="0.25">
      <c r="A33" s="491"/>
      <c r="B33" s="566"/>
      <c r="C33" s="568"/>
      <c r="D33" s="568"/>
      <c r="E33" s="568"/>
      <c r="F33" s="568"/>
      <c r="G33" s="568"/>
      <c r="H33" s="568"/>
      <c r="I33" s="578"/>
      <c r="J33" s="390"/>
      <c r="K33" s="390"/>
      <c r="L33" s="390"/>
      <c r="M33" s="390"/>
      <c r="N33" s="390"/>
      <c r="O33" s="390"/>
      <c r="P33" s="389"/>
      <c r="Q33" s="73" t="s">
        <v>121</v>
      </c>
      <c r="R33" s="73" t="s">
        <v>122</v>
      </c>
      <c r="S33" s="74" t="s">
        <v>74</v>
      </c>
      <c r="T33" s="74"/>
      <c r="U33" s="85">
        <v>0.89</v>
      </c>
      <c r="V33" s="585"/>
      <c r="W33" s="582"/>
      <c r="X33" s="74" t="s">
        <v>176</v>
      </c>
      <c r="Y33" s="392"/>
      <c r="Z33" s="391"/>
      <c r="AA33" s="392"/>
      <c r="AB33" s="391"/>
      <c r="AC33" s="76">
        <f>(1/6)</f>
        <v>0.16666666666666666</v>
      </c>
      <c r="AD33" s="85">
        <f t="shared" si="4"/>
        <v>0.89</v>
      </c>
      <c r="AE33" s="76">
        <f t="shared" si="5"/>
        <v>0.18726591760299624</v>
      </c>
      <c r="AF33" s="74" t="s">
        <v>192</v>
      </c>
      <c r="AG33" s="563"/>
      <c r="AH33" s="562"/>
      <c r="AI33" s="563"/>
      <c r="AJ33" s="562"/>
      <c r="AK33" s="78">
        <v>0.14285714285714285</v>
      </c>
      <c r="AL33" s="86">
        <v>0.89</v>
      </c>
      <c r="AM33" s="78">
        <v>0.16051364365971107</v>
      </c>
      <c r="AN33" s="77" t="s">
        <v>193</v>
      </c>
      <c r="AO33" s="563"/>
      <c r="AP33" s="562"/>
      <c r="AQ33" s="563"/>
      <c r="AR33" s="562"/>
      <c r="AS33" s="78">
        <f>(0/7)</f>
        <v>0</v>
      </c>
      <c r="AT33" s="86">
        <f t="shared" si="6"/>
        <v>0.89</v>
      </c>
      <c r="AU33" s="78">
        <f t="shared" si="7"/>
        <v>0</v>
      </c>
      <c r="AV33" s="77" t="s">
        <v>194</v>
      </c>
    </row>
    <row r="34" spans="1:708" ht="57" customHeight="1" x14ac:dyDescent="0.25">
      <c r="A34" s="504" t="s">
        <v>43</v>
      </c>
      <c r="B34" s="505" t="s">
        <v>44</v>
      </c>
      <c r="C34" s="507" t="s">
        <v>45</v>
      </c>
      <c r="D34" s="507" t="s">
        <v>46</v>
      </c>
      <c r="E34" s="507" t="s">
        <v>47</v>
      </c>
      <c r="F34" s="507" t="s">
        <v>48</v>
      </c>
      <c r="G34" s="507" t="s">
        <v>49</v>
      </c>
      <c r="H34" s="507" t="s">
        <v>50</v>
      </c>
      <c r="I34" s="560" t="s">
        <v>78</v>
      </c>
      <c r="J34" s="391" t="s">
        <v>52</v>
      </c>
      <c r="K34" s="391" t="s">
        <v>175</v>
      </c>
      <c r="L34" s="391" t="s">
        <v>79</v>
      </c>
      <c r="M34" s="391" t="s">
        <v>80</v>
      </c>
      <c r="N34" s="391" t="s">
        <v>56</v>
      </c>
      <c r="O34" s="391"/>
      <c r="P34" s="391">
        <v>143</v>
      </c>
      <c r="Q34" s="88" t="s">
        <v>81</v>
      </c>
      <c r="R34" s="66" t="s">
        <v>82</v>
      </c>
      <c r="S34" s="88" t="s">
        <v>56</v>
      </c>
      <c r="T34" s="88"/>
      <c r="U34" s="87">
        <v>116</v>
      </c>
      <c r="V34" s="583">
        <v>3667802222</v>
      </c>
      <c r="W34" s="582"/>
      <c r="X34" s="67" t="s">
        <v>176</v>
      </c>
      <c r="Y34" s="584">
        <v>4</v>
      </c>
      <c r="Z34" s="584">
        <f>+P34</f>
        <v>143</v>
      </c>
      <c r="AA34" s="581">
        <f>+Y34/Z34</f>
        <v>2.7972027972027972E-2</v>
      </c>
      <c r="AB34" s="391" t="s">
        <v>195</v>
      </c>
      <c r="AC34" s="87">
        <v>8</v>
      </c>
      <c r="AD34" s="87">
        <f t="shared" si="4"/>
        <v>116</v>
      </c>
      <c r="AE34" s="90">
        <f t="shared" si="5"/>
        <v>6.8965517241379309E-2</v>
      </c>
      <c r="AF34" s="67" t="s">
        <v>196</v>
      </c>
      <c r="AG34" s="586">
        <v>11</v>
      </c>
      <c r="AH34" s="586">
        <v>143</v>
      </c>
      <c r="AI34" s="587">
        <v>7.6923076923076927E-2</v>
      </c>
      <c r="AJ34" s="562" t="s">
        <v>197</v>
      </c>
      <c r="AK34" s="91">
        <v>22</v>
      </c>
      <c r="AL34" s="91">
        <v>116</v>
      </c>
      <c r="AM34" s="92">
        <v>0.18965517241379309</v>
      </c>
      <c r="AN34" s="69" t="s">
        <v>198</v>
      </c>
      <c r="AO34" s="586">
        <v>15</v>
      </c>
      <c r="AP34" s="586">
        <f>+P34</f>
        <v>143</v>
      </c>
      <c r="AQ34" s="587">
        <f>+AO34/AP34</f>
        <v>0.1048951048951049</v>
      </c>
      <c r="AR34" s="562" t="s">
        <v>199</v>
      </c>
      <c r="AS34" s="91">
        <v>30</v>
      </c>
      <c r="AT34" s="91">
        <f t="shared" si="6"/>
        <v>116</v>
      </c>
      <c r="AU34" s="92">
        <f t="shared" si="7"/>
        <v>0.25862068965517243</v>
      </c>
      <c r="AV34" s="69" t="s">
        <v>200</v>
      </c>
    </row>
    <row r="35" spans="1:708" ht="57" customHeight="1" x14ac:dyDescent="0.25">
      <c r="A35" s="504"/>
      <c r="B35" s="506"/>
      <c r="C35" s="571"/>
      <c r="D35" s="571"/>
      <c r="E35" s="571"/>
      <c r="F35" s="571"/>
      <c r="G35" s="571"/>
      <c r="H35" s="571"/>
      <c r="I35" s="572"/>
      <c r="J35" s="391"/>
      <c r="K35" s="391"/>
      <c r="L35" s="391"/>
      <c r="M35" s="391"/>
      <c r="N35" s="391"/>
      <c r="O35" s="391"/>
      <c r="P35" s="391"/>
      <c r="Q35" s="73" t="s">
        <v>133</v>
      </c>
      <c r="R35" s="73" t="s">
        <v>134</v>
      </c>
      <c r="S35" s="74" t="s">
        <v>56</v>
      </c>
      <c r="T35" s="73"/>
      <c r="U35" s="74">
        <v>120</v>
      </c>
      <c r="V35" s="583"/>
      <c r="W35" s="582"/>
      <c r="X35" s="74" t="s">
        <v>176</v>
      </c>
      <c r="Y35" s="584"/>
      <c r="Z35" s="584"/>
      <c r="AA35" s="581"/>
      <c r="AB35" s="391"/>
      <c r="AC35" s="74">
        <v>2</v>
      </c>
      <c r="AD35" s="74">
        <f t="shared" si="4"/>
        <v>120</v>
      </c>
      <c r="AE35" s="76">
        <f t="shared" si="5"/>
        <v>1.6666666666666666E-2</v>
      </c>
      <c r="AF35" s="74" t="s">
        <v>201</v>
      </c>
      <c r="AG35" s="586"/>
      <c r="AH35" s="586"/>
      <c r="AI35" s="587"/>
      <c r="AJ35" s="562"/>
      <c r="AK35" s="77">
        <v>11</v>
      </c>
      <c r="AL35" s="77">
        <v>120</v>
      </c>
      <c r="AM35" s="78">
        <v>9.166666666666666E-2</v>
      </c>
      <c r="AN35" s="77" t="s">
        <v>202</v>
      </c>
      <c r="AO35" s="586"/>
      <c r="AP35" s="586"/>
      <c r="AQ35" s="587"/>
      <c r="AR35" s="562"/>
      <c r="AS35" s="77">
        <v>24</v>
      </c>
      <c r="AT35" s="77">
        <f t="shared" si="6"/>
        <v>120</v>
      </c>
      <c r="AU35" s="78">
        <f t="shared" si="7"/>
        <v>0.2</v>
      </c>
      <c r="AV35" s="77" t="s">
        <v>203</v>
      </c>
    </row>
    <row r="36" spans="1:708" ht="57" customHeight="1" x14ac:dyDescent="0.25">
      <c r="A36" s="504"/>
      <c r="B36" s="506"/>
      <c r="C36" s="571"/>
      <c r="D36" s="571"/>
      <c r="E36" s="571"/>
      <c r="F36" s="571"/>
      <c r="G36" s="571"/>
      <c r="H36" s="571"/>
      <c r="I36" s="572"/>
      <c r="J36" s="391"/>
      <c r="K36" s="391"/>
      <c r="L36" s="391"/>
      <c r="M36" s="391"/>
      <c r="N36" s="391"/>
      <c r="O36" s="391"/>
      <c r="P36" s="391"/>
      <c r="Q36" s="88" t="s">
        <v>138</v>
      </c>
      <c r="R36" s="66" t="s">
        <v>139</v>
      </c>
      <c r="S36" s="87" t="s">
        <v>56</v>
      </c>
      <c r="T36" s="88"/>
      <c r="U36" s="87">
        <v>20</v>
      </c>
      <c r="V36" s="583"/>
      <c r="W36" s="582"/>
      <c r="X36" s="67" t="s">
        <v>176</v>
      </c>
      <c r="Y36" s="584"/>
      <c r="Z36" s="584"/>
      <c r="AA36" s="581"/>
      <c r="AB36" s="391"/>
      <c r="AC36" s="87">
        <v>1</v>
      </c>
      <c r="AD36" s="87">
        <f t="shared" si="4"/>
        <v>20</v>
      </c>
      <c r="AE36" s="90">
        <f t="shared" si="5"/>
        <v>0.05</v>
      </c>
      <c r="AF36" s="67" t="s">
        <v>172</v>
      </c>
      <c r="AG36" s="586"/>
      <c r="AH36" s="586"/>
      <c r="AI36" s="587"/>
      <c r="AJ36" s="562"/>
      <c r="AK36" s="91">
        <v>2</v>
      </c>
      <c r="AL36" s="91">
        <v>20</v>
      </c>
      <c r="AM36" s="92">
        <v>0.1</v>
      </c>
      <c r="AN36" s="69" t="s">
        <v>204</v>
      </c>
      <c r="AO36" s="586"/>
      <c r="AP36" s="586"/>
      <c r="AQ36" s="587"/>
      <c r="AR36" s="562"/>
      <c r="AS36" s="91">
        <v>4</v>
      </c>
      <c r="AT36" s="91">
        <f t="shared" si="6"/>
        <v>20</v>
      </c>
      <c r="AU36" s="92">
        <f t="shared" si="7"/>
        <v>0.2</v>
      </c>
      <c r="AV36" s="69" t="s">
        <v>205</v>
      </c>
    </row>
    <row r="37" spans="1:708" s="22" customFormat="1" ht="62.25" customHeight="1" x14ac:dyDescent="0.25">
      <c r="A37" s="55"/>
      <c r="B37" s="55"/>
      <c r="C37" s="55"/>
      <c r="D37" s="55"/>
      <c r="E37" s="55"/>
      <c r="F37" s="55"/>
      <c r="G37" s="55"/>
      <c r="H37" s="55"/>
      <c r="I37" s="55"/>
      <c r="J37" s="55"/>
      <c r="K37" s="55"/>
      <c r="L37" s="55"/>
      <c r="M37" s="55"/>
      <c r="N37" s="55"/>
      <c r="O37" s="55"/>
      <c r="P37" s="56"/>
      <c r="Q37" s="55"/>
      <c r="R37" s="55"/>
      <c r="S37" s="56"/>
      <c r="T37" s="55"/>
      <c r="U37" s="55"/>
      <c r="V37" s="57"/>
      <c r="W37" s="57"/>
      <c r="X37" s="55"/>
      <c r="Y37" s="388" t="s">
        <v>99</v>
      </c>
      <c r="Z37" s="388"/>
      <c r="AA37" s="58">
        <f>AVERAGE(AA30:AA36)</f>
        <v>0.4051324402746827</v>
      </c>
      <c r="AB37" s="59"/>
      <c r="AC37" s="388" t="s">
        <v>100</v>
      </c>
      <c r="AD37" s="388"/>
      <c r="AE37" s="58">
        <f>AVERAGE(AE30,AE31,AE33,AE34,AE35,AE36)</f>
        <v>6.7329863765353881E-2</v>
      </c>
      <c r="AF37" s="61"/>
      <c r="AG37" s="564" t="s">
        <v>99</v>
      </c>
      <c r="AH37" s="564"/>
      <c r="AI37" s="62">
        <v>0.4498182509179402</v>
      </c>
      <c r="AJ37" s="63"/>
      <c r="AK37" s="564" t="s">
        <v>100</v>
      </c>
      <c r="AL37" s="564"/>
      <c r="AM37" s="62">
        <v>0.13418312433390567</v>
      </c>
      <c r="AN37" s="65"/>
      <c r="AO37" s="388" t="s">
        <v>99</v>
      </c>
      <c r="AP37" s="388"/>
      <c r="AQ37" s="58">
        <f>AVERAGE(AQ30:AQ36)</f>
        <v>0.47332665740507007</v>
      </c>
      <c r="AR37" s="59"/>
      <c r="AS37" s="388" t="s">
        <v>100</v>
      </c>
      <c r="AT37" s="388"/>
      <c r="AU37" s="58">
        <f>AVERAGE(AU30,AU31,AU33,AU34,AU35,AU36)</f>
        <v>0.16432466949708327</v>
      </c>
      <c r="AV37" s="6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c r="IW37" s="21"/>
      <c r="IX37" s="21"/>
      <c r="IY37" s="21"/>
      <c r="IZ37" s="21"/>
      <c r="JA37" s="21"/>
      <c r="JB37" s="21"/>
      <c r="JC37" s="21"/>
      <c r="JD37" s="21"/>
      <c r="JE37" s="21"/>
      <c r="JF37" s="21"/>
      <c r="JG37" s="21"/>
      <c r="JH37" s="21"/>
      <c r="JI37" s="21"/>
      <c r="JJ37" s="21"/>
      <c r="JK37" s="21"/>
      <c r="JL37" s="21"/>
      <c r="JM37" s="21"/>
      <c r="JN37" s="21"/>
      <c r="JO37" s="21"/>
      <c r="JP37" s="21"/>
      <c r="JQ37" s="21"/>
      <c r="JR37" s="21"/>
      <c r="JS37" s="21"/>
      <c r="JT37" s="21"/>
      <c r="JU37" s="21"/>
      <c r="JV37" s="21"/>
      <c r="JW37" s="21"/>
      <c r="JX37" s="21"/>
      <c r="JY37" s="21"/>
      <c r="JZ37" s="21"/>
      <c r="KA37" s="21"/>
      <c r="KB37" s="21"/>
      <c r="KC37" s="21"/>
      <c r="KD37" s="21"/>
      <c r="KE37" s="21"/>
      <c r="KF37" s="21"/>
      <c r="KG37" s="21"/>
      <c r="KH37" s="21"/>
      <c r="KI37" s="21"/>
      <c r="KJ37" s="21"/>
      <c r="KK37" s="21"/>
      <c r="KL37" s="21"/>
      <c r="KM37" s="21"/>
      <c r="KN37" s="21"/>
      <c r="KO37" s="21"/>
      <c r="KP37" s="21"/>
      <c r="KQ37" s="21"/>
      <c r="KR37" s="21"/>
      <c r="KS37" s="21"/>
      <c r="KT37" s="21"/>
      <c r="KU37" s="21"/>
      <c r="KV37" s="21"/>
      <c r="KW37" s="21"/>
      <c r="KX37" s="21"/>
      <c r="KY37" s="21"/>
      <c r="KZ37" s="21"/>
      <c r="LA37" s="21"/>
      <c r="LB37" s="21"/>
      <c r="LC37" s="21"/>
      <c r="LD37" s="21"/>
      <c r="LE37" s="21"/>
      <c r="LF37" s="21"/>
      <c r="LG37" s="21"/>
      <c r="LH37" s="21"/>
      <c r="LI37" s="21"/>
      <c r="LJ37" s="21"/>
      <c r="LK37" s="21"/>
      <c r="LL37" s="21"/>
      <c r="LM37" s="21"/>
      <c r="LN37" s="21"/>
      <c r="LO37" s="21"/>
      <c r="LP37" s="21"/>
      <c r="LQ37" s="21"/>
      <c r="LR37" s="21"/>
      <c r="LS37" s="21"/>
      <c r="LT37" s="21"/>
      <c r="LU37" s="21"/>
      <c r="LV37" s="21"/>
      <c r="LW37" s="21"/>
      <c r="LX37" s="21"/>
      <c r="LY37" s="21"/>
      <c r="LZ37" s="21"/>
      <c r="MA37" s="21"/>
      <c r="MB37" s="21"/>
      <c r="MC37" s="21"/>
      <c r="MD37" s="2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1"/>
      <c r="NH37" s="21"/>
      <c r="NI37" s="21"/>
      <c r="NJ37" s="21"/>
      <c r="NK37" s="21"/>
      <c r="NL37" s="21"/>
      <c r="NM37" s="21"/>
      <c r="NN37" s="21"/>
      <c r="NO37" s="21"/>
      <c r="NP37" s="21"/>
      <c r="NQ37" s="21"/>
      <c r="NR37" s="21"/>
      <c r="NS37" s="21"/>
      <c r="NT37" s="21"/>
      <c r="NU37" s="21"/>
      <c r="NV37" s="21"/>
      <c r="NW37" s="21"/>
      <c r="NX37" s="21"/>
      <c r="NY37" s="21"/>
      <c r="NZ37" s="21"/>
      <c r="OA37" s="21"/>
      <c r="OB37" s="21"/>
      <c r="OC37" s="21"/>
      <c r="OD37" s="21"/>
      <c r="OE37" s="21"/>
      <c r="OF37" s="21"/>
      <c r="OG37" s="21"/>
      <c r="OH37" s="21"/>
      <c r="OI37" s="21"/>
      <c r="OJ37" s="21"/>
      <c r="OK37" s="21"/>
      <c r="OL37" s="21"/>
      <c r="OM37" s="21"/>
      <c r="ON37" s="21"/>
      <c r="OO37" s="21"/>
      <c r="OP37" s="21"/>
      <c r="OQ37" s="21"/>
      <c r="OR37" s="21"/>
      <c r="OS37" s="21"/>
      <c r="OT37" s="21"/>
      <c r="OU37" s="21"/>
      <c r="OV37" s="21"/>
      <c r="OW37" s="21"/>
      <c r="OX37" s="21"/>
      <c r="OY37" s="21"/>
      <c r="OZ37" s="21"/>
      <c r="PA37" s="21"/>
      <c r="PB37" s="21"/>
      <c r="PC37" s="21"/>
      <c r="PD37" s="21"/>
      <c r="PE37" s="21"/>
      <c r="PF37" s="21"/>
      <c r="PG37" s="21"/>
      <c r="PH37" s="21"/>
      <c r="PI37" s="21"/>
      <c r="PJ37" s="21"/>
      <c r="PK37" s="21"/>
      <c r="PL37" s="21"/>
      <c r="PM37" s="21"/>
      <c r="PN37" s="21"/>
      <c r="PO37" s="21"/>
      <c r="PP37" s="21"/>
      <c r="PQ37" s="21"/>
      <c r="PR37" s="21"/>
      <c r="PS37" s="21"/>
      <c r="PT37" s="21"/>
      <c r="PU37" s="21"/>
      <c r="PV37" s="21"/>
      <c r="PW37" s="21"/>
      <c r="PX37" s="21"/>
      <c r="PY37" s="21"/>
      <c r="PZ37" s="21"/>
      <c r="QA37" s="21"/>
      <c r="QB37" s="21"/>
      <c r="QC37" s="21"/>
      <c r="QD37" s="21"/>
      <c r="QE37" s="21"/>
      <c r="QF37" s="21"/>
      <c r="QG37" s="21"/>
      <c r="QH37" s="21"/>
      <c r="QI37" s="21"/>
      <c r="QJ37" s="21"/>
      <c r="QK37" s="21"/>
      <c r="QL37" s="21"/>
      <c r="QM37" s="21"/>
      <c r="QN37" s="21"/>
      <c r="QO37" s="21"/>
      <c r="QP37" s="21"/>
      <c r="QQ37" s="21"/>
      <c r="QR37" s="21"/>
      <c r="QS37" s="21"/>
      <c r="QT37" s="21"/>
      <c r="QU37" s="21"/>
      <c r="QV37" s="21"/>
      <c r="QW37" s="21"/>
      <c r="QX37" s="21"/>
      <c r="QY37" s="21"/>
      <c r="QZ37" s="21"/>
      <c r="RA37" s="21"/>
      <c r="RB37" s="21"/>
      <c r="RC37" s="21"/>
      <c r="RD37" s="21"/>
      <c r="RE37" s="21"/>
      <c r="RF37" s="21"/>
      <c r="RG37" s="21"/>
      <c r="RH37" s="21"/>
      <c r="RI37" s="21"/>
      <c r="RJ37" s="21"/>
      <c r="RK37" s="21"/>
      <c r="RL37" s="21"/>
      <c r="RM37" s="21"/>
      <c r="RN37" s="21"/>
      <c r="RO37" s="21"/>
      <c r="RP37" s="21"/>
      <c r="RQ37" s="21"/>
      <c r="RR37" s="21"/>
      <c r="RS37" s="21"/>
      <c r="RT37" s="21"/>
      <c r="RU37" s="21"/>
      <c r="RV37" s="21"/>
      <c r="RW37" s="21"/>
      <c r="RX37" s="21"/>
      <c r="RY37" s="21"/>
      <c r="RZ37" s="21"/>
      <c r="SA37" s="21"/>
      <c r="SB37" s="21"/>
      <c r="SC37" s="21"/>
      <c r="SD37" s="21"/>
      <c r="SE37" s="21"/>
      <c r="SF37" s="21"/>
      <c r="SG37" s="21"/>
      <c r="SH37" s="21"/>
      <c r="SI37" s="21"/>
      <c r="SJ37" s="21"/>
      <c r="SK37" s="21"/>
      <c r="SL37" s="21"/>
      <c r="SM37" s="21"/>
      <c r="SN37" s="21"/>
      <c r="SO37" s="21"/>
      <c r="SP37" s="21"/>
      <c r="SQ37" s="21"/>
      <c r="SR37" s="21"/>
      <c r="SS37" s="21"/>
      <c r="ST37" s="21"/>
      <c r="SU37" s="21"/>
      <c r="SV37" s="21"/>
      <c r="SW37" s="21"/>
      <c r="SX37" s="21"/>
      <c r="SY37" s="21"/>
      <c r="SZ37" s="21"/>
      <c r="TA37" s="21"/>
      <c r="TB37" s="21"/>
      <c r="TC37" s="21"/>
      <c r="TD37" s="21"/>
      <c r="TE37" s="21"/>
      <c r="TF37" s="21"/>
      <c r="TG37" s="21"/>
      <c r="TH37" s="21"/>
      <c r="TI37" s="21"/>
      <c r="TJ37" s="21"/>
      <c r="TK37" s="21"/>
      <c r="TL37" s="21"/>
      <c r="TM37" s="21"/>
      <c r="TN37" s="21"/>
      <c r="TO37" s="21"/>
      <c r="TP37" s="21"/>
      <c r="TQ37" s="21"/>
      <c r="TR37" s="21"/>
      <c r="TS37" s="21"/>
      <c r="TT37" s="21"/>
      <c r="TU37" s="21"/>
      <c r="TV37" s="21"/>
      <c r="TW37" s="21"/>
      <c r="TX37" s="21"/>
      <c r="TY37" s="21"/>
      <c r="TZ37" s="21"/>
      <c r="UA37" s="21"/>
      <c r="UB37" s="21"/>
      <c r="UC37" s="21"/>
      <c r="UD37" s="21"/>
      <c r="UE37" s="21"/>
      <c r="UF37" s="21"/>
      <c r="UG37" s="21"/>
      <c r="UH37" s="21"/>
      <c r="UI37" s="21"/>
      <c r="UJ37" s="21"/>
      <c r="UK37" s="21"/>
      <c r="UL37" s="21"/>
      <c r="UM37" s="21"/>
      <c r="UN37" s="21"/>
      <c r="UO37" s="21"/>
      <c r="UP37" s="21"/>
      <c r="UQ37" s="21"/>
      <c r="UR37" s="21"/>
      <c r="US37" s="21"/>
      <c r="UT37" s="21"/>
      <c r="UU37" s="21"/>
      <c r="UV37" s="21"/>
      <c r="UW37" s="21"/>
      <c r="UX37" s="21"/>
      <c r="UY37" s="21"/>
      <c r="UZ37" s="21"/>
      <c r="VA37" s="21"/>
      <c r="VB37" s="21"/>
      <c r="VC37" s="21"/>
      <c r="VD37" s="21"/>
      <c r="VE37" s="21"/>
      <c r="VF37" s="21"/>
      <c r="VG37" s="21"/>
      <c r="VH37" s="21"/>
      <c r="VI37" s="21"/>
      <c r="VJ37" s="21"/>
      <c r="VK37" s="21"/>
      <c r="VL37" s="21"/>
      <c r="VM37" s="21"/>
      <c r="VN37" s="21"/>
      <c r="VO37" s="21"/>
      <c r="VP37" s="21"/>
      <c r="VQ37" s="21"/>
      <c r="VR37" s="21"/>
      <c r="VS37" s="21"/>
      <c r="VT37" s="21"/>
      <c r="VU37" s="21"/>
      <c r="VV37" s="21"/>
      <c r="VW37" s="21"/>
      <c r="VX37" s="21"/>
      <c r="VY37" s="21"/>
      <c r="VZ37" s="21"/>
      <c r="WA37" s="21"/>
      <c r="WB37" s="21"/>
      <c r="WC37" s="21"/>
      <c r="WD37" s="21"/>
      <c r="WE37" s="21"/>
      <c r="WF37" s="21"/>
      <c r="WG37" s="21"/>
      <c r="WH37" s="21"/>
      <c r="WI37" s="21"/>
      <c r="WJ37" s="21"/>
      <c r="WK37" s="21"/>
      <c r="WL37" s="21"/>
      <c r="WM37" s="21"/>
      <c r="WN37" s="21"/>
      <c r="WO37" s="21"/>
      <c r="WP37" s="21"/>
      <c r="WQ37" s="21"/>
      <c r="WR37" s="21"/>
      <c r="WS37" s="21"/>
      <c r="WT37" s="21"/>
      <c r="WU37" s="21"/>
      <c r="WV37" s="21"/>
      <c r="WW37" s="21"/>
      <c r="WX37" s="21"/>
      <c r="WY37" s="21"/>
      <c r="WZ37" s="21"/>
      <c r="XA37" s="21"/>
      <c r="XB37" s="21"/>
      <c r="XC37" s="21"/>
      <c r="XD37" s="21"/>
      <c r="XE37" s="21"/>
      <c r="XF37" s="21"/>
      <c r="XG37" s="21"/>
      <c r="XH37" s="21"/>
      <c r="XI37" s="21"/>
      <c r="XJ37" s="21"/>
      <c r="XK37" s="21"/>
      <c r="XL37" s="21"/>
      <c r="XM37" s="21"/>
      <c r="XN37" s="21"/>
      <c r="XO37" s="21"/>
      <c r="XP37" s="21"/>
      <c r="XQ37" s="21"/>
      <c r="XR37" s="21"/>
      <c r="XS37" s="21"/>
      <c r="XT37" s="21"/>
      <c r="XU37" s="21"/>
      <c r="XV37" s="21"/>
      <c r="XW37" s="21"/>
      <c r="XX37" s="21"/>
      <c r="XY37" s="21"/>
      <c r="XZ37" s="21"/>
      <c r="YA37" s="21"/>
      <c r="YB37" s="21"/>
      <c r="YC37" s="21"/>
      <c r="YD37" s="21"/>
      <c r="YE37" s="21"/>
      <c r="YF37" s="21"/>
      <c r="YG37" s="21"/>
      <c r="YH37" s="21"/>
      <c r="YI37" s="21"/>
      <c r="YJ37" s="21"/>
      <c r="YK37" s="21"/>
      <c r="YL37" s="21"/>
      <c r="YM37" s="21"/>
      <c r="YN37" s="21"/>
      <c r="YO37" s="21"/>
      <c r="YP37" s="21"/>
      <c r="YQ37" s="21"/>
      <c r="YR37" s="21"/>
      <c r="YS37" s="21"/>
      <c r="YT37" s="21"/>
      <c r="YU37" s="21"/>
      <c r="YV37" s="21"/>
      <c r="YW37" s="21"/>
      <c r="YX37" s="21"/>
      <c r="YY37" s="21"/>
      <c r="YZ37" s="21"/>
      <c r="ZA37" s="21"/>
      <c r="ZB37" s="21"/>
      <c r="ZC37" s="21"/>
      <c r="ZD37" s="21"/>
      <c r="ZE37" s="21"/>
      <c r="ZF37" s="21"/>
      <c r="ZG37" s="21"/>
      <c r="ZH37" s="21"/>
      <c r="ZI37" s="21"/>
      <c r="ZJ37" s="21"/>
      <c r="ZK37" s="21"/>
      <c r="ZL37" s="21"/>
      <c r="ZM37" s="21"/>
      <c r="ZN37" s="21"/>
      <c r="ZO37" s="21"/>
      <c r="ZP37" s="21"/>
      <c r="ZQ37" s="21"/>
      <c r="ZR37" s="21"/>
      <c r="ZS37" s="21"/>
      <c r="ZT37" s="21"/>
      <c r="ZU37" s="21"/>
      <c r="ZV37" s="21"/>
      <c r="ZW37" s="21"/>
      <c r="ZX37" s="21"/>
      <c r="ZY37" s="21"/>
      <c r="ZZ37" s="21"/>
      <c r="AAA37" s="21"/>
      <c r="AAB37" s="21"/>
      <c r="AAC37" s="21"/>
      <c r="AAD37" s="21"/>
      <c r="AAE37" s="21"/>
      <c r="AAF37" s="21"/>
    </row>
    <row r="38" spans="1:708" ht="67.5" customHeight="1" x14ac:dyDescent="0.25">
      <c r="A38" s="504" t="s">
        <v>43</v>
      </c>
      <c r="B38" s="558" t="s">
        <v>44</v>
      </c>
      <c r="C38" s="507" t="s">
        <v>45</v>
      </c>
      <c r="D38" s="507" t="s">
        <v>46</v>
      </c>
      <c r="E38" s="507" t="s">
        <v>47</v>
      </c>
      <c r="F38" s="507" t="s">
        <v>48</v>
      </c>
      <c r="G38" s="507" t="s">
        <v>49</v>
      </c>
      <c r="H38" s="507" t="s">
        <v>50</v>
      </c>
      <c r="I38" s="560" t="s">
        <v>51</v>
      </c>
      <c r="J38" s="391" t="s">
        <v>52</v>
      </c>
      <c r="K38" s="391" t="s">
        <v>206</v>
      </c>
      <c r="L38" s="391" t="s">
        <v>54</v>
      </c>
      <c r="M38" s="391" t="s">
        <v>55</v>
      </c>
      <c r="N38" s="391" t="s">
        <v>56</v>
      </c>
      <c r="O38" s="391"/>
      <c r="P38" s="391">
        <v>20</v>
      </c>
      <c r="Q38" s="66" t="s">
        <v>57</v>
      </c>
      <c r="R38" s="66" t="s">
        <v>58</v>
      </c>
      <c r="S38" s="67" t="s">
        <v>56</v>
      </c>
      <c r="T38" s="67"/>
      <c r="U38" s="67">
        <v>15</v>
      </c>
      <c r="V38" s="582">
        <v>610168292</v>
      </c>
      <c r="W38" s="582">
        <v>64326892613</v>
      </c>
      <c r="X38" s="67" t="s">
        <v>207</v>
      </c>
      <c r="Y38" s="391">
        <v>3</v>
      </c>
      <c r="Z38" s="391">
        <f>+P38</f>
        <v>20</v>
      </c>
      <c r="AA38" s="392">
        <f>+Y38/Z38</f>
        <v>0.15</v>
      </c>
      <c r="AB38" s="391" t="s">
        <v>208</v>
      </c>
      <c r="AC38" s="67">
        <v>0</v>
      </c>
      <c r="AD38" s="67">
        <f t="shared" ref="AD38:AD44" si="8">+U38</f>
        <v>15</v>
      </c>
      <c r="AE38" s="68">
        <f>AC38/AD38</f>
        <v>0</v>
      </c>
      <c r="AF38" s="67" t="s">
        <v>178</v>
      </c>
      <c r="AG38" s="562">
        <v>3</v>
      </c>
      <c r="AH38" s="562">
        <v>20</v>
      </c>
      <c r="AI38" s="563">
        <v>0.15</v>
      </c>
      <c r="AJ38" s="562" t="s">
        <v>209</v>
      </c>
      <c r="AK38" s="69">
        <v>3</v>
      </c>
      <c r="AL38" s="69">
        <v>15</v>
      </c>
      <c r="AM38" s="70">
        <v>0.2</v>
      </c>
      <c r="AN38" s="69" t="s">
        <v>210</v>
      </c>
      <c r="AO38" s="562">
        <v>6</v>
      </c>
      <c r="AP38" s="562">
        <f>+P38</f>
        <v>20</v>
      </c>
      <c r="AQ38" s="563">
        <f>+AO38/AP38</f>
        <v>0.3</v>
      </c>
      <c r="AR38" s="562" t="s">
        <v>211</v>
      </c>
      <c r="AS38" s="69">
        <v>4</v>
      </c>
      <c r="AT38" s="69">
        <f t="shared" ref="AT38:AT44" si="9">+U38</f>
        <v>15</v>
      </c>
      <c r="AU38" s="70">
        <f>AS38/AT38</f>
        <v>0.26666666666666666</v>
      </c>
      <c r="AV38" s="69" t="s">
        <v>212</v>
      </c>
    </row>
    <row r="39" spans="1:708" ht="70.5" customHeight="1" x14ac:dyDescent="0.25">
      <c r="A39" s="504"/>
      <c r="B39" s="559"/>
      <c r="C39" s="508"/>
      <c r="D39" s="508"/>
      <c r="E39" s="508"/>
      <c r="F39" s="508"/>
      <c r="G39" s="508"/>
      <c r="H39" s="508"/>
      <c r="I39" s="561"/>
      <c r="J39" s="391"/>
      <c r="K39" s="391"/>
      <c r="L39" s="391"/>
      <c r="M39" s="391"/>
      <c r="N39" s="391"/>
      <c r="O39" s="391"/>
      <c r="P39" s="391"/>
      <c r="Q39" s="73" t="s">
        <v>66</v>
      </c>
      <c r="R39" s="73" t="s">
        <v>67</v>
      </c>
      <c r="S39" s="74" t="s">
        <v>56</v>
      </c>
      <c r="T39" s="74"/>
      <c r="U39" s="74">
        <v>20</v>
      </c>
      <c r="V39" s="582"/>
      <c r="W39" s="582"/>
      <c r="X39" s="74" t="s">
        <v>207</v>
      </c>
      <c r="Y39" s="391"/>
      <c r="Z39" s="391"/>
      <c r="AA39" s="392"/>
      <c r="AB39" s="391"/>
      <c r="AC39" s="74">
        <v>3</v>
      </c>
      <c r="AD39" s="74">
        <f t="shared" si="8"/>
        <v>20</v>
      </c>
      <c r="AE39" s="76">
        <f>AC39/AD39</f>
        <v>0.15</v>
      </c>
      <c r="AF39" s="74" t="s">
        <v>183</v>
      </c>
      <c r="AG39" s="562"/>
      <c r="AH39" s="562"/>
      <c r="AI39" s="563"/>
      <c r="AJ39" s="562"/>
      <c r="AK39" s="77">
        <v>3</v>
      </c>
      <c r="AL39" s="77">
        <v>20</v>
      </c>
      <c r="AM39" s="78">
        <v>0.15</v>
      </c>
      <c r="AN39" s="77" t="s">
        <v>213</v>
      </c>
      <c r="AO39" s="562"/>
      <c r="AP39" s="562"/>
      <c r="AQ39" s="563"/>
      <c r="AR39" s="562"/>
      <c r="AS39" s="77">
        <v>5</v>
      </c>
      <c r="AT39" s="77">
        <f t="shared" si="9"/>
        <v>20</v>
      </c>
      <c r="AU39" s="78">
        <f>AS39/AT39</f>
        <v>0.25</v>
      </c>
      <c r="AV39" s="77" t="s">
        <v>214</v>
      </c>
    </row>
    <row r="40" spans="1:708" ht="69.75" customHeight="1" x14ac:dyDescent="0.25">
      <c r="A40" s="490" t="s">
        <v>43</v>
      </c>
      <c r="B40" s="566" t="s">
        <v>44</v>
      </c>
      <c r="C40" s="567" t="s">
        <v>45</v>
      </c>
      <c r="D40" s="567" t="s">
        <v>46</v>
      </c>
      <c r="E40" s="567" t="s">
        <v>71</v>
      </c>
      <c r="F40" s="567" t="s">
        <v>48</v>
      </c>
      <c r="G40" s="567" t="s">
        <v>49</v>
      </c>
      <c r="H40" s="567" t="s">
        <v>50</v>
      </c>
      <c r="I40" s="577" t="s">
        <v>51</v>
      </c>
      <c r="J40" s="390" t="s">
        <v>52</v>
      </c>
      <c r="K40" s="390" t="s">
        <v>206</v>
      </c>
      <c r="L40" s="390" t="s">
        <v>72</v>
      </c>
      <c r="M40" s="390" t="s">
        <v>112</v>
      </c>
      <c r="N40" s="390" t="s">
        <v>74</v>
      </c>
      <c r="O40" s="390"/>
      <c r="P40" s="389">
        <v>0.89</v>
      </c>
      <c r="Q40" s="66" t="s">
        <v>113</v>
      </c>
      <c r="R40" s="66" t="s">
        <v>114</v>
      </c>
      <c r="S40" s="67" t="s">
        <v>74</v>
      </c>
      <c r="T40" s="67"/>
      <c r="U40" s="82">
        <v>0.89</v>
      </c>
      <c r="V40" s="585">
        <v>873566239</v>
      </c>
      <c r="W40" s="582"/>
      <c r="X40" s="67" t="s">
        <v>207</v>
      </c>
      <c r="Y40" s="392">
        <f>3/3</f>
        <v>1</v>
      </c>
      <c r="Z40" s="576">
        <f>+P40</f>
        <v>0.89</v>
      </c>
      <c r="AA40" s="392">
        <f>+Y40/Z40</f>
        <v>1.1235955056179776</v>
      </c>
      <c r="AB40" s="391" t="s">
        <v>215</v>
      </c>
      <c r="AC40" s="68">
        <v>0</v>
      </c>
      <c r="AD40" s="82">
        <f t="shared" si="8"/>
        <v>0.89</v>
      </c>
      <c r="AE40" s="68">
        <f>AC40/AD40</f>
        <v>0</v>
      </c>
      <c r="AF40" s="67" t="s">
        <v>187</v>
      </c>
      <c r="AG40" s="563">
        <v>1</v>
      </c>
      <c r="AH40" s="573">
        <v>0.89</v>
      </c>
      <c r="AI40" s="563">
        <v>1.1235955056179776</v>
      </c>
      <c r="AJ40" s="562" t="s">
        <v>216</v>
      </c>
      <c r="AK40" s="70">
        <v>0.75</v>
      </c>
      <c r="AL40" s="84">
        <v>0.89</v>
      </c>
      <c r="AM40" s="70">
        <v>0.84269662921348309</v>
      </c>
      <c r="AN40" s="69" t="s">
        <v>217</v>
      </c>
      <c r="AO40" s="563">
        <f>5/5</f>
        <v>1</v>
      </c>
      <c r="AP40" s="573">
        <f>+P40</f>
        <v>0.89</v>
      </c>
      <c r="AQ40" s="563">
        <f>+AO40/AP40</f>
        <v>1.1235955056179776</v>
      </c>
      <c r="AR40" s="562" t="s">
        <v>218</v>
      </c>
      <c r="AS40" s="70">
        <f>(3/4)</f>
        <v>0.75</v>
      </c>
      <c r="AT40" s="84">
        <f t="shared" si="9"/>
        <v>0.89</v>
      </c>
      <c r="AU40" s="70">
        <f>AS40/AT40</f>
        <v>0.84269662921348309</v>
      </c>
      <c r="AV40" s="69" t="s">
        <v>219</v>
      </c>
    </row>
    <row r="41" spans="1:708" ht="70.5" customHeight="1" x14ac:dyDescent="0.25">
      <c r="A41" s="491"/>
      <c r="B41" s="566"/>
      <c r="C41" s="568"/>
      <c r="D41" s="568"/>
      <c r="E41" s="568"/>
      <c r="F41" s="568"/>
      <c r="G41" s="568"/>
      <c r="H41" s="568"/>
      <c r="I41" s="578"/>
      <c r="J41" s="390"/>
      <c r="K41" s="390"/>
      <c r="L41" s="390"/>
      <c r="M41" s="390"/>
      <c r="N41" s="390"/>
      <c r="O41" s="390"/>
      <c r="P41" s="389"/>
      <c r="Q41" s="73" t="s">
        <v>121</v>
      </c>
      <c r="R41" s="73" t="s">
        <v>122</v>
      </c>
      <c r="S41" s="74" t="s">
        <v>74</v>
      </c>
      <c r="T41" s="74"/>
      <c r="U41" s="85">
        <v>0.89</v>
      </c>
      <c r="V41" s="585"/>
      <c r="W41" s="582"/>
      <c r="X41" s="74" t="s">
        <v>207</v>
      </c>
      <c r="Y41" s="392"/>
      <c r="Z41" s="391"/>
      <c r="AA41" s="392"/>
      <c r="AB41" s="391"/>
      <c r="AC41" s="76">
        <f>0/2</f>
        <v>0</v>
      </c>
      <c r="AD41" s="85">
        <f t="shared" si="8"/>
        <v>0.89</v>
      </c>
      <c r="AE41" s="76">
        <f>AC41/AD41</f>
        <v>0</v>
      </c>
      <c r="AF41" s="74" t="s">
        <v>220</v>
      </c>
      <c r="AG41" s="563"/>
      <c r="AH41" s="562"/>
      <c r="AI41" s="563"/>
      <c r="AJ41" s="562"/>
      <c r="AK41" s="78">
        <v>0</v>
      </c>
      <c r="AL41" s="86">
        <v>0.89</v>
      </c>
      <c r="AM41" s="78">
        <v>0</v>
      </c>
      <c r="AN41" s="77" t="s">
        <v>221</v>
      </c>
      <c r="AO41" s="563"/>
      <c r="AP41" s="562"/>
      <c r="AQ41" s="563"/>
      <c r="AR41" s="562"/>
      <c r="AS41" s="78">
        <f>0/3</f>
        <v>0</v>
      </c>
      <c r="AT41" s="86">
        <f t="shared" si="9"/>
        <v>0.89</v>
      </c>
      <c r="AU41" s="78">
        <f>AS41/AT41</f>
        <v>0</v>
      </c>
      <c r="AV41" s="77" t="s">
        <v>222</v>
      </c>
    </row>
    <row r="42" spans="1:708" ht="47.25" customHeight="1" x14ac:dyDescent="0.25">
      <c r="A42" s="504" t="s">
        <v>43</v>
      </c>
      <c r="B42" s="505" t="s">
        <v>44</v>
      </c>
      <c r="C42" s="507" t="s">
        <v>45</v>
      </c>
      <c r="D42" s="507" t="s">
        <v>46</v>
      </c>
      <c r="E42" s="507" t="s">
        <v>47</v>
      </c>
      <c r="F42" s="507" t="s">
        <v>48</v>
      </c>
      <c r="G42" s="507" t="s">
        <v>49</v>
      </c>
      <c r="H42" s="507" t="s">
        <v>50</v>
      </c>
      <c r="I42" s="560" t="s">
        <v>78</v>
      </c>
      <c r="J42" s="391" t="s">
        <v>52</v>
      </c>
      <c r="K42" s="391" t="s">
        <v>206</v>
      </c>
      <c r="L42" s="391" t="s">
        <v>79</v>
      </c>
      <c r="M42" s="391" t="s">
        <v>80</v>
      </c>
      <c r="N42" s="391" t="s">
        <v>56</v>
      </c>
      <c r="O42" s="391"/>
      <c r="P42" s="391">
        <v>143</v>
      </c>
      <c r="Q42" s="66" t="s">
        <v>81</v>
      </c>
      <c r="R42" s="66" t="s">
        <v>82</v>
      </c>
      <c r="S42" s="87" t="s">
        <v>56</v>
      </c>
      <c r="T42" s="88"/>
      <c r="U42" s="87">
        <v>110</v>
      </c>
      <c r="V42" s="583">
        <v>3513328537</v>
      </c>
      <c r="W42" s="582"/>
      <c r="X42" s="67" t="s">
        <v>207</v>
      </c>
      <c r="Y42" s="584">
        <v>3</v>
      </c>
      <c r="Z42" s="584">
        <f>+P42</f>
        <v>143</v>
      </c>
      <c r="AA42" s="581">
        <f>+Y42/Z42</f>
        <v>2.097902097902098E-2</v>
      </c>
      <c r="AB42" s="391" t="s">
        <v>223</v>
      </c>
      <c r="AC42" s="87">
        <v>1</v>
      </c>
      <c r="AD42" s="87">
        <f t="shared" si="8"/>
        <v>110</v>
      </c>
      <c r="AE42" s="90">
        <f>+AC42/AD42</f>
        <v>9.0909090909090905E-3</v>
      </c>
      <c r="AF42" s="67" t="s">
        <v>224</v>
      </c>
      <c r="AG42" s="586">
        <v>7</v>
      </c>
      <c r="AH42" s="586">
        <v>143</v>
      </c>
      <c r="AI42" s="587">
        <v>4.8951048951048952E-2</v>
      </c>
      <c r="AJ42" s="562" t="s">
        <v>225</v>
      </c>
      <c r="AK42" s="91">
        <v>14</v>
      </c>
      <c r="AL42" s="91">
        <v>110</v>
      </c>
      <c r="AM42" s="92">
        <v>0.12727272727272726</v>
      </c>
      <c r="AN42" s="69" t="s">
        <v>226</v>
      </c>
      <c r="AO42" s="586">
        <v>8</v>
      </c>
      <c r="AP42" s="586">
        <f>+P42</f>
        <v>143</v>
      </c>
      <c r="AQ42" s="587">
        <f>+AO42/AP42</f>
        <v>5.5944055944055944E-2</v>
      </c>
      <c r="AR42" s="562" t="s">
        <v>227</v>
      </c>
      <c r="AS42" s="91">
        <v>24</v>
      </c>
      <c r="AT42" s="91">
        <f t="shared" si="9"/>
        <v>110</v>
      </c>
      <c r="AU42" s="92">
        <f>+AS42/AT42</f>
        <v>0.21818181818181817</v>
      </c>
      <c r="AV42" s="69" t="s">
        <v>228</v>
      </c>
    </row>
    <row r="43" spans="1:708" ht="47.25" customHeight="1" x14ac:dyDescent="0.25">
      <c r="A43" s="504"/>
      <c r="B43" s="506"/>
      <c r="C43" s="571"/>
      <c r="D43" s="571"/>
      <c r="E43" s="571"/>
      <c r="F43" s="571"/>
      <c r="G43" s="571"/>
      <c r="H43" s="571"/>
      <c r="I43" s="572"/>
      <c r="J43" s="391"/>
      <c r="K43" s="391"/>
      <c r="L43" s="391"/>
      <c r="M43" s="391"/>
      <c r="N43" s="391"/>
      <c r="O43" s="391"/>
      <c r="P43" s="391"/>
      <c r="Q43" s="73" t="s">
        <v>133</v>
      </c>
      <c r="R43" s="73" t="s">
        <v>134</v>
      </c>
      <c r="S43" s="74" t="s">
        <v>56</v>
      </c>
      <c r="T43" s="73"/>
      <c r="U43" s="74">
        <v>108</v>
      </c>
      <c r="V43" s="583"/>
      <c r="W43" s="582"/>
      <c r="X43" s="74" t="s">
        <v>207</v>
      </c>
      <c r="Y43" s="584"/>
      <c r="Z43" s="584"/>
      <c r="AA43" s="581"/>
      <c r="AB43" s="391"/>
      <c r="AC43" s="74">
        <v>0</v>
      </c>
      <c r="AD43" s="74">
        <f t="shared" si="8"/>
        <v>108</v>
      </c>
      <c r="AE43" s="76">
        <f>+AC43/AD43</f>
        <v>0</v>
      </c>
      <c r="AF43" s="74" t="s">
        <v>229</v>
      </c>
      <c r="AG43" s="586"/>
      <c r="AH43" s="586"/>
      <c r="AI43" s="587"/>
      <c r="AJ43" s="562"/>
      <c r="AK43" s="77">
        <v>3</v>
      </c>
      <c r="AL43" s="77">
        <v>108</v>
      </c>
      <c r="AM43" s="78">
        <v>2.7777777777777776E-2</v>
      </c>
      <c r="AN43" s="77" t="s">
        <v>230</v>
      </c>
      <c r="AO43" s="586"/>
      <c r="AP43" s="586"/>
      <c r="AQ43" s="587"/>
      <c r="AR43" s="562"/>
      <c r="AS43" s="77">
        <v>5</v>
      </c>
      <c r="AT43" s="77">
        <f t="shared" si="9"/>
        <v>108</v>
      </c>
      <c r="AU43" s="78">
        <f>+AS43/AT43</f>
        <v>4.6296296296296294E-2</v>
      </c>
      <c r="AV43" s="77" t="s">
        <v>231</v>
      </c>
    </row>
    <row r="44" spans="1:708" ht="47.25" customHeight="1" x14ac:dyDescent="0.25">
      <c r="A44" s="504"/>
      <c r="B44" s="506"/>
      <c r="C44" s="571"/>
      <c r="D44" s="571"/>
      <c r="E44" s="571"/>
      <c r="F44" s="571"/>
      <c r="G44" s="571"/>
      <c r="H44" s="571"/>
      <c r="I44" s="572"/>
      <c r="J44" s="391"/>
      <c r="K44" s="391"/>
      <c r="L44" s="391"/>
      <c r="M44" s="391"/>
      <c r="N44" s="391"/>
      <c r="O44" s="391"/>
      <c r="P44" s="391"/>
      <c r="Q44" s="66" t="s">
        <v>138</v>
      </c>
      <c r="R44" s="66" t="s">
        <v>139</v>
      </c>
      <c r="S44" s="87" t="s">
        <v>56</v>
      </c>
      <c r="T44" s="88"/>
      <c r="U44" s="87">
        <v>12</v>
      </c>
      <c r="V44" s="583"/>
      <c r="W44" s="582"/>
      <c r="X44" s="67" t="s">
        <v>207</v>
      </c>
      <c r="Y44" s="584"/>
      <c r="Z44" s="584"/>
      <c r="AA44" s="581"/>
      <c r="AB44" s="391"/>
      <c r="AC44" s="87">
        <v>0</v>
      </c>
      <c r="AD44" s="87">
        <f t="shared" si="8"/>
        <v>12</v>
      </c>
      <c r="AE44" s="90">
        <f>+AC44/AD44</f>
        <v>0</v>
      </c>
      <c r="AF44" s="67" t="s">
        <v>232</v>
      </c>
      <c r="AG44" s="586"/>
      <c r="AH44" s="586"/>
      <c r="AI44" s="587"/>
      <c r="AJ44" s="562"/>
      <c r="AK44" s="91">
        <v>1</v>
      </c>
      <c r="AL44" s="91">
        <v>12</v>
      </c>
      <c r="AM44" s="92">
        <v>8.3333333333333329E-2</v>
      </c>
      <c r="AN44" s="69" t="s">
        <v>233</v>
      </c>
      <c r="AO44" s="586"/>
      <c r="AP44" s="586"/>
      <c r="AQ44" s="587"/>
      <c r="AR44" s="562"/>
      <c r="AS44" s="91">
        <v>2</v>
      </c>
      <c r="AT44" s="91">
        <f t="shared" si="9"/>
        <v>12</v>
      </c>
      <c r="AU44" s="92">
        <f>+AS44/AT44</f>
        <v>0.16666666666666666</v>
      </c>
      <c r="AV44" s="69" t="s">
        <v>234</v>
      </c>
    </row>
    <row r="45" spans="1:708" s="22" customFormat="1" ht="70.5" customHeight="1" x14ac:dyDescent="0.25">
      <c r="A45" s="55"/>
      <c r="B45" s="55"/>
      <c r="C45" s="55"/>
      <c r="D45" s="55"/>
      <c r="E45" s="55"/>
      <c r="F45" s="55"/>
      <c r="G45" s="55"/>
      <c r="H45" s="55"/>
      <c r="I45" s="55"/>
      <c r="J45" s="55"/>
      <c r="K45" s="55"/>
      <c r="L45" s="55"/>
      <c r="M45" s="55"/>
      <c r="N45" s="55"/>
      <c r="O45" s="55"/>
      <c r="P45" s="56"/>
      <c r="Q45" s="55"/>
      <c r="R45" s="55"/>
      <c r="S45" s="56"/>
      <c r="T45" s="55"/>
      <c r="U45" s="55"/>
      <c r="V45" s="57"/>
      <c r="W45" s="57"/>
      <c r="X45" s="55"/>
      <c r="Y45" s="388" t="s">
        <v>99</v>
      </c>
      <c r="Z45" s="388"/>
      <c r="AA45" s="58">
        <f>AVERAGE(AA38:AA44)</f>
        <v>0.4315248421989995</v>
      </c>
      <c r="AB45" s="59"/>
      <c r="AC45" s="388" t="s">
        <v>100</v>
      </c>
      <c r="AD45" s="388"/>
      <c r="AE45" s="58">
        <f>AVERAGE(AE38,AE39,AE41,AE42,AE43,AE44)</f>
        <v>2.6515151515151516E-2</v>
      </c>
      <c r="AF45" s="61"/>
      <c r="AG45" s="564" t="s">
        <v>99</v>
      </c>
      <c r="AH45" s="564"/>
      <c r="AI45" s="62">
        <v>0.44084885152300884</v>
      </c>
      <c r="AJ45" s="63"/>
      <c r="AK45" s="564" t="s">
        <v>100</v>
      </c>
      <c r="AL45" s="564"/>
      <c r="AM45" s="62">
        <v>9.8063973063973062E-2</v>
      </c>
      <c r="AN45" s="65"/>
      <c r="AO45" s="388" t="s">
        <v>99</v>
      </c>
      <c r="AP45" s="388"/>
      <c r="AQ45" s="58">
        <f>AVERAGE(AQ38:AQ44)</f>
        <v>0.49317985385401125</v>
      </c>
      <c r="AR45" s="59"/>
      <c r="AS45" s="388" t="s">
        <v>100</v>
      </c>
      <c r="AT45" s="388"/>
      <c r="AU45" s="58">
        <f>AVERAGE(AU38,AU39,AU41,AU42,AU43,AU44)</f>
        <v>0.15796857463524128</v>
      </c>
      <c r="AV45" s="6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c r="KQ45" s="21"/>
      <c r="KR45" s="21"/>
      <c r="KS45" s="21"/>
      <c r="KT45" s="21"/>
      <c r="KU45" s="21"/>
      <c r="KV45" s="21"/>
      <c r="KW45" s="21"/>
      <c r="KX45" s="21"/>
      <c r="KY45" s="21"/>
      <c r="KZ45" s="21"/>
      <c r="LA45" s="21"/>
      <c r="LB45" s="21"/>
      <c r="LC45" s="21"/>
      <c r="LD45" s="21"/>
      <c r="LE45" s="21"/>
      <c r="LF45" s="21"/>
      <c r="LG45" s="21"/>
      <c r="LH45" s="21"/>
      <c r="LI45" s="21"/>
      <c r="LJ45" s="21"/>
      <c r="LK45" s="21"/>
      <c r="LL45" s="21"/>
      <c r="LM45" s="21"/>
      <c r="LN45" s="21"/>
      <c r="LO45" s="21"/>
      <c r="LP45" s="21"/>
      <c r="LQ45" s="21"/>
      <c r="LR45" s="21"/>
      <c r="LS45" s="21"/>
      <c r="LT45" s="21"/>
      <c r="LU45" s="21"/>
      <c r="LV45" s="21"/>
      <c r="LW45" s="21"/>
      <c r="LX45" s="21"/>
      <c r="LY45" s="21"/>
      <c r="LZ45" s="21"/>
      <c r="MA45" s="21"/>
      <c r="MB45" s="21"/>
      <c r="MC45" s="21"/>
      <c r="MD45" s="21"/>
      <c r="ME45" s="21"/>
      <c r="MF45" s="21"/>
      <c r="MG45" s="21"/>
      <c r="MH45" s="21"/>
      <c r="MI45" s="21"/>
      <c r="MJ45" s="21"/>
      <c r="MK45" s="21"/>
      <c r="ML45" s="21"/>
      <c r="MM45" s="21"/>
      <c r="MN45" s="21"/>
      <c r="MO45" s="21"/>
      <c r="MP45" s="21"/>
      <c r="MQ45" s="21"/>
      <c r="MR45" s="21"/>
      <c r="MS45" s="21"/>
      <c r="MT45" s="21"/>
      <c r="MU45" s="21"/>
      <c r="MV45" s="21"/>
      <c r="MW45" s="21"/>
      <c r="MX45" s="21"/>
      <c r="MY45" s="21"/>
      <c r="MZ45" s="21"/>
      <c r="NA45" s="21"/>
      <c r="NB45" s="21"/>
      <c r="NC45" s="21"/>
      <c r="ND45" s="21"/>
      <c r="NE45" s="21"/>
      <c r="NF45" s="21"/>
      <c r="NG45" s="21"/>
      <c r="NH45" s="21"/>
      <c r="NI45" s="21"/>
      <c r="NJ45" s="21"/>
      <c r="NK45" s="21"/>
      <c r="NL45" s="21"/>
      <c r="NM45" s="21"/>
      <c r="NN45" s="21"/>
      <c r="NO45" s="21"/>
      <c r="NP45" s="21"/>
      <c r="NQ45" s="21"/>
      <c r="NR45" s="21"/>
      <c r="NS45" s="21"/>
      <c r="NT45" s="21"/>
      <c r="NU45" s="21"/>
      <c r="NV45" s="21"/>
      <c r="NW45" s="21"/>
      <c r="NX45" s="21"/>
      <c r="NY45" s="21"/>
      <c r="NZ45" s="21"/>
      <c r="OA45" s="21"/>
      <c r="OB45" s="21"/>
      <c r="OC45" s="21"/>
      <c r="OD45" s="21"/>
      <c r="OE45" s="21"/>
      <c r="OF45" s="21"/>
      <c r="OG45" s="21"/>
      <c r="OH45" s="21"/>
      <c r="OI45" s="21"/>
      <c r="OJ45" s="21"/>
      <c r="OK45" s="21"/>
      <c r="OL45" s="21"/>
      <c r="OM45" s="21"/>
      <c r="ON45" s="21"/>
      <c r="OO45" s="21"/>
      <c r="OP45" s="21"/>
      <c r="OQ45" s="21"/>
      <c r="OR45" s="21"/>
      <c r="OS45" s="21"/>
      <c r="OT45" s="21"/>
      <c r="OU45" s="21"/>
      <c r="OV45" s="21"/>
      <c r="OW45" s="21"/>
      <c r="OX45" s="21"/>
      <c r="OY45" s="21"/>
      <c r="OZ45" s="21"/>
      <c r="PA45" s="21"/>
      <c r="PB45" s="21"/>
      <c r="PC45" s="21"/>
      <c r="PD45" s="21"/>
      <c r="PE45" s="21"/>
      <c r="PF45" s="21"/>
      <c r="PG45" s="21"/>
      <c r="PH45" s="21"/>
      <c r="PI45" s="21"/>
      <c r="PJ45" s="21"/>
      <c r="PK45" s="21"/>
      <c r="PL45" s="21"/>
      <c r="PM45" s="21"/>
      <c r="PN45" s="21"/>
      <c r="PO45" s="21"/>
      <c r="PP45" s="21"/>
      <c r="PQ45" s="21"/>
      <c r="PR45" s="21"/>
      <c r="PS45" s="21"/>
      <c r="PT45" s="21"/>
      <c r="PU45" s="21"/>
      <c r="PV45" s="21"/>
      <c r="PW45" s="21"/>
      <c r="PX45" s="21"/>
      <c r="PY45" s="21"/>
      <c r="PZ45" s="21"/>
      <c r="QA45" s="21"/>
      <c r="QB45" s="21"/>
      <c r="QC45" s="21"/>
      <c r="QD45" s="21"/>
      <c r="QE45" s="21"/>
      <c r="QF45" s="21"/>
      <c r="QG45" s="21"/>
      <c r="QH45" s="21"/>
      <c r="QI45" s="21"/>
      <c r="QJ45" s="21"/>
      <c r="QK45" s="21"/>
      <c r="QL45" s="21"/>
      <c r="QM45" s="21"/>
      <c r="QN45" s="21"/>
      <c r="QO45" s="21"/>
      <c r="QP45" s="21"/>
      <c r="QQ45" s="21"/>
      <c r="QR45" s="21"/>
      <c r="QS45" s="21"/>
      <c r="QT45" s="21"/>
      <c r="QU45" s="21"/>
      <c r="QV45" s="21"/>
      <c r="QW45" s="21"/>
      <c r="QX45" s="21"/>
      <c r="QY45" s="21"/>
      <c r="QZ45" s="21"/>
      <c r="RA45" s="21"/>
      <c r="RB45" s="21"/>
      <c r="RC45" s="21"/>
      <c r="RD45" s="21"/>
      <c r="RE45" s="21"/>
      <c r="RF45" s="21"/>
      <c r="RG45" s="21"/>
      <c r="RH45" s="21"/>
      <c r="RI45" s="21"/>
      <c r="RJ45" s="21"/>
      <c r="RK45" s="21"/>
      <c r="RL45" s="21"/>
      <c r="RM45" s="21"/>
      <c r="RN45" s="21"/>
      <c r="RO45" s="21"/>
      <c r="RP45" s="21"/>
      <c r="RQ45" s="21"/>
      <c r="RR45" s="21"/>
      <c r="RS45" s="21"/>
      <c r="RT45" s="21"/>
      <c r="RU45" s="21"/>
      <c r="RV45" s="21"/>
      <c r="RW45" s="21"/>
      <c r="RX45" s="21"/>
      <c r="RY45" s="21"/>
      <c r="RZ45" s="21"/>
      <c r="SA45" s="21"/>
      <c r="SB45" s="21"/>
      <c r="SC45" s="21"/>
      <c r="SD45" s="21"/>
      <c r="SE45" s="21"/>
      <c r="SF45" s="21"/>
      <c r="SG45" s="21"/>
      <c r="SH45" s="21"/>
      <c r="SI45" s="21"/>
      <c r="SJ45" s="21"/>
      <c r="SK45" s="21"/>
      <c r="SL45" s="21"/>
      <c r="SM45" s="21"/>
      <c r="SN45" s="21"/>
      <c r="SO45" s="21"/>
      <c r="SP45" s="21"/>
      <c r="SQ45" s="21"/>
      <c r="SR45" s="21"/>
      <c r="SS45" s="21"/>
      <c r="ST45" s="21"/>
      <c r="SU45" s="21"/>
      <c r="SV45" s="21"/>
      <c r="SW45" s="21"/>
      <c r="SX45" s="21"/>
      <c r="SY45" s="21"/>
      <c r="SZ45" s="21"/>
      <c r="TA45" s="21"/>
      <c r="TB45" s="21"/>
      <c r="TC45" s="21"/>
      <c r="TD45" s="21"/>
      <c r="TE45" s="21"/>
      <c r="TF45" s="21"/>
      <c r="TG45" s="21"/>
      <c r="TH45" s="21"/>
      <c r="TI45" s="21"/>
      <c r="TJ45" s="21"/>
      <c r="TK45" s="21"/>
      <c r="TL45" s="21"/>
      <c r="TM45" s="21"/>
      <c r="TN45" s="21"/>
      <c r="TO45" s="21"/>
      <c r="TP45" s="21"/>
      <c r="TQ45" s="21"/>
      <c r="TR45" s="21"/>
      <c r="TS45" s="21"/>
      <c r="TT45" s="21"/>
      <c r="TU45" s="21"/>
      <c r="TV45" s="21"/>
      <c r="TW45" s="21"/>
      <c r="TX45" s="21"/>
      <c r="TY45" s="21"/>
      <c r="TZ45" s="21"/>
      <c r="UA45" s="21"/>
      <c r="UB45" s="21"/>
      <c r="UC45" s="21"/>
      <c r="UD45" s="21"/>
      <c r="UE45" s="21"/>
      <c r="UF45" s="21"/>
      <c r="UG45" s="21"/>
      <c r="UH45" s="21"/>
      <c r="UI45" s="21"/>
      <c r="UJ45" s="21"/>
      <c r="UK45" s="21"/>
      <c r="UL45" s="21"/>
      <c r="UM45" s="21"/>
      <c r="UN45" s="21"/>
      <c r="UO45" s="21"/>
      <c r="UP45" s="21"/>
      <c r="UQ45" s="21"/>
      <c r="UR45" s="21"/>
      <c r="US45" s="21"/>
      <c r="UT45" s="21"/>
      <c r="UU45" s="21"/>
      <c r="UV45" s="21"/>
      <c r="UW45" s="21"/>
      <c r="UX45" s="21"/>
      <c r="UY45" s="21"/>
      <c r="UZ45" s="21"/>
      <c r="VA45" s="21"/>
      <c r="VB45" s="21"/>
      <c r="VC45" s="21"/>
      <c r="VD45" s="21"/>
      <c r="VE45" s="21"/>
      <c r="VF45" s="21"/>
      <c r="VG45" s="21"/>
      <c r="VH45" s="21"/>
      <c r="VI45" s="21"/>
      <c r="VJ45" s="21"/>
      <c r="VK45" s="21"/>
      <c r="VL45" s="21"/>
      <c r="VM45" s="21"/>
      <c r="VN45" s="21"/>
      <c r="VO45" s="21"/>
      <c r="VP45" s="21"/>
      <c r="VQ45" s="21"/>
      <c r="VR45" s="21"/>
      <c r="VS45" s="21"/>
      <c r="VT45" s="21"/>
      <c r="VU45" s="21"/>
      <c r="VV45" s="21"/>
      <c r="VW45" s="21"/>
      <c r="VX45" s="21"/>
      <c r="VY45" s="21"/>
      <c r="VZ45" s="21"/>
      <c r="WA45" s="21"/>
      <c r="WB45" s="21"/>
      <c r="WC45" s="21"/>
      <c r="WD45" s="21"/>
      <c r="WE45" s="21"/>
      <c r="WF45" s="21"/>
      <c r="WG45" s="21"/>
      <c r="WH45" s="21"/>
      <c r="WI45" s="21"/>
      <c r="WJ45" s="21"/>
      <c r="WK45" s="21"/>
      <c r="WL45" s="21"/>
      <c r="WM45" s="21"/>
      <c r="WN45" s="21"/>
      <c r="WO45" s="21"/>
      <c r="WP45" s="21"/>
      <c r="WQ45" s="21"/>
      <c r="WR45" s="21"/>
      <c r="WS45" s="21"/>
      <c r="WT45" s="21"/>
      <c r="WU45" s="21"/>
      <c r="WV45" s="21"/>
      <c r="WW45" s="21"/>
      <c r="WX45" s="21"/>
      <c r="WY45" s="21"/>
      <c r="WZ45" s="21"/>
      <c r="XA45" s="21"/>
      <c r="XB45" s="21"/>
      <c r="XC45" s="21"/>
      <c r="XD45" s="21"/>
      <c r="XE45" s="21"/>
      <c r="XF45" s="21"/>
      <c r="XG45" s="21"/>
      <c r="XH45" s="21"/>
      <c r="XI45" s="21"/>
      <c r="XJ45" s="21"/>
      <c r="XK45" s="21"/>
      <c r="XL45" s="21"/>
      <c r="XM45" s="21"/>
      <c r="XN45" s="21"/>
      <c r="XO45" s="21"/>
      <c r="XP45" s="21"/>
      <c r="XQ45" s="21"/>
      <c r="XR45" s="21"/>
      <c r="XS45" s="21"/>
      <c r="XT45" s="21"/>
      <c r="XU45" s="21"/>
      <c r="XV45" s="21"/>
      <c r="XW45" s="21"/>
      <c r="XX45" s="21"/>
      <c r="XY45" s="21"/>
      <c r="XZ45" s="21"/>
      <c r="YA45" s="21"/>
      <c r="YB45" s="21"/>
      <c r="YC45" s="21"/>
      <c r="YD45" s="21"/>
      <c r="YE45" s="21"/>
      <c r="YF45" s="21"/>
      <c r="YG45" s="21"/>
      <c r="YH45" s="21"/>
      <c r="YI45" s="21"/>
      <c r="YJ45" s="21"/>
      <c r="YK45" s="21"/>
      <c r="YL45" s="21"/>
      <c r="YM45" s="21"/>
      <c r="YN45" s="21"/>
      <c r="YO45" s="21"/>
      <c r="YP45" s="21"/>
      <c r="YQ45" s="21"/>
      <c r="YR45" s="21"/>
      <c r="YS45" s="21"/>
      <c r="YT45" s="21"/>
      <c r="YU45" s="21"/>
      <c r="YV45" s="21"/>
      <c r="YW45" s="21"/>
      <c r="YX45" s="21"/>
      <c r="YY45" s="21"/>
      <c r="YZ45" s="21"/>
      <c r="ZA45" s="21"/>
      <c r="ZB45" s="21"/>
      <c r="ZC45" s="21"/>
      <c r="ZD45" s="21"/>
      <c r="ZE45" s="21"/>
      <c r="ZF45" s="21"/>
      <c r="ZG45" s="21"/>
      <c r="ZH45" s="21"/>
      <c r="ZI45" s="21"/>
      <c r="ZJ45" s="21"/>
      <c r="ZK45" s="21"/>
      <c r="ZL45" s="21"/>
      <c r="ZM45" s="21"/>
      <c r="ZN45" s="21"/>
      <c r="ZO45" s="21"/>
      <c r="ZP45" s="21"/>
      <c r="ZQ45" s="21"/>
      <c r="ZR45" s="21"/>
      <c r="ZS45" s="21"/>
      <c r="ZT45" s="21"/>
      <c r="ZU45" s="21"/>
      <c r="ZV45" s="21"/>
      <c r="ZW45" s="21"/>
      <c r="ZX45" s="21"/>
      <c r="ZY45" s="21"/>
      <c r="ZZ45" s="21"/>
      <c r="AAA45" s="21"/>
      <c r="AAB45" s="21"/>
      <c r="AAC45" s="21"/>
      <c r="AAD45" s="21"/>
      <c r="AAE45" s="21"/>
      <c r="AAF45" s="21"/>
    </row>
    <row r="46" spans="1:708" ht="57" customHeight="1" x14ac:dyDescent="0.25">
      <c r="A46" s="504" t="s">
        <v>43</v>
      </c>
      <c r="B46" s="558" t="s">
        <v>44</v>
      </c>
      <c r="C46" s="507" t="s">
        <v>45</v>
      </c>
      <c r="D46" s="507" t="s">
        <v>46</v>
      </c>
      <c r="E46" s="507" t="s">
        <v>47</v>
      </c>
      <c r="F46" s="507" t="s">
        <v>48</v>
      </c>
      <c r="G46" s="507" t="s">
        <v>49</v>
      </c>
      <c r="H46" s="507" t="s">
        <v>50</v>
      </c>
      <c r="I46" s="560" t="s">
        <v>51</v>
      </c>
      <c r="J46" s="391" t="s">
        <v>52</v>
      </c>
      <c r="K46" s="391" t="s">
        <v>235</v>
      </c>
      <c r="L46" s="391" t="s">
        <v>54</v>
      </c>
      <c r="M46" s="391" t="s">
        <v>55</v>
      </c>
      <c r="N46" s="391" t="s">
        <v>56</v>
      </c>
      <c r="O46" s="391"/>
      <c r="P46" s="391">
        <v>276</v>
      </c>
      <c r="Q46" s="66" t="s">
        <v>57</v>
      </c>
      <c r="R46" s="66" t="s">
        <v>58</v>
      </c>
      <c r="S46" s="67" t="s">
        <v>56</v>
      </c>
      <c r="T46" s="67"/>
      <c r="U46" s="67">
        <v>6</v>
      </c>
      <c r="V46" s="582">
        <v>433724262</v>
      </c>
      <c r="W46" s="582">
        <v>64326892613</v>
      </c>
      <c r="X46" s="67" t="s">
        <v>236</v>
      </c>
      <c r="Y46" s="391">
        <v>30</v>
      </c>
      <c r="Z46" s="391">
        <f>+P46</f>
        <v>276</v>
      </c>
      <c r="AA46" s="392">
        <f>+Y46/Z46</f>
        <v>0.10869565217391304</v>
      </c>
      <c r="AB46" s="391" t="s">
        <v>237</v>
      </c>
      <c r="AC46" s="67">
        <v>2</v>
      </c>
      <c r="AD46" s="67">
        <f t="shared" ref="AD46:AD52" si="10">+U46</f>
        <v>6</v>
      </c>
      <c r="AE46" s="68">
        <f t="shared" ref="AE46:AE52" si="11">+AC46/AD46</f>
        <v>0.33333333333333331</v>
      </c>
      <c r="AF46" s="67" t="s">
        <v>238</v>
      </c>
      <c r="AG46" s="562">
        <v>55</v>
      </c>
      <c r="AH46" s="562">
        <v>276</v>
      </c>
      <c r="AI46" s="563">
        <v>0.19927536231884058</v>
      </c>
      <c r="AJ46" s="562" t="s">
        <v>239</v>
      </c>
      <c r="AK46" s="69">
        <v>2</v>
      </c>
      <c r="AL46" s="69">
        <v>6</v>
      </c>
      <c r="AM46" s="70">
        <v>0.33333333333333331</v>
      </c>
      <c r="AN46" s="69" t="s">
        <v>240</v>
      </c>
      <c r="AO46" s="562">
        <v>75</v>
      </c>
      <c r="AP46" s="562">
        <f>+P46</f>
        <v>276</v>
      </c>
      <c r="AQ46" s="563">
        <f>+AO46/AP46</f>
        <v>0.27173913043478259</v>
      </c>
      <c r="AR46" s="562" t="s">
        <v>241</v>
      </c>
      <c r="AS46" s="69">
        <v>2</v>
      </c>
      <c r="AT46" s="69">
        <f t="shared" ref="AT46:AT52" si="12">+U46</f>
        <v>6</v>
      </c>
      <c r="AU46" s="70">
        <f t="shared" ref="AU46:AU52" si="13">+AS46/AT46</f>
        <v>0.33333333333333331</v>
      </c>
      <c r="AV46" s="69" t="s">
        <v>242</v>
      </c>
    </row>
    <row r="47" spans="1:708" ht="57" customHeight="1" x14ac:dyDescent="0.25">
      <c r="A47" s="504"/>
      <c r="B47" s="559"/>
      <c r="C47" s="508"/>
      <c r="D47" s="508"/>
      <c r="E47" s="508"/>
      <c r="F47" s="508"/>
      <c r="G47" s="508"/>
      <c r="H47" s="508"/>
      <c r="I47" s="561"/>
      <c r="J47" s="391"/>
      <c r="K47" s="391"/>
      <c r="L47" s="391"/>
      <c r="M47" s="391"/>
      <c r="N47" s="391"/>
      <c r="O47" s="391"/>
      <c r="P47" s="391"/>
      <c r="Q47" s="73" t="s">
        <v>66</v>
      </c>
      <c r="R47" s="73" t="s">
        <v>67</v>
      </c>
      <c r="S47" s="74" t="s">
        <v>56</v>
      </c>
      <c r="T47" s="74"/>
      <c r="U47" s="74">
        <v>260</v>
      </c>
      <c r="V47" s="582"/>
      <c r="W47" s="582"/>
      <c r="X47" s="74" t="s">
        <v>236</v>
      </c>
      <c r="Y47" s="391"/>
      <c r="Z47" s="391"/>
      <c r="AA47" s="392"/>
      <c r="AB47" s="391"/>
      <c r="AC47" s="74">
        <v>14</v>
      </c>
      <c r="AD47" s="74">
        <f t="shared" si="10"/>
        <v>260</v>
      </c>
      <c r="AE47" s="76">
        <f t="shared" si="11"/>
        <v>5.3846153846153849E-2</v>
      </c>
      <c r="AF47" s="74" t="s">
        <v>243</v>
      </c>
      <c r="AG47" s="562"/>
      <c r="AH47" s="562"/>
      <c r="AI47" s="563"/>
      <c r="AJ47" s="562"/>
      <c r="AK47" s="77">
        <v>32</v>
      </c>
      <c r="AL47" s="77">
        <v>260</v>
      </c>
      <c r="AM47" s="78">
        <v>0.12307692307692308</v>
      </c>
      <c r="AN47" s="77" t="s">
        <v>244</v>
      </c>
      <c r="AO47" s="562"/>
      <c r="AP47" s="562"/>
      <c r="AQ47" s="563"/>
      <c r="AR47" s="562"/>
      <c r="AS47" s="77">
        <v>49</v>
      </c>
      <c r="AT47" s="77">
        <f t="shared" si="12"/>
        <v>260</v>
      </c>
      <c r="AU47" s="78">
        <f t="shared" si="13"/>
        <v>0.18846153846153846</v>
      </c>
      <c r="AV47" s="77" t="s">
        <v>245</v>
      </c>
    </row>
    <row r="48" spans="1:708" ht="57" customHeight="1" x14ac:dyDescent="0.25">
      <c r="A48" s="490" t="s">
        <v>43</v>
      </c>
      <c r="B48" s="566" t="s">
        <v>44</v>
      </c>
      <c r="C48" s="567" t="s">
        <v>45</v>
      </c>
      <c r="D48" s="567" t="s">
        <v>46</v>
      </c>
      <c r="E48" s="567" t="s">
        <v>71</v>
      </c>
      <c r="F48" s="567" t="s">
        <v>48</v>
      </c>
      <c r="G48" s="567" t="s">
        <v>49</v>
      </c>
      <c r="H48" s="567" t="s">
        <v>50</v>
      </c>
      <c r="I48" s="577" t="s">
        <v>51</v>
      </c>
      <c r="J48" s="390" t="s">
        <v>52</v>
      </c>
      <c r="K48" s="390" t="s">
        <v>235</v>
      </c>
      <c r="L48" s="390" t="s">
        <v>72</v>
      </c>
      <c r="M48" s="390" t="s">
        <v>112</v>
      </c>
      <c r="N48" s="390" t="s">
        <v>74</v>
      </c>
      <c r="O48" s="390"/>
      <c r="P48" s="389">
        <v>0.89</v>
      </c>
      <c r="Q48" s="66" t="s">
        <v>113</v>
      </c>
      <c r="R48" s="66" t="s">
        <v>114</v>
      </c>
      <c r="S48" s="67" t="s">
        <v>74</v>
      </c>
      <c r="T48" s="67"/>
      <c r="U48" s="82">
        <v>0.89</v>
      </c>
      <c r="V48" s="585">
        <v>1168241149</v>
      </c>
      <c r="W48" s="582"/>
      <c r="X48" s="67" t="s">
        <v>236</v>
      </c>
      <c r="Y48" s="392">
        <f>4/4</f>
        <v>1</v>
      </c>
      <c r="Z48" s="576">
        <f>+P48</f>
        <v>0.89</v>
      </c>
      <c r="AA48" s="392">
        <f>+Y48/Z48</f>
        <v>1.1235955056179776</v>
      </c>
      <c r="AB48" s="391" t="s">
        <v>246</v>
      </c>
      <c r="AC48" s="68">
        <f>1/1</f>
        <v>1</v>
      </c>
      <c r="AD48" s="82">
        <f t="shared" si="10"/>
        <v>0.89</v>
      </c>
      <c r="AE48" s="68">
        <f t="shared" si="11"/>
        <v>1.1235955056179776</v>
      </c>
      <c r="AF48" s="67" t="s">
        <v>247</v>
      </c>
      <c r="AG48" s="563">
        <v>1</v>
      </c>
      <c r="AH48" s="573">
        <v>0.89</v>
      </c>
      <c r="AI48" s="563">
        <v>1.1235955056179776</v>
      </c>
      <c r="AJ48" s="562" t="s">
        <v>248</v>
      </c>
      <c r="AK48" s="70">
        <v>1</v>
      </c>
      <c r="AL48" s="84">
        <v>0.89</v>
      </c>
      <c r="AM48" s="70">
        <v>1.1235955056179776</v>
      </c>
      <c r="AN48" s="69" t="s">
        <v>249</v>
      </c>
      <c r="AO48" s="563">
        <f>11/11</f>
        <v>1</v>
      </c>
      <c r="AP48" s="573">
        <f>+P48</f>
        <v>0.89</v>
      </c>
      <c r="AQ48" s="563">
        <f>+AO48/AP48</f>
        <v>1.1235955056179776</v>
      </c>
      <c r="AR48" s="562" t="s">
        <v>250</v>
      </c>
      <c r="AS48" s="70">
        <f>1/1</f>
        <v>1</v>
      </c>
      <c r="AT48" s="84">
        <f t="shared" si="12"/>
        <v>0.89</v>
      </c>
      <c r="AU48" s="70">
        <f t="shared" si="13"/>
        <v>1.1235955056179776</v>
      </c>
      <c r="AV48" s="69" t="s">
        <v>251</v>
      </c>
    </row>
    <row r="49" spans="1:708" ht="57" customHeight="1" x14ac:dyDescent="0.25">
      <c r="A49" s="491"/>
      <c r="B49" s="566"/>
      <c r="C49" s="568"/>
      <c r="D49" s="568"/>
      <c r="E49" s="568"/>
      <c r="F49" s="568"/>
      <c r="G49" s="568"/>
      <c r="H49" s="568"/>
      <c r="I49" s="578"/>
      <c r="J49" s="390"/>
      <c r="K49" s="390"/>
      <c r="L49" s="390"/>
      <c r="M49" s="390"/>
      <c r="N49" s="390"/>
      <c r="O49" s="390"/>
      <c r="P49" s="389"/>
      <c r="Q49" s="73" t="s">
        <v>121</v>
      </c>
      <c r="R49" s="73" t="s">
        <v>122</v>
      </c>
      <c r="S49" s="74" t="s">
        <v>74</v>
      </c>
      <c r="T49" s="74"/>
      <c r="U49" s="85">
        <v>0.89</v>
      </c>
      <c r="V49" s="585"/>
      <c r="W49" s="582"/>
      <c r="X49" s="74" t="s">
        <v>236</v>
      </c>
      <c r="Y49" s="392"/>
      <c r="Z49" s="391"/>
      <c r="AA49" s="392"/>
      <c r="AB49" s="391"/>
      <c r="AC49" s="76">
        <f>1/1</f>
        <v>1</v>
      </c>
      <c r="AD49" s="85">
        <f t="shared" si="10"/>
        <v>0.89</v>
      </c>
      <c r="AE49" s="76">
        <f t="shared" si="11"/>
        <v>1.1235955056179776</v>
      </c>
      <c r="AF49" s="74" t="s">
        <v>252</v>
      </c>
      <c r="AG49" s="563"/>
      <c r="AH49" s="562"/>
      <c r="AI49" s="563"/>
      <c r="AJ49" s="562"/>
      <c r="AK49" s="78">
        <v>0.83333333333333337</v>
      </c>
      <c r="AL49" s="86">
        <v>0.89</v>
      </c>
      <c r="AM49" s="78">
        <v>0.93632958801498134</v>
      </c>
      <c r="AN49" s="77" t="s">
        <v>253</v>
      </c>
      <c r="AO49" s="563"/>
      <c r="AP49" s="562"/>
      <c r="AQ49" s="563"/>
      <c r="AR49" s="562"/>
      <c r="AS49" s="78">
        <f>8/9</f>
        <v>0.88888888888888884</v>
      </c>
      <c r="AT49" s="86">
        <f t="shared" si="12"/>
        <v>0.89</v>
      </c>
      <c r="AU49" s="78">
        <f t="shared" si="13"/>
        <v>0.99875156054931324</v>
      </c>
      <c r="AV49" s="77" t="s">
        <v>254</v>
      </c>
    </row>
    <row r="50" spans="1:708" ht="57" customHeight="1" x14ac:dyDescent="0.25">
      <c r="A50" s="504" t="s">
        <v>43</v>
      </c>
      <c r="B50" s="505" t="s">
        <v>44</v>
      </c>
      <c r="C50" s="507" t="s">
        <v>45</v>
      </c>
      <c r="D50" s="507" t="s">
        <v>46</v>
      </c>
      <c r="E50" s="507" t="s">
        <v>47</v>
      </c>
      <c r="F50" s="507" t="s">
        <v>48</v>
      </c>
      <c r="G50" s="507" t="s">
        <v>49</v>
      </c>
      <c r="H50" s="507" t="s">
        <v>50</v>
      </c>
      <c r="I50" s="560" t="s">
        <v>78</v>
      </c>
      <c r="J50" s="391" t="s">
        <v>52</v>
      </c>
      <c r="K50" s="391" t="s">
        <v>235</v>
      </c>
      <c r="L50" s="391" t="s">
        <v>79</v>
      </c>
      <c r="M50" s="391" t="s">
        <v>80</v>
      </c>
      <c r="N50" s="391" t="s">
        <v>56</v>
      </c>
      <c r="O50" s="391"/>
      <c r="P50" s="391">
        <v>1351</v>
      </c>
      <c r="Q50" s="66" t="s">
        <v>81</v>
      </c>
      <c r="R50" s="88" t="s">
        <v>82</v>
      </c>
      <c r="S50" s="87" t="s">
        <v>56</v>
      </c>
      <c r="T50" s="88"/>
      <c r="U50" s="87">
        <v>100</v>
      </c>
      <c r="V50" s="583">
        <v>3574719577</v>
      </c>
      <c r="W50" s="582"/>
      <c r="X50" s="67" t="s">
        <v>236</v>
      </c>
      <c r="Y50" s="584">
        <v>8</v>
      </c>
      <c r="Z50" s="584">
        <f>+P50</f>
        <v>1351</v>
      </c>
      <c r="AA50" s="581">
        <f>+Y50/Z50</f>
        <v>5.9215396002960767E-3</v>
      </c>
      <c r="AB50" s="391" t="s">
        <v>255</v>
      </c>
      <c r="AC50" s="87">
        <v>13</v>
      </c>
      <c r="AD50" s="87">
        <f t="shared" si="10"/>
        <v>100</v>
      </c>
      <c r="AE50" s="90">
        <f t="shared" si="11"/>
        <v>0.13</v>
      </c>
      <c r="AF50" s="67" t="s">
        <v>256</v>
      </c>
      <c r="AG50" s="586">
        <v>105</v>
      </c>
      <c r="AH50" s="586">
        <v>1351</v>
      </c>
      <c r="AI50" s="587">
        <v>7.7720207253886009E-2</v>
      </c>
      <c r="AJ50" s="562" t="s">
        <v>257</v>
      </c>
      <c r="AK50" s="91">
        <v>22</v>
      </c>
      <c r="AL50" s="91">
        <v>100</v>
      </c>
      <c r="AM50" s="92">
        <v>0.22</v>
      </c>
      <c r="AN50" s="69" t="s">
        <v>258</v>
      </c>
      <c r="AO50" s="586">
        <v>216</v>
      </c>
      <c r="AP50" s="586">
        <f>+P50</f>
        <v>1351</v>
      </c>
      <c r="AQ50" s="587">
        <f>+AO50/AP50</f>
        <v>0.15988156920799407</v>
      </c>
      <c r="AR50" s="562" t="s">
        <v>259</v>
      </c>
      <c r="AS50" s="91">
        <v>26</v>
      </c>
      <c r="AT50" s="91">
        <f t="shared" si="12"/>
        <v>100</v>
      </c>
      <c r="AU50" s="92">
        <f t="shared" si="13"/>
        <v>0.26</v>
      </c>
      <c r="AV50" s="69" t="s">
        <v>260</v>
      </c>
    </row>
    <row r="51" spans="1:708" ht="57" customHeight="1" x14ac:dyDescent="0.25">
      <c r="A51" s="504"/>
      <c r="B51" s="506"/>
      <c r="C51" s="571"/>
      <c r="D51" s="571"/>
      <c r="E51" s="571"/>
      <c r="F51" s="571"/>
      <c r="G51" s="571"/>
      <c r="H51" s="571"/>
      <c r="I51" s="572"/>
      <c r="J51" s="391"/>
      <c r="K51" s="391"/>
      <c r="L51" s="391"/>
      <c r="M51" s="391"/>
      <c r="N51" s="391"/>
      <c r="O51" s="391"/>
      <c r="P51" s="391"/>
      <c r="Q51" s="73" t="s">
        <v>133</v>
      </c>
      <c r="R51" s="73" t="s">
        <v>134</v>
      </c>
      <c r="S51" s="74" t="s">
        <v>56</v>
      </c>
      <c r="T51" s="73"/>
      <c r="U51" s="74">
        <v>101</v>
      </c>
      <c r="V51" s="583"/>
      <c r="W51" s="582"/>
      <c r="X51" s="74" t="s">
        <v>236</v>
      </c>
      <c r="Y51" s="584"/>
      <c r="Z51" s="584"/>
      <c r="AA51" s="581"/>
      <c r="AB51" s="391"/>
      <c r="AC51" s="74">
        <v>0</v>
      </c>
      <c r="AD51" s="74">
        <f t="shared" si="10"/>
        <v>101</v>
      </c>
      <c r="AE51" s="76">
        <f t="shared" si="11"/>
        <v>0</v>
      </c>
      <c r="AF51" s="74" t="s">
        <v>229</v>
      </c>
      <c r="AG51" s="586"/>
      <c r="AH51" s="586"/>
      <c r="AI51" s="587"/>
      <c r="AJ51" s="562"/>
      <c r="AK51" s="77">
        <v>9</v>
      </c>
      <c r="AL51" s="77">
        <v>101</v>
      </c>
      <c r="AM51" s="78">
        <v>8.9108910891089105E-2</v>
      </c>
      <c r="AN51" s="77" t="s">
        <v>261</v>
      </c>
      <c r="AO51" s="586"/>
      <c r="AP51" s="586"/>
      <c r="AQ51" s="587"/>
      <c r="AR51" s="562"/>
      <c r="AS51" s="77">
        <v>23</v>
      </c>
      <c r="AT51" s="77">
        <f t="shared" si="12"/>
        <v>101</v>
      </c>
      <c r="AU51" s="78">
        <f t="shared" si="13"/>
        <v>0.22772277227722773</v>
      </c>
      <c r="AV51" s="77" t="s">
        <v>262</v>
      </c>
    </row>
    <row r="52" spans="1:708" ht="57" customHeight="1" x14ac:dyDescent="0.25">
      <c r="A52" s="504"/>
      <c r="B52" s="506"/>
      <c r="C52" s="571"/>
      <c r="D52" s="571"/>
      <c r="E52" s="571"/>
      <c r="F52" s="571"/>
      <c r="G52" s="571"/>
      <c r="H52" s="571"/>
      <c r="I52" s="572"/>
      <c r="J52" s="391"/>
      <c r="K52" s="391"/>
      <c r="L52" s="391"/>
      <c r="M52" s="391"/>
      <c r="N52" s="391"/>
      <c r="O52" s="391"/>
      <c r="P52" s="391"/>
      <c r="Q52" s="88" t="s">
        <v>138</v>
      </c>
      <c r="R52" s="66" t="s">
        <v>139</v>
      </c>
      <c r="S52" s="87" t="s">
        <v>56</v>
      </c>
      <c r="T52" s="88"/>
      <c r="U52" s="87">
        <v>1250</v>
      </c>
      <c r="V52" s="583"/>
      <c r="W52" s="582"/>
      <c r="X52" s="67" t="s">
        <v>236</v>
      </c>
      <c r="Y52" s="584"/>
      <c r="Z52" s="584"/>
      <c r="AA52" s="581"/>
      <c r="AB52" s="391"/>
      <c r="AC52" s="87">
        <v>57</v>
      </c>
      <c r="AD52" s="87">
        <f t="shared" si="10"/>
        <v>1250</v>
      </c>
      <c r="AE52" s="90">
        <f t="shared" si="11"/>
        <v>4.5600000000000002E-2</v>
      </c>
      <c r="AF52" s="67" t="s">
        <v>263</v>
      </c>
      <c r="AG52" s="586"/>
      <c r="AH52" s="586"/>
      <c r="AI52" s="587"/>
      <c r="AJ52" s="562"/>
      <c r="AK52" s="91">
        <v>154</v>
      </c>
      <c r="AL52" s="91">
        <v>1250</v>
      </c>
      <c r="AM52" s="92">
        <v>0.1232</v>
      </c>
      <c r="AN52" s="69" t="s">
        <v>264</v>
      </c>
      <c r="AO52" s="586"/>
      <c r="AP52" s="586"/>
      <c r="AQ52" s="587"/>
      <c r="AR52" s="562"/>
      <c r="AS52" s="91">
        <v>261</v>
      </c>
      <c r="AT52" s="91">
        <f t="shared" si="12"/>
        <v>1250</v>
      </c>
      <c r="AU52" s="92">
        <f t="shared" si="13"/>
        <v>0.20880000000000001</v>
      </c>
      <c r="AV52" s="69" t="s">
        <v>265</v>
      </c>
    </row>
    <row r="53" spans="1:708" s="22" customFormat="1" ht="68.25" customHeight="1" x14ac:dyDescent="0.25">
      <c r="A53" s="55"/>
      <c r="B53" s="55"/>
      <c r="C53" s="55"/>
      <c r="D53" s="55"/>
      <c r="E53" s="55"/>
      <c r="F53" s="55"/>
      <c r="G53" s="55"/>
      <c r="H53" s="55"/>
      <c r="I53" s="55"/>
      <c r="J53" s="55"/>
      <c r="K53" s="55"/>
      <c r="L53" s="55"/>
      <c r="M53" s="55"/>
      <c r="N53" s="55"/>
      <c r="O53" s="55"/>
      <c r="P53" s="56"/>
      <c r="Q53" s="55"/>
      <c r="R53" s="55"/>
      <c r="S53" s="56"/>
      <c r="T53" s="55"/>
      <c r="U53" s="55"/>
      <c r="V53" s="95"/>
      <c r="W53" s="95"/>
      <c r="X53" s="55"/>
      <c r="Y53" s="388" t="s">
        <v>99</v>
      </c>
      <c r="Z53" s="388"/>
      <c r="AA53" s="58">
        <f>AVERAGE(AA46:AA52)</f>
        <v>0.41273756579739557</v>
      </c>
      <c r="AB53" s="59"/>
      <c r="AC53" s="388" t="s">
        <v>100</v>
      </c>
      <c r="AD53" s="388"/>
      <c r="AE53" s="58">
        <f>AVERAGE(AE46:AE52)</f>
        <v>0.40142435691649175</v>
      </c>
      <c r="AF53" s="61"/>
      <c r="AG53" s="564" t="s">
        <v>99</v>
      </c>
      <c r="AH53" s="564"/>
      <c r="AI53" s="62">
        <v>0.46686369173023473</v>
      </c>
      <c r="AJ53" s="63"/>
      <c r="AK53" s="564" t="s">
        <v>100</v>
      </c>
      <c r="AL53" s="564"/>
      <c r="AM53" s="62">
        <v>0.42123489441918643</v>
      </c>
      <c r="AN53" s="65"/>
      <c r="AO53" s="388" t="s">
        <v>99</v>
      </c>
      <c r="AP53" s="388"/>
      <c r="AQ53" s="58">
        <f>AVERAGE(AQ46:AQ52)</f>
        <v>0.51840540175358474</v>
      </c>
      <c r="AR53" s="59"/>
      <c r="AS53" s="388" t="s">
        <v>100</v>
      </c>
      <c r="AT53" s="388"/>
      <c r="AU53" s="58">
        <f>AVERAGE(AU46:AU52)</f>
        <v>0.47723781574848434</v>
      </c>
      <c r="AV53" s="6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c r="TS53" s="21"/>
      <c r="TT53" s="21"/>
      <c r="TU53" s="21"/>
      <c r="TV53" s="21"/>
      <c r="TW53" s="21"/>
      <c r="TX53" s="21"/>
      <c r="TY53" s="21"/>
      <c r="TZ53" s="21"/>
      <c r="UA53" s="21"/>
      <c r="UB53" s="21"/>
      <c r="UC53" s="21"/>
      <c r="UD53" s="21"/>
      <c r="UE53" s="21"/>
      <c r="UF53" s="21"/>
      <c r="UG53" s="21"/>
      <c r="UH53" s="21"/>
      <c r="UI53" s="21"/>
      <c r="UJ53" s="21"/>
      <c r="UK53" s="21"/>
      <c r="UL53" s="21"/>
      <c r="UM53" s="21"/>
      <c r="UN53" s="21"/>
      <c r="UO53" s="21"/>
      <c r="UP53" s="21"/>
      <c r="UQ53" s="21"/>
      <c r="UR53" s="21"/>
      <c r="US53" s="21"/>
      <c r="UT53" s="21"/>
      <c r="UU53" s="21"/>
      <c r="UV53" s="21"/>
      <c r="UW53" s="21"/>
      <c r="UX53" s="21"/>
      <c r="UY53" s="21"/>
      <c r="UZ53" s="21"/>
      <c r="VA53" s="21"/>
      <c r="VB53" s="21"/>
      <c r="VC53" s="21"/>
      <c r="VD53" s="21"/>
      <c r="VE53" s="21"/>
      <c r="VF53" s="21"/>
      <c r="VG53" s="21"/>
      <c r="VH53" s="21"/>
      <c r="VI53" s="21"/>
      <c r="VJ53" s="21"/>
      <c r="VK53" s="21"/>
      <c r="VL53" s="21"/>
      <c r="VM53" s="21"/>
      <c r="VN53" s="21"/>
      <c r="VO53" s="21"/>
      <c r="VP53" s="21"/>
      <c r="VQ53" s="21"/>
      <c r="VR53" s="21"/>
      <c r="VS53" s="21"/>
      <c r="VT53" s="21"/>
      <c r="VU53" s="21"/>
      <c r="VV53" s="21"/>
      <c r="VW53" s="21"/>
      <c r="VX53" s="21"/>
      <c r="VY53" s="21"/>
      <c r="VZ53" s="21"/>
      <c r="WA53" s="21"/>
      <c r="WB53" s="21"/>
      <c r="WC53" s="21"/>
      <c r="WD53" s="21"/>
      <c r="WE53" s="21"/>
      <c r="WF53" s="21"/>
      <c r="WG53" s="21"/>
      <c r="WH53" s="21"/>
      <c r="WI53" s="21"/>
      <c r="WJ53" s="21"/>
      <c r="WK53" s="21"/>
      <c r="WL53" s="21"/>
      <c r="WM53" s="21"/>
      <c r="WN53" s="21"/>
      <c r="WO53" s="21"/>
      <c r="WP53" s="21"/>
      <c r="WQ53" s="21"/>
      <c r="WR53" s="21"/>
      <c r="WS53" s="21"/>
      <c r="WT53" s="21"/>
      <c r="WU53" s="21"/>
      <c r="WV53" s="21"/>
      <c r="WW53" s="21"/>
      <c r="WX53" s="21"/>
      <c r="WY53" s="21"/>
      <c r="WZ53" s="21"/>
      <c r="XA53" s="21"/>
      <c r="XB53" s="21"/>
      <c r="XC53" s="21"/>
      <c r="XD53" s="21"/>
      <c r="XE53" s="21"/>
      <c r="XF53" s="21"/>
      <c r="XG53" s="21"/>
      <c r="XH53" s="21"/>
      <c r="XI53" s="21"/>
      <c r="XJ53" s="21"/>
      <c r="XK53" s="21"/>
      <c r="XL53" s="21"/>
      <c r="XM53" s="21"/>
      <c r="XN53" s="21"/>
      <c r="XO53" s="21"/>
      <c r="XP53" s="21"/>
      <c r="XQ53" s="21"/>
      <c r="XR53" s="21"/>
      <c r="XS53" s="21"/>
      <c r="XT53" s="21"/>
      <c r="XU53" s="21"/>
      <c r="XV53" s="21"/>
      <c r="XW53" s="21"/>
      <c r="XX53" s="21"/>
      <c r="XY53" s="21"/>
      <c r="XZ53" s="21"/>
      <c r="YA53" s="21"/>
      <c r="YB53" s="21"/>
      <c r="YC53" s="21"/>
      <c r="YD53" s="21"/>
      <c r="YE53" s="21"/>
      <c r="YF53" s="21"/>
      <c r="YG53" s="21"/>
      <c r="YH53" s="21"/>
      <c r="YI53" s="21"/>
      <c r="YJ53" s="21"/>
      <c r="YK53" s="21"/>
      <c r="YL53" s="21"/>
      <c r="YM53" s="21"/>
      <c r="YN53" s="21"/>
      <c r="YO53" s="21"/>
      <c r="YP53" s="21"/>
      <c r="YQ53" s="21"/>
      <c r="YR53" s="21"/>
      <c r="YS53" s="21"/>
      <c r="YT53" s="21"/>
      <c r="YU53" s="21"/>
      <c r="YV53" s="21"/>
      <c r="YW53" s="21"/>
      <c r="YX53" s="21"/>
      <c r="YY53" s="21"/>
      <c r="YZ53" s="21"/>
      <c r="ZA53" s="21"/>
      <c r="ZB53" s="21"/>
      <c r="ZC53" s="21"/>
      <c r="ZD53" s="21"/>
      <c r="ZE53" s="21"/>
      <c r="ZF53" s="21"/>
      <c r="ZG53" s="21"/>
      <c r="ZH53" s="21"/>
      <c r="ZI53" s="21"/>
      <c r="ZJ53" s="21"/>
      <c r="ZK53" s="21"/>
      <c r="ZL53" s="21"/>
      <c r="ZM53" s="21"/>
      <c r="ZN53" s="21"/>
      <c r="ZO53" s="21"/>
      <c r="ZP53" s="21"/>
      <c r="ZQ53" s="21"/>
      <c r="ZR53" s="21"/>
      <c r="ZS53" s="21"/>
      <c r="ZT53" s="21"/>
      <c r="ZU53" s="21"/>
      <c r="ZV53" s="21"/>
      <c r="ZW53" s="21"/>
      <c r="ZX53" s="21"/>
      <c r="ZY53" s="21"/>
      <c r="ZZ53" s="21"/>
      <c r="AAA53" s="21"/>
      <c r="AAB53" s="21"/>
      <c r="AAC53" s="21"/>
      <c r="AAD53" s="21"/>
      <c r="AAE53" s="21"/>
      <c r="AAF53" s="21"/>
    </row>
    <row r="54" spans="1:708" ht="105.75" customHeight="1" x14ac:dyDescent="0.25">
      <c r="A54" s="96" t="s">
        <v>43</v>
      </c>
      <c r="B54" s="96" t="s">
        <v>44</v>
      </c>
      <c r="C54" s="96" t="s">
        <v>45</v>
      </c>
      <c r="D54" s="96" t="s">
        <v>46</v>
      </c>
      <c r="E54" s="96" t="s">
        <v>71</v>
      </c>
      <c r="F54" s="96" t="s">
        <v>48</v>
      </c>
      <c r="G54" s="96" t="s">
        <v>49</v>
      </c>
      <c r="H54" s="96" t="s">
        <v>50</v>
      </c>
      <c r="I54" s="96" t="s">
        <v>51</v>
      </c>
      <c r="J54" s="67" t="s">
        <v>52</v>
      </c>
      <c r="K54" s="67" t="s">
        <v>266</v>
      </c>
      <c r="L54" s="67" t="s">
        <v>267</v>
      </c>
      <c r="M54" s="67" t="s">
        <v>268</v>
      </c>
      <c r="N54" s="67" t="s">
        <v>56</v>
      </c>
      <c r="O54" s="67"/>
      <c r="P54" s="67">
        <v>747</v>
      </c>
      <c r="Q54" s="495"/>
      <c r="R54" s="496"/>
      <c r="S54" s="496"/>
      <c r="T54" s="496"/>
      <c r="U54" s="497"/>
      <c r="V54" s="97">
        <v>1099836559</v>
      </c>
      <c r="W54" s="582">
        <v>64326892613</v>
      </c>
      <c r="X54" s="67" t="s">
        <v>269</v>
      </c>
      <c r="Y54" s="67">
        <v>12</v>
      </c>
      <c r="Z54" s="67">
        <f>+P54</f>
        <v>747</v>
      </c>
      <c r="AA54" s="68">
        <f>+Y54/Z54</f>
        <v>1.6064257028112448E-2</v>
      </c>
      <c r="AB54" s="66" t="s">
        <v>270</v>
      </c>
      <c r="AC54" s="495"/>
      <c r="AD54" s="496"/>
      <c r="AE54" s="496"/>
      <c r="AF54" s="497"/>
      <c r="AG54" s="69">
        <v>38</v>
      </c>
      <c r="AH54" s="69">
        <v>747</v>
      </c>
      <c r="AI54" s="70">
        <v>5.0870147255689425E-2</v>
      </c>
      <c r="AJ54" s="98" t="s">
        <v>271</v>
      </c>
      <c r="AK54" s="588"/>
      <c r="AL54" s="589"/>
      <c r="AM54" s="589"/>
      <c r="AN54" s="590"/>
      <c r="AO54" s="69">
        <f>+'[12]COMP1%'!C9</f>
        <v>38</v>
      </c>
      <c r="AP54" s="69">
        <f>+P54</f>
        <v>747</v>
      </c>
      <c r="AQ54" s="70">
        <f>+AO54/AP54</f>
        <v>5.0870147255689425E-2</v>
      </c>
      <c r="AR54" s="98" t="s">
        <v>272</v>
      </c>
      <c r="AS54" s="495"/>
      <c r="AT54" s="496"/>
      <c r="AU54" s="496"/>
      <c r="AV54" s="497"/>
    </row>
    <row r="55" spans="1:708" ht="90" customHeight="1" x14ac:dyDescent="0.25">
      <c r="A55" s="99" t="s">
        <v>43</v>
      </c>
      <c r="B55" s="99" t="s">
        <v>44</v>
      </c>
      <c r="C55" s="99" t="s">
        <v>45</v>
      </c>
      <c r="D55" s="99" t="s">
        <v>46</v>
      </c>
      <c r="E55" s="99" t="s">
        <v>71</v>
      </c>
      <c r="F55" s="99" t="s">
        <v>48</v>
      </c>
      <c r="G55" s="99" t="s">
        <v>49</v>
      </c>
      <c r="H55" s="99" t="s">
        <v>50</v>
      </c>
      <c r="I55" s="100" t="s">
        <v>51</v>
      </c>
      <c r="J55" s="74" t="s">
        <v>52</v>
      </c>
      <c r="K55" s="74" t="s">
        <v>266</v>
      </c>
      <c r="L55" s="74" t="s">
        <v>273</v>
      </c>
      <c r="M55" s="74" t="s">
        <v>274</v>
      </c>
      <c r="N55" s="74" t="s">
        <v>74</v>
      </c>
      <c r="O55" s="74"/>
      <c r="P55" s="76">
        <v>1</v>
      </c>
      <c r="Q55" s="495"/>
      <c r="R55" s="496"/>
      <c r="S55" s="496"/>
      <c r="T55" s="496"/>
      <c r="U55" s="497"/>
      <c r="V55" s="101">
        <v>238035717</v>
      </c>
      <c r="W55" s="582"/>
      <c r="X55" s="74" t="s">
        <v>269</v>
      </c>
      <c r="Y55" s="102">
        <f>(370/3150)</f>
        <v>0.11746031746031746</v>
      </c>
      <c r="Z55" s="85">
        <f>+P55</f>
        <v>1</v>
      </c>
      <c r="AA55" s="76">
        <f>+Y55/Z55</f>
        <v>0.11746031746031746</v>
      </c>
      <c r="AB55" s="73" t="s">
        <v>275</v>
      </c>
      <c r="AC55" s="495"/>
      <c r="AD55" s="496"/>
      <c r="AE55" s="496"/>
      <c r="AF55" s="497"/>
      <c r="AG55" s="78">
        <v>0.13859682539682538</v>
      </c>
      <c r="AH55" s="86">
        <v>1</v>
      </c>
      <c r="AI55" s="78">
        <v>0.13859682539682538</v>
      </c>
      <c r="AJ55" s="103" t="s">
        <v>276</v>
      </c>
      <c r="AK55" s="588"/>
      <c r="AL55" s="589"/>
      <c r="AM55" s="589"/>
      <c r="AN55" s="590"/>
      <c r="AO55" s="78">
        <f>(537.58/3150)</f>
        <v>0.17066031746031748</v>
      </c>
      <c r="AP55" s="86">
        <f>+P55</f>
        <v>1</v>
      </c>
      <c r="AQ55" s="78">
        <f>+AO55/AP55</f>
        <v>0.17066031746031748</v>
      </c>
      <c r="AR55" s="103" t="s">
        <v>277</v>
      </c>
      <c r="AS55" s="495"/>
      <c r="AT55" s="496"/>
      <c r="AU55" s="496"/>
      <c r="AV55" s="497"/>
    </row>
    <row r="56" spans="1:708" ht="72.75" customHeight="1" x14ac:dyDescent="0.25">
      <c r="A56" s="96" t="s">
        <v>43</v>
      </c>
      <c r="B56" s="96" t="s">
        <v>44</v>
      </c>
      <c r="C56" s="96" t="s">
        <v>45</v>
      </c>
      <c r="D56" s="96" t="s">
        <v>46</v>
      </c>
      <c r="E56" s="96" t="s">
        <v>71</v>
      </c>
      <c r="F56" s="96" t="s">
        <v>48</v>
      </c>
      <c r="G56" s="96" t="s">
        <v>49</v>
      </c>
      <c r="H56" s="96" t="s">
        <v>50</v>
      </c>
      <c r="I56" s="96" t="s">
        <v>51</v>
      </c>
      <c r="J56" s="67" t="s">
        <v>52</v>
      </c>
      <c r="K56" s="67" t="s">
        <v>266</v>
      </c>
      <c r="L56" s="67" t="s">
        <v>278</v>
      </c>
      <c r="M56" s="67" t="s">
        <v>279</v>
      </c>
      <c r="N56" s="67" t="s">
        <v>56</v>
      </c>
      <c r="O56" s="67"/>
      <c r="P56" s="67">
        <v>171</v>
      </c>
      <c r="Q56" s="495"/>
      <c r="R56" s="496"/>
      <c r="S56" s="496"/>
      <c r="T56" s="496"/>
      <c r="U56" s="497"/>
      <c r="V56" s="97">
        <v>549436752</v>
      </c>
      <c r="W56" s="582"/>
      <c r="X56" s="67" t="s">
        <v>269</v>
      </c>
      <c r="Y56" s="67">
        <v>0</v>
      </c>
      <c r="Z56" s="67">
        <f>+P56</f>
        <v>171</v>
      </c>
      <c r="AA56" s="68">
        <f>+Y56/Z56</f>
        <v>0</v>
      </c>
      <c r="AB56" s="66" t="s">
        <v>280</v>
      </c>
      <c r="AC56" s="495"/>
      <c r="AD56" s="496"/>
      <c r="AE56" s="496"/>
      <c r="AF56" s="497"/>
      <c r="AG56" s="69">
        <v>1</v>
      </c>
      <c r="AH56" s="69">
        <v>171</v>
      </c>
      <c r="AI56" s="70">
        <v>5.8479532163742687E-3</v>
      </c>
      <c r="AJ56" s="98" t="s">
        <v>281</v>
      </c>
      <c r="AK56" s="588"/>
      <c r="AL56" s="589"/>
      <c r="AM56" s="589"/>
      <c r="AN56" s="590"/>
      <c r="AO56" s="69">
        <v>4</v>
      </c>
      <c r="AP56" s="69">
        <f>+P56</f>
        <v>171</v>
      </c>
      <c r="AQ56" s="70">
        <f>+AO56/AP56</f>
        <v>2.3391812865497075E-2</v>
      </c>
      <c r="AR56" s="98" t="s">
        <v>282</v>
      </c>
      <c r="AS56" s="495"/>
      <c r="AT56" s="496"/>
      <c r="AU56" s="496"/>
      <c r="AV56" s="497"/>
    </row>
    <row r="57" spans="1:708" s="22" customFormat="1" ht="70.5" customHeight="1" x14ac:dyDescent="0.25">
      <c r="A57" s="55"/>
      <c r="B57" s="55"/>
      <c r="C57" s="55"/>
      <c r="D57" s="55"/>
      <c r="E57" s="55"/>
      <c r="F57" s="55"/>
      <c r="G57" s="55"/>
      <c r="H57" s="55"/>
      <c r="I57" s="55"/>
      <c r="J57" s="55"/>
      <c r="K57" s="55"/>
      <c r="L57" s="55"/>
      <c r="M57" s="55"/>
      <c r="N57" s="55"/>
      <c r="O57" s="55"/>
      <c r="P57" s="56"/>
      <c r="Q57" s="55"/>
      <c r="R57" s="55"/>
      <c r="S57" s="56"/>
      <c r="T57" s="55"/>
      <c r="U57" s="55"/>
      <c r="V57" s="95"/>
      <c r="W57" s="95"/>
      <c r="X57" s="55"/>
      <c r="Y57" s="557" t="s">
        <v>99</v>
      </c>
      <c r="Z57" s="557"/>
      <c r="AA57" s="60">
        <f>AVERAGE(AA54:AA56)</f>
        <v>4.4508191496143303E-2</v>
      </c>
      <c r="AB57" s="104"/>
      <c r="AC57" s="557" t="s">
        <v>100</v>
      </c>
      <c r="AD57" s="557"/>
      <c r="AE57" s="60" t="s">
        <v>283</v>
      </c>
      <c r="AF57" s="61"/>
      <c r="AG57" s="565" t="s">
        <v>99</v>
      </c>
      <c r="AH57" s="565"/>
      <c r="AI57" s="64">
        <v>6.5104975289629691E-2</v>
      </c>
      <c r="AJ57" s="105"/>
      <c r="AK57" s="565" t="s">
        <v>100</v>
      </c>
      <c r="AL57" s="565"/>
      <c r="AM57" s="64" t="s">
        <v>283</v>
      </c>
      <c r="AN57" s="65"/>
      <c r="AO57" s="557" t="s">
        <v>99</v>
      </c>
      <c r="AP57" s="557"/>
      <c r="AQ57" s="60">
        <f>AVERAGE(AQ54:AQ56)</f>
        <v>8.1640759193834664E-2</v>
      </c>
      <c r="AR57" s="104"/>
      <c r="AS57" s="557" t="s">
        <v>100</v>
      </c>
      <c r="AT57" s="557"/>
      <c r="AU57" s="60" t="s">
        <v>283</v>
      </c>
      <c r="AV57" s="6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21"/>
      <c r="JP57" s="21"/>
      <c r="JQ57" s="21"/>
      <c r="JR57" s="21"/>
      <c r="JS57" s="21"/>
      <c r="JT57" s="21"/>
      <c r="JU57" s="21"/>
      <c r="JV57" s="21"/>
      <c r="JW57" s="21"/>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1"/>
      <c r="NH57" s="21"/>
      <c r="NI57" s="21"/>
      <c r="NJ57" s="21"/>
      <c r="NK57" s="21"/>
      <c r="NL57" s="21"/>
      <c r="NM57" s="21"/>
      <c r="NN57" s="21"/>
      <c r="NO57" s="21"/>
      <c r="NP57" s="21"/>
      <c r="NQ57" s="21"/>
      <c r="NR57" s="21"/>
      <c r="NS57" s="21"/>
      <c r="NT57" s="21"/>
      <c r="NU57" s="21"/>
      <c r="NV57" s="21"/>
      <c r="NW57" s="21"/>
      <c r="NX57" s="21"/>
      <c r="NY57" s="21"/>
      <c r="NZ57" s="21"/>
      <c r="OA57" s="21"/>
      <c r="OB57" s="21"/>
      <c r="OC57" s="21"/>
      <c r="OD57" s="21"/>
      <c r="OE57" s="21"/>
      <c r="OF57" s="21"/>
      <c r="OG57" s="21"/>
      <c r="OH57" s="21"/>
      <c r="OI57" s="21"/>
      <c r="OJ57" s="21"/>
      <c r="OK57" s="21"/>
      <c r="OL57" s="21"/>
      <c r="OM57" s="21"/>
      <c r="ON57" s="21"/>
      <c r="OO57" s="21"/>
      <c r="OP57" s="21"/>
      <c r="OQ57" s="21"/>
      <c r="OR57" s="21"/>
      <c r="OS57" s="21"/>
      <c r="OT57" s="21"/>
      <c r="OU57" s="21"/>
      <c r="OV57" s="21"/>
      <c r="OW57" s="21"/>
      <c r="OX57" s="21"/>
      <c r="OY57" s="21"/>
      <c r="OZ57" s="21"/>
      <c r="PA57" s="21"/>
      <c r="PB57" s="21"/>
      <c r="PC57" s="21"/>
      <c r="PD57" s="21"/>
      <c r="PE57" s="21"/>
      <c r="PF57" s="21"/>
      <c r="PG57" s="21"/>
      <c r="PH57" s="21"/>
      <c r="PI57" s="21"/>
      <c r="PJ57" s="21"/>
      <c r="PK57" s="21"/>
      <c r="PL57" s="21"/>
      <c r="PM57" s="21"/>
      <c r="PN57" s="21"/>
      <c r="PO57" s="21"/>
      <c r="PP57" s="21"/>
      <c r="PQ57" s="21"/>
      <c r="PR57" s="21"/>
      <c r="PS57" s="21"/>
      <c r="PT57" s="21"/>
      <c r="PU57" s="21"/>
      <c r="PV57" s="21"/>
      <c r="PW57" s="21"/>
      <c r="PX57" s="21"/>
      <c r="PY57" s="21"/>
      <c r="PZ57" s="21"/>
      <c r="QA57" s="21"/>
      <c r="QB57" s="21"/>
      <c r="QC57" s="21"/>
      <c r="QD57" s="21"/>
      <c r="QE57" s="21"/>
      <c r="QF57" s="21"/>
      <c r="QG57" s="21"/>
      <c r="QH57" s="21"/>
      <c r="QI57" s="21"/>
      <c r="QJ57" s="21"/>
      <c r="QK57" s="21"/>
      <c r="QL57" s="21"/>
      <c r="QM57" s="21"/>
      <c r="QN57" s="21"/>
      <c r="QO57" s="21"/>
      <c r="QP57" s="21"/>
      <c r="QQ57" s="21"/>
      <c r="QR57" s="21"/>
      <c r="QS57" s="21"/>
      <c r="QT57" s="21"/>
      <c r="QU57" s="21"/>
      <c r="QV57" s="21"/>
      <c r="QW57" s="21"/>
      <c r="QX57" s="21"/>
      <c r="QY57" s="21"/>
      <c r="QZ57" s="21"/>
      <c r="RA57" s="21"/>
      <c r="RB57" s="21"/>
      <c r="RC57" s="21"/>
      <c r="RD57" s="21"/>
      <c r="RE57" s="21"/>
      <c r="RF57" s="21"/>
      <c r="RG57" s="21"/>
      <c r="RH57" s="21"/>
      <c r="RI57" s="21"/>
      <c r="RJ57" s="21"/>
      <c r="RK57" s="21"/>
      <c r="RL57" s="21"/>
      <c r="RM57" s="21"/>
      <c r="RN57" s="21"/>
      <c r="RO57" s="21"/>
      <c r="RP57" s="21"/>
      <c r="RQ57" s="21"/>
      <c r="RR57" s="21"/>
      <c r="RS57" s="21"/>
      <c r="RT57" s="21"/>
      <c r="RU57" s="21"/>
      <c r="RV57" s="21"/>
      <c r="RW57" s="21"/>
      <c r="RX57" s="21"/>
      <c r="RY57" s="21"/>
      <c r="RZ57" s="21"/>
      <c r="SA57" s="21"/>
      <c r="SB57" s="21"/>
      <c r="SC57" s="21"/>
      <c r="SD57" s="21"/>
      <c r="SE57" s="21"/>
      <c r="SF57" s="21"/>
      <c r="SG57" s="21"/>
      <c r="SH57" s="21"/>
      <c r="SI57" s="21"/>
      <c r="SJ57" s="21"/>
      <c r="SK57" s="21"/>
      <c r="SL57" s="21"/>
      <c r="SM57" s="21"/>
      <c r="SN57" s="21"/>
      <c r="SO57" s="21"/>
      <c r="SP57" s="21"/>
      <c r="SQ57" s="21"/>
      <c r="SR57" s="21"/>
      <c r="SS57" s="21"/>
      <c r="ST57" s="21"/>
      <c r="SU57" s="21"/>
      <c r="SV57" s="21"/>
      <c r="SW57" s="21"/>
      <c r="SX57" s="21"/>
      <c r="SY57" s="21"/>
      <c r="SZ57" s="21"/>
      <c r="TA57" s="21"/>
      <c r="TB57" s="21"/>
      <c r="TC57" s="21"/>
      <c r="TD57" s="21"/>
      <c r="TE57" s="21"/>
      <c r="TF57" s="21"/>
      <c r="TG57" s="21"/>
      <c r="TH57" s="21"/>
      <c r="TI57" s="21"/>
      <c r="TJ57" s="21"/>
      <c r="TK57" s="21"/>
      <c r="TL57" s="21"/>
      <c r="TM57" s="21"/>
      <c r="TN57" s="21"/>
      <c r="TO57" s="21"/>
      <c r="TP57" s="21"/>
      <c r="TQ57" s="21"/>
      <c r="TR57" s="21"/>
      <c r="TS57" s="21"/>
      <c r="TT57" s="21"/>
      <c r="TU57" s="21"/>
      <c r="TV57" s="21"/>
      <c r="TW57" s="21"/>
      <c r="TX57" s="21"/>
      <c r="TY57" s="21"/>
      <c r="TZ57" s="21"/>
      <c r="UA57" s="21"/>
      <c r="UB57" s="21"/>
      <c r="UC57" s="21"/>
      <c r="UD57" s="21"/>
      <c r="UE57" s="21"/>
      <c r="UF57" s="21"/>
      <c r="UG57" s="21"/>
      <c r="UH57" s="21"/>
      <c r="UI57" s="21"/>
      <c r="UJ57" s="21"/>
      <c r="UK57" s="21"/>
      <c r="UL57" s="21"/>
      <c r="UM57" s="21"/>
      <c r="UN57" s="21"/>
      <c r="UO57" s="21"/>
      <c r="UP57" s="21"/>
      <c r="UQ57" s="21"/>
      <c r="UR57" s="21"/>
      <c r="US57" s="21"/>
      <c r="UT57" s="21"/>
      <c r="UU57" s="21"/>
      <c r="UV57" s="21"/>
      <c r="UW57" s="21"/>
      <c r="UX57" s="21"/>
      <c r="UY57" s="21"/>
      <c r="UZ57" s="21"/>
      <c r="VA57" s="21"/>
      <c r="VB57" s="21"/>
      <c r="VC57" s="21"/>
      <c r="VD57" s="21"/>
      <c r="VE57" s="21"/>
      <c r="VF57" s="21"/>
      <c r="VG57" s="21"/>
      <c r="VH57" s="21"/>
      <c r="VI57" s="21"/>
      <c r="VJ57" s="21"/>
      <c r="VK57" s="21"/>
      <c r="VL57" s="21"/>
      <c r="VM57" s="21"/>
      <c r="VN57" s="21"/>
      <c r="VO57" s="21"/>
      <c r="VP57" s="21"/>
      <c r="VQ57" s="21"/>
      <c r="VR57" s="21"/>
      <c r="VS57" s="21"/>
      <c r="VT57" s="21"/>
      <c r="VU57" s="21"/>
      <c r="VV57" s="21"/>
      <c r="VW57" s="21"/>
      <c r="VX57" s="21"/>
      <c r="VY57" s="21"/>
      <c r="VZ57" s="21"/>
      <c r="WA57" s="21"/>
      <c r="WB57" s="21"/>
      <c r="WC57" s="21"/>
      <c r="WD57" s="21"/>
      <c r="WE57" s="21"/>
      <c r="WF57" s="21"/>
      <c r="WG57" s="21"/>
      <c r="WH57" s="21"/>
      <c r="WI57" s="21"/>
      <c r="WJ57" s="21"/>
      <c r="WK57" s="21"/>
      <c r="WL57" s="21"/>
      <c r="WM57" s="21"/>
      <c r="WN57" s="21"/>
      <c r="WO57" s="21"/>
      <c r="WP57" s="21"/>
      <c r="WQ57" s="21"/>
      <c r="WR57" s="21"/>
      <c r="WS57" s="21"/>
      <c r="WT57" s="21"/>
      <c r="WU57" s="21"/>
      <c r="WV57" s="21"/>
      <c r="WW57" s="21"/>
      <c r="WX57" s="21"/>
      <c r="WY57" s="21"/>
      <c r="WZ57" s="21"/>
      <c r="XA57" s="21"/>
      <c r="XB57" s="21"/>
      <c r="XC57" s="21"/>
      <c r="XD57" s="21"/>
      <c r="XE57" s="21"/>
      <c r="XF57" s="21"/>
      <c r="XG57" s="21"/>
      <c r="XH57" s="21"/>
      <c r="XI57" s="21"/>
      <c r="XJ57" s="21"/>
      <c r="XK57" s="21"/>
      <c r="XL57" s="21"/>
      <c r="XM57" s="21"/>
      <c r="XN57" s="21"/>
      <c r="XO57" s="21"/>
      <c r="XP57" s="21"/>
      <c r="XQ57" s="21"/>
      <c r="XR57" s="21"/>
      <c r="XS57" s="21"/>
      <c r="XT57" s="21"/>
      <c r="XU57" s="21"/>
      <c r="XV57" s="21"/>
      <c r="XW57" s="21"/>
      <c r="XX57" s="21"/>
      <c r="XY57" s="21"/>
      <c r="XZ57" s="21"/>
      <c r="YA57" s="21"/>
      <c r="YB57" s="21"/>
      <c r="YC57" s="21"/>
      <c r="YD57" s="21"/>
      <c r="YE57" s="21"/>
      <c r="YF57" s="21"/>
      <c r="YG57" s="21"/>
      <c r="YH57" s="21"/>
      <c r="YI57" s="21"/>
      <c r="YJ57" s="21"/>
      <c r="YK57" s="21"/>
      <c r="YL57" s="21"/>
      <c r="YM57" s="21"/>
      <c r="YN57" s="21"/>
      <c r="YO57" s="21"/>
      <c r="YP57" s="21"/>
      <c r="YQ57" s="21"/>
      <c r="YR57" s="21"/>
      <c r="YS57" s="21"/>
      <c r="YT57" s="21"/>
      <c r="YU57" s="21"/>
      <c r="YV57" s="21"/>
      <c r="YW57" s="21"/>
      <c r="YX57" s="21"/>
      <c r="YY57" s="21"/>
      <c r="YZ57" s="21"/>
      <c r="ZA57" s="21"/>
      <c r="ZB57" s="21"/>
      <c r="ZC57" s="21"/>
      <c r="ZD57" s="21"/>
      <c r="ZE57" s="21"/>
      <c r="ZF57" s="21"/>
      <c r="ZG57" s="21"/>
      <c r="ZH57" s="21"/>
      <c r="ZI57" s="21"/>
      <c r="ZJ57" s="21"/>
      <c r="ZK57" s="21"/>
      <c r="ZL57" s="21"/>
      <c r="ZM57" s="21"/>
      <c r="ZN57" s="21"/>
      <c r="ZO57" s="21"/>
      <c r="ZP57" s="21"/>
      <c r="ZQ57" s="21"/>
      <c r="ZR57" s="21"/>
      <c r="ZS57" s="21"/>
      <c r="ZT57" s="21"/>
      <c r="ZU57" s="21"/>
      <c r="ZV57" s="21"/>
      <c r="ZW57" s="21"/>
      <c r="ZX57" s="21"/>
      <c r="ZY57" s="21"/>
      <c r="ZZ57" s="21"/>
      <c r="AAA57" s="21"/>
      <c r="AAB57" s="21"/>
      <c r="AAC57" s="21"/>
      <c r="AAD57" s="21"/>
      <c r="AAE57" s="21"/>
      <c r="AAF57" s="21"/>
    </row>
    <row r="58" spans="1:708" ht="67.5" customHeight="1" x14ac:dyDescent="0.25">
      <c r="A58" s="99" t="s">
        <v>43</v>
      </c>
      <c r="B58" s="99" t="s">
        <v>44</v>
      </c>
      <c r="C58" s="99" t="s">
        <v>45</v>
      </c>
      <c r="D58" s="99" t="s">
        <v>46</v>
      </c>
      <c r="E58" s="99" t="s">
        <v>71</v>
      </c>
      <c r="F58" s="99" t="s">
        <v>48</v>
      </c>
      <c r="G58" s="99" t="s">
        <v>49</v>
      </c>
      <c r="H58" s="99" t="s">
        <v>50</v>
      </c>
      <c r="I58" s="99" t="s">
        <v>78</v>
      </c>
      <c r="J58" s="99" t="s">
        <v>52</v>
      </c>
      <c r="K58" s="99" t="s">
        <v>284</v>
      </c>
      <c r="L58" s="99" t="s">
        <v>285</v>
      </c>
      <c r="M58" s="99" t="s">
        <v>286</v>
      </c>
      <c r="N58" s="99" t="s">
        <v>56</v>
      </c>
      <c r="O58" s="99"/>
      <c r="P58" s="99">
        <v>100</v>
      </c>
      <c r="Q58" s="99" t="s">
        <v>287</v>
      </c>
      <c r="R58" s="99" t="s">
        <v>288</v>
      </c>
      <c r="S58" s="99" t="s">
        <v>56</v>
      </c>
      <c r="T58" s="99"/>
      <c r="U58" s="99">
        <v>359</v>
      </c>
      <c r="V58" s="106">
        <v>522461253</v>
      </c>
      <c r="W58" s="569">
        <v>64326892613</v>
      </c>
      <c r="X58" s="99" t="s">
        <v>289</v>
      </c>
      <c r="Y58" s="99">
        <v>0</v>
      </c>
      <c r="Z58" s="99">
        <f>+P58</f>
        <v>100</v>
      </c>
      <c r="AA58" s="99">
        <f>Y58/Z58</f>
        <v>0</v>
      </c>
      <c r="AB58" s="107" t="s">
        <v>290</v>
      </c>
      <c r="AC58" s="99">
        <v>0</v>
      </c>
      <c r="AD58" s="99">
        <f>+U58</f>
        <v>359</v>
      </c>
      <c r="AE58" s="108">
        <f>+AC58/AD58</f>
        <v>0</v>
      </c>
      <c r="AF58" s="99" t="s">
        <v>291</v>
      </c>
      <c r="AG58" s="109">
        <v>0</v>
      </c>
      <c r="AH58" s="109">
        <v>100</v>
      </c>
      <c r="AI58" s="110">
        <v>0</v>
      </c>
      <c r="AJ58" s="111" t="s">
        <v>292</v>
      </c>
      <c r="AK58" s="109">
        <v>17</v>
      </c>
      <c r="AL58" s="109">
        <v>359</v>
      </c>
      <c r="AM58" s="110">
        <v>4.7353760445682451E-2</v>
      </c>
      <c r="AN58" s="109" t="s">
        <v>293</v>
      </c>
      <c r="AO58" s="109">
        <v>0</v>
      </c>
      <c r="AP58" s="109">
        <f>+P58</f>
        <v>100</v>
      </c>
      <c r="AQ58" s="110">
        <f>AO58/AP58</f>
        <v>0</v>
      </c>
      <c r="AR58" s="111" t="s">
        <v>294</v>
      </c>
      <c r="AS58" s="109">
        <v>76</v>
      </c>
      <c r="AT58" s="109">
        <f>+U58</f>
        <v>359</v>
      </c>
      <c r="AU58" s="110">
        <f>+AS58/AT58</f>
        <v>0.2116991643454039</v>
      </c>
      <c r="AV58" s="109" t="s">
        <v>295</v>
      </c>
    </row>
    <row r="59" spans="1:708" ht="69" customHeight="1" x14ac:dyDescent="0.25">
      <c r="A59" s="96" t="s">
        <v>43</v>
      </c>
      <c r="B59" s="96" t="s">
        <v>44</v>
      </c>
      <c r="C59" s="96" t="s">
        <v>45</v>
      </c>
      <c r="D59" s="96" t="s">
        <v>46</v>
      </c>
      <c r="E59" s="96" t="s">
        <v>71</v>
      </c>
      <c r="F59" s="96" t="s">
        <v>48</v>
      </c>
      <c r="G59" s="96" t="s">
        <v>49</v>
      </c>
      <c r="H59" s="96" t="s">
        <v>50</v>
      </c>
      <c r="I59" s="96" t="s">
        <v>78</v>
      </c>
      <c r="J59" s="96" t="s">
        <v>52</v>
      </c>
      <c r="K59" s="96" t="s">
        <v>284</v>
      </c>
      <c r="L59" s="96" t="s">
        <v>296</v>
      </c>
      <c r="M59" s="96" t="s">
        <v>297</v>
      </c>
      <c r="N59" s="96" t="s">
        <v>74</v>
      </c>
      <c r="O59" s="96"/>
      <c r="P59" s="112">
        <v>1</v>
      </c>
      <c r="Q59" s="495"/>
      <c r="R59" s="496"/>
      <c r="S59" s="496"/>
      <c r="T59" s="496"/>
      <c r="U59" s="497"/>
      <c r="V59" s="113">
        <v>232686638</v>
      </c>
      <c r="W59" s="569"/>
      <c r="X59" s="96" t="s">
        <v>289</v>
      </c>
      <c r="Y59" s="114">
        <f>(2/27)</f>
        <v>7.407407407407407E-2</v>
      </c>
      <c r="Z59" s="114">
        <f>+P59</f>
        <v>1</v>
      </c>
      <c r="AA59" s="115">
        <f>Y59/Z59</f>
        <v>7.407407407407407E-2</v>
      </c>
      <c r="AB59" s="116" t="s">
        <v>298</v>
      </c>
      <c r="AC59" s="591"/>
      <c r="AD59" s="592"/>
      <c r="AE59" s="592"/>
      <c r="AF59" s="592"/>
      <c r="AG59" s="117">
        <v>0.61111111111111116</v>
      </c>
      <c r="AH59" s="117">
        <v>1</v>
      </c>
      <c r="AI59" s="118">
        <v>0.61111111111111116</v>
      </c>
      <c r="AJ59" s="119" t="s">
        <v>299</v>
      </c>
      <c r="AK59" s="593"/>
      <c r="AL59" s="594"/>
      <c r="AM59" s="594"/>
      <c r="AN59" s="594"/>
      <c r="AO59" s="117">
        <f>(16/23)</f>
        <v>0.69565217391304346</v>
      </c>
      <c r="AP59" s="117">
        <f>+P59</f>
        <v>1</v>
      </c>
      <c r="AQ59" s="118">
        <f>AO59/AP59</f>
        <v>0.69565217391304346</v>
      </c>
      <c r="AR59" s="119" t="s">
        <v>300</v>
      </c>
      <c r="AS59" s="593"/>
      <c r="AT59" s="594"/>
      <c r="AU59" s="594"/>
      <c r="AV59" s="594"/>
    </row>
    <row r="60" spans="1:708" ht="78" customHeight="1" x14ac:dyDescent="0.25">
      <c r="A60" s="99" t="s">
        <v>43</v>
      </c>
      <c r="B60" s="99" t="s">
        <v>44</v>
      </c>
      <c r="C60" s="99" t="s">
        <v>45</v>
      </c>
      <c r="D60" s="99" t="s">
        <v>46</v>
      </c>
      <c r="E60" s="99" t="s">
        <v>71</v>
      </c>
      <c r="F60" s="99" t="s">
        <v>48</v>
      </c>
      <c r="G60" s="99" t="s">
        <v>49</v>
      </c>
      <c r="H60" s="99" t="s">
        <v>50</v>
      </c>
      <c r="I60" s="99" t="s">
        <v>78</v>
      </c>
      <c r="J60" s="99" t="s">
        <v>52</v>
      </c>
      <c r="K60" s="99" t="s">
        <v>284</v>
      </c>
      <c r="L60" s="99" t="s">
        <v>301</v>
      </c>
      <c r="M60" s="99" t="s">
        <v>302</v>
      </c>
      <c r="N60" s="99" t="s">
        <v>56</v>
      </c>
      <c r="O60" s="99">
        <v>14</v>
      </c>
      <c r="P60" s="99">
        <v>14</v>
      </c>
      <c r="Q60" s="495"/>
      <c r="R60" s="496"/>
      <c r="S60" s="496"/>
      <c r="T60" s="496"/>
      <c r="U60" s="497"/>
      <c r="V60" s="106">
        <v>229965940</v>
      </c>
      <c r="W60" s="569"/>
      <c r="X60" s="99" t="s">
        <v>289</v>
      </c>
      <c r="Y60" s="99">
        <v>0</v>
      </c>
      <c r="Z60" s="99">
        <f>+P60</f>
        <v>14</v>
      </c>
      <c r="AA60" s="99">
        <f>Y60/Z60</f>
        <v>0</v>
      </c>
      <c r="AB60" s="107" t="s">
        <v>303</v>
      </c>
      <c r="AC60" s="595"/>
      <c r="AD60" s="596"/>
      <c r="AE60" s="596"/>
      <c r="AF60" s="597"/>
      <c r="AG60" s="109">
        <v>0</v>
      </c>
      <c r="AH60" s="109">
        <v>14</v>
      </c>
      <c r="AI60" s="110">
        <v>0</v>
      </c>
      <c r="AJ60" s="111" t="s">
        <v>304</v>
      </c>
      <c r="AK60" s="598"/>
      <c r="AL60" s="599"/>
      <c r="AM60" s="599"/>
      <c r="AN60" s="600"/>
      <c r="AO60" s="109">
        <v>0</v>
      </c>
      <c r="AP60" s="109">
        <f>+P60</f>
        <v>14</v>
      </c>
      <c r="AQ60" s="110">
        <f>AO60/AP60</f>
        <v>0</v>
      </c>
      <c r="AR60" s="111" t="s">
        <v>305</v>
      </c>
      <c r="AS60" s="598"/>
      <c r="AT60" s="599"/>
      <c r="AU60" s="599"/>
      <c r="AV60" s="600"/>
    </row>
    <row r="61" spans="1:708" s="22" customFormat="1" ht="70.5" customHeight="1" x14ac:dyDescent="0.25">
      <c r="A61" s="55"/>
      <c r="B61" s="55"/>
      <c r="C61" s="55"/>
      <c r="D61" s="55"/>
      <c r="E61" s="55"/>
      <c r="F61" s="55"/>
      <c r="G61" s="55"/>
      <c r="H61" s="55"/>
      <c r="I61" s="55"/>
      <c r="J61" s="55"/>
      <c r="K61" s="55"/>
      <c r="L61" s="55"/>
      <c r="M61" s="55"/>
      <c r="N61" s="55"/>
      <c r="O61" s="55"/>
      <c r="P61" s="56"/>
      <c r="Q61" s="55"/>
      <c r="R61" s="55"/>
      <c r="S61" s="56"/>
      <c r="T61" s="55"/>
      <c r="U61" s="55"/>
      <c r="V61" s="95"/>
      <c r="W61" s="95"/>
      <c r="X61" s="55"/>
      <c r="Y61" s="388" t="s">
        <v>99</v>
      </c>
      <c r="Z61" s="388"/>
      <c r="AA61" s="58">
        <f>AVERAGE(AA58:AA60)</f>
        <v>2.4691358024691357E-2</v>
      </c>
      <c r="AB61" s="59"/>
      <c r="AC61" s="388" t="s">
        <v>100</v>
      </c>
      <c r="AD61" s="388"/>
      <c r="AE61" s="58">
        <f>AVERAGE(AE58)</f>
        <v>0</v>
      </c>
      <c r="AF61" s="61"/>
      <c r="AG61" s="564" t="s">
        <v>99</v>
      </c>
      <c r="AH61" s="564"/>
      <c r="AI61" s="62">
        <v>0.20370370370370372</v>
      </c>
      <c r="AJ61" s="63"/>
      <c r="AK61" s="564" t="s">
        <v>100</v>
      </c>
      <c r="AL61" s="564"/>
      <c r="AM61" s="62">
        <v>4.7353760445682451E-2</v>
      </c>
      <c r="AN61" s="65"/>
      <c r="AO61" s="388" t="s">
        <v>99</v>
      </c>
      <c r="AP61" s="388"/>
      <c r="AQ61" s="58">
        <f>AVERAGE(AQ58:AQ60)</f>
        <v>0.2318840579710145</v>
      </c>
      <c r="AR61" s="59"/>
      <c r="AS61" s="388" t="s">
        <v>100</v>
      </c>
      <c r="AT61" s="388"/>
      <c r="AU61" s="58">
        <f>AVERAGE(AU58)</f>
        <v>0.2116991643454039</v>
      </c>
      <c r="AV61" s="6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c r="FL61" s="21"/>
      <c r="FM61" s="21"/>
      <c r="FN61" s="21"/>
      <c r="FO61" s="21"/>
      <c r="FP61" s="21"/>
      <c r="FQ61" s="21"/>
      <c r="FR61" s="21"/>
      <c r="FS61" s="21"/>
      <c r="FT61" s="21"/>
      <c r="FU61" s="21"/>
      <c r="FV61" s="21"/>
      <c r="FW61" s="21"/>
      <c r="FX61" s="21"/>
      <c r="FY61" s="21"/>
      <c r="FZ61" s="21"/>
      <c r="GA61" s="21"/>
      <c r="GB61" s="21"/>
      <c r="GC61" s="21"/>
      <c r="GD61" s="21"/>
      <c r="GE61" s="21"/>
      <c r="GF61" s="21"/>
      <c r="GG61" s="21"/>
      <c r="GH61" s="21"/>
      <c r="GI61" s="21"/>
      <c r="GJ61" s="21"/>
      <c r="GK61" s="21"/>
      <c r="GL61" s="21"/>
      <c r="GM61" s="21"/>
      <c r="GN61" s="21"/>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c r="IW61" s="21"/>
      <c r="IX61" s="21"/>
      <c r="IY61" s="21"/>
      <c r="IZ61" s="21"/>
      <c r="JA61" s="21"/>
      <c r="JB61" s="21"/>
      <c r="JC61" s="21"/>
      <c r="JD61" s="21"/>
      <c r="JE61" s="21"/>
      <c r="JF61" s="21"/>
      <c r="JG61" s="21"/>
      <c r="JH61" s="21"/>
      <c r="JI61" s="21"/>
      <c r="JJ61" s="21"/>
      <c r="JK61" s="21"/>
      <c r="JL61" s="21"/>
      <c r="JM61" s="21"/>
      <c r="JN61" s="21"/>
      <c r="JO61" s="21"/>
      <c r="JP61" s="21"/>
      <c r="JQ61" s="21"/>
      <c r="JR61" s="21"/>
      <c r="JS61" s="21"/>
      <c r="JT61" s="21"/>
      <c r="JU61" s="21"/>
      <c r="JV61" s="21"/>
      <c r="JW61" s="21"/>
      <c r="JX61" s="21"/>
      <c r="JY61" s="21"/>
      <c r="JZ61" s="21"/>
      <c r="KA61" s="21"/>
      <c r="KB61" s="21"/>
      <c r="KC61" s="21"/>
      <c r="KD61" s="21"/>
      <c r="KE61" s="21"/>
      <c r="KF61" s="21"/>
      <c r="KG61" s="21"/>
      <c r="KH61" s="21"/>
      <c r="KI61" s="21"/>
      <c r="KJ61" s="21"/>
      <c r="KK61" s="21"/>
      <c r="KL61" s="21"/>
      <c r="KM61" s="21"/>
      <c r="KN61" s="21"/>
      <c r="KO61" s="21"/>
      <c r="KP61" s="21"/>
      <c r="KQ61" s="21"/>
      <c r="KR61" s="21"/>
      <c r="KS61" s="21"/>
      <c r="KT61" s="21"/>
      <c r="KU61" s="21"/>
      <c r="KV61" s="21"/>
      <c r="KW61" s="21"/>
      <c r="KX61" s="21"/>
      <c r="KY61" s="21"/>
      <c r="KZ61" s="21"/>
      <c r="LA61" s="21"/>
      <c r="LB61" s="21"/>
      <c r="LC61" s="21"/>
      <c r="LD61" s="21"/>
      <c r="LE61" s="21"/>
      <c r="LF61" s="21"/>
      <c r="LG61" s="21"/>
      <c r="LH61" s="21"/>
      <c r="LI61" s="21"/>
      <c r="LJ61" s="21"/>
      <c r="LK61" s="21"/>
      <c r="LL61" s="21"/>
      <c r="LM61" s="21"/>
      <c r="LN61" s="21"/>
      <c r="LO61" s="21"/>
      <c r="LP61" s="21"/>
      <c r="LQ61" s="21"/>
      <c r="LR61" s="21"/>
      <c r="LS61" s="21"/>
      <c r="LT61" s="21"/>
      <c r="LU61" s="21"/>
      <c r="LV61" s="21"/>
      <c r="LW61" s="21"/>
      <c r="LX61" s="21"/>
      <c r="LY61" s="21"/>
      <c r="LZ61" s="21"/>
      <c r="MA61" s="21"/>
      <c r="MB61" s="21"/>
      <c r="MC61" s="21"/>
      <c r="MD61" s="21"/>
      <c r="ME61" s="21"/>
      <c r="MF61" s="21"/>
      <c r="MG61" s="21"/>
      <c r="MH61" s="21"/>
      <c r="MI61" s="21"/>
      <c r="MJ61" s="21"/>
      <c r="MK61" s="21"/>
      <c r="ML61" s="21"/>
      <c r="MM61" s="21"/>
      <c r="MN61" s="21"/>
      <c r="MO61" s="21"/>
      <c r="MP61" s="21"/>
      <c r="MQ61" s="21"/>
      <c r="MR61" s="21"/>
      <c r="MS61" s="21"/>
      <c r="MT61" s="21"/>
      <c r="MU61" s="21"/>
      <c r="MV61" s="21"/>
      <c r="MW61" s="21"/>
      <c r="MX61" s="21"/>
      <c r="MY61" s="21"/>
      <c r="MZ61" s="21"/>
      <c r="NA61" s="21"/>
      <c r="NB61" s="21"/>
      <c r="NC61" s="21"/>
      <c r="ND61" s="21"/>
      <c r="NE61" s="21"/>
      <c r="NF61" s="21"/>
      <c r="NG61" s="21"/>
      <c r="NH61" s="21"/>
      <c r="NI61" s="21"/>
      <c r="NJ61" s="21"/>
      <c r="NK61" s="21"/>
      <c r="NL61" s="21"/>
      <c r="NM61" s="21"/>
      <c r="NN61" s="21"/>
      <c r="NO61" s="21"/>
      <c r="NP61" s="21"/>
      <c r="NQ61" s="21"/>
      <c r="NR61" s="21"/>
      <c r="NS61" s="21"/>
      <c r="NT61" s="21"/>
      <c r="NU61" s="21"/>
      <c r="NV61" s="21"/>
      <c r="NW61" s="21"/>
      <c r="NX61" s="21"/>
      <c r="NY61" s="21"/>
      <c r="NZ61" s="21"/>
      <c r="OA61" s="21"/>
      <c r="OB61" s="21"/>
      <c r="OC61" s="21"/>
      <c r="OD61" s="21"/>
      <c r="OE61" s="21"/>
      <c r="OF61" s="21"/>
      <c r="OG61" s="21"/>
      <c r="OH61" s="21"/>
      <c r="OI61" s="21"/>
      <c r="OJ61" s="21"/>
      <c r="OK61" s="21"/>
      <c r="OL61" s="21"/>
      <c r="OM61" s="21"/>
      <c r="ON61" s="21"/>
      <c r="OO61" s="21"/>
      <c r="OP61" s="21"/>
      <c r="OQ61" s="21"/>
      <c r="OR61" s="21"/>
      <c r="OS61" s="21"/>
      <c r="OT61" s="21"/>
      <c r="OU61" s="21"/>
      <c r="OV61" s="21"/>
      <c r="OW61" s="21"/>
      <c r="OX61" s="21"/>
      <c r="OY61" s="21"/>
      <c r="OZ61" s="21"/>
      <c r="PA61" s="21"/>
      <c r="PB61" s="21"/>
      <c r="PC61" s="21"/>
      <c r="PD61" s="21"/>
      <c r="PE61" s="21"/>
      <c r="PF61" s="21"/>
      <c r="PG61" s="21"/>
      <c r="PH61" s="21"/>
      <c r="PI61" s="21"/>
      <c r="PJ61" s="21"/>
      <c r="PK61" s="21"/>
      <c r="PL61" s="21"/>
      <c r="PM61" s="21"/>
      <c r="PN61" s="21"/>
      <c r="PO61" s="21"/>
      <c r="PP61" s="21"/>
      <c r="PQ61" s="21"/>
      <c r="PR61" s="21"/>
      <c r="PS61" s="21"/>
      <c r="PT61" s="21"/>
      <c r="PU61" s="21"/>
      <c r="PV61" s="21"/>
      <c r="PW61" s="21"/>
      <c r="PX61" s="21"/>
      <c r="PY61" s="21"/>
      <c r="PZ61" s="21"/>
      <c r="QA61" s="21"/>
      <c r="QB61" s="21"/>
      <c r="QC61" s="21"/>
      <c r="QD61" s="21"/>
      <c r="QE61" s="21"/>
      <c r="QF61" s="21"/>
      <c r="QG61" s="21"/>
      <c r="QH61" s="21"/>
      <c r="QI61" s="21"/>
      <c r="QJ61" s="21"/>
      <c r="QK61" s="21"/>
      <c r="QL61" s="21"/>
      <c r="QM61" s="21"/>
      <c r="QN61" s="21"/>
      <c r="QO61" s="21"/>
      <c r="QP61" s="21"/>
      <c r="QQ61" s="21"/>
      <c r="QR61" s="21"/>
      <c r="QS61" s="21"/>
      <c r="QT61" s="21"/>
      <c r="QU61" s="21"/>
      <c r="QV61" s="21"/>
      <c r="QW61" s="21"/>
      <c r="QX61" s="21"/>
      <c r="QY61" s="21"/>
      <c r="QZ61" s="21"/>
      <c r="RA61" s="21"/>
      <c r="RB61" s="21"/>
      <c r="RC61" s="21"/>
      <c r="RD61" s="21"/>
      <c r="RE61" s="21"/>
      <c r="RF61" s="21"/>
      <c r="RG61" s="21"/>
      <c r="RH61" s="21"/>
      <c r="RI61" s="21"/>
      <c r="RJ61" s="21"/>
      <c r="RK61" s="21"/>
      <c r="RL61" s="21"/>
      <c r="RM61" s="21"/>
      <c r="RN61" s="21"/>
      <c r="RO61" s="21"/>
      <c r="RP61" s="21"/>
      <c r="RQ61" s="21"/>
      <c r="RR61" s="21"/>
      <c r="RS61" s="21"/>
      <c r="RT61" s="21"/>
      <c r="RU61" s="21"/>
      <c r="RV61" s="21"/>
      <c r="RW61" s="21"/>
      <c r="RX61" s="21"/>
      <c r="RY61" s="21"/>
      <c r="RZ61" s="21"/>
      <c r="SA61" s="21"/>
      <c r="SB61" s="21"/>
      <c r="SC61" s="21"/>
      <c r="SD61" s="21"/>
      <c r="SE61" s="21"/>
      <c r="SF61" s="21"/>
      <c r="SG61" s="21"/>
      <c r="SH61" s="21"/>
      <c r="SI61" s="21"/>
      <c r="SJ61" s="21"/>
      <c r="SK61" s="21"/>
      <c r="SL61" s="21"/>
      <c r="SM61" s="21"/>
      <c r="SN61" s="21"/>
      <c r="SO61" s="21"/>
      <c r="SP61" s="21"/>
      <c r="SQ61" s="21"/>
      <c r="SR61" s="21"/>
      <c r="SS61" s="21"/>
      <c r="ST61" s="21"/>
      <c r="SU61" s="21"/>
      <c r="SV61" s="21"/>
      <c r="SW61" s="21"/>
      <c r="SX61" s="21"/>
      <c r="SY61" s="21"/>
      <c r="SZ61" s="21"/>
      <c r="TA61" s="21"/>
      <c r="TB61" s="21"/>
      <c r="TC61" s="21"/>
      <c r="TD61" s="21"/>
      <c r="TE61" s="21"/>
      <c r="TF61" s="21"/>
      <c r="TG61" s="21"/>
      <c r="TH61" s="21"/>
      <c r="TI61" s="21"/>
      <c r="TJ61" s="21"/>
      <c r="TK61" s="21"/>
      <c r="TL61" s="21"/>
      <c r="TM61" s="21"/>
      <c r="TN61" s="21"/>
      <c r="TO61" s="21"/>
      <c r="TP61" s="21"/>
      <c r="TQ61" s="21"/>
      <c r="TR61" s="21"/>
      <c r="TS61" s="21"/>
      <c r="TT61" s="21"/>
      <c r="TU61" s="21"/>
      <c r="TV61" s="21"/>
      <c r="TW61" s="21"/>
      <c r="TX61" s="21"/>
      <c r="TY61" s="21"/>
      <c r="TZ61" s="21"/>
      <c r="UA61" s="21"/>
      <c r="UB61" s="21"/>
      <c r="UC61" s="21"/>
      <c r="UD61" s="21"/>
      <c r="UE61" s="21"/>
      <c r="UF61" s="21"/>
      <c r="UG61" s="21"/>
      <c r="UH61" s="21"/>
      <c r="UI61" s="21"/>
      <c r="UJ61" s="21"/>
      <c r="UK61" s="21"/>
      <c r="UL61" s="21"/>
      <c r="UM61" s="21"/>
      <c r="UN61" s="21"/>
      <c r="UO61" s="21"/>
      <c r="UP61" s="21"/>
      <c r="UQ61" s="21"/>
      <c r="UR61" s="21"/>
      <c r="US61" s="21"/>
      <c r="UT61" s="21"/>
      <c r="UU61" s="21"/>
      <c r="UV61" s="21"/>
      <c r="UW61" s="21"/>
      <c r="UX61" s="21"/>
      <c r="UY61" s="21"/>
      <c r="UZ61" s="21"/>
      <c r="VA61" s="21"/>
      <c r="VB61" s="21"/>
      <c r="VC61" s="21"/>
      <c r="VD61" s="21"/>
      <c r="VE61" s="21"/>
      <c r="VF61" s="21"/>
      <c r="VG61" s="21"/>
      <c r="VH61" s="21"/>
      <c r="VI61" s="21"/>
      <c r="VJ61" s="21"/>
      <c r="VK61" s="21"/>
      <c r="VL61" s="21"/>
      <c r="VM61" s="21"/>
      <c r="VN61" s="21"/>
      <c r="VO61" s="21"/>
      <c r="VP61" s="21"/>
      <c r="VQ61" s="21"/>
      <c r="VR61" s="21"/>
      <c r="VS61" s="21"/>
      <c r="VT61" s="21"/>
      <c r="VU61" s="21"/>
      <c r="VV61" s="21"/>
      <c r="VW61" s="21"/>
      <c r="VX61" s="21"/>
      <c r="VY61" s="21"/>
      <c r="VZ61" s="21"/>
      <c r="WA61" s="21"/>
      <c r="WB61" s="21"/>
      <c r="WC61" s="21"/>
      <c r="WD61" s="21"/>
      <c r="WE61" s="21"/>
      <c r="WF61" s="21"/>
      <c r="WG61" s="21"/>
      <c r="WH61" s="21"/>
      <c r="WI61" s="21"/>
      <c r="WJ61" s="21"/>
      <c r="WK61" s="21"/>
      <c r="WL61" s="21"/>
      <c r="WM61" s="21"/>
      <c r="WN61" s="21"/>
      <c r="WO61" s="21"/>
      <c r="WP61" s="21"/>
      <c r="WQ61" s="21"/>
      <c r="WR61" s="21"/>
      <c r="WS61" s="21"/>
      <c r="WT61" s="21"/>
      <c r="WU61" s="21"/>
      <c r="WV61" s="21"/>
      <c r="WW61" s="21"/>
      <c r="WX61" s="21"/>
      <c r="WY61" s="21"/>
      <c r="WZ61" s="21"/>
      <c r="XA61" s="21"/>
      <c r="XB61" s="21"/>
      <c r="XC61" s="21"/>
      <c r="XD61" s="21"/>
      <c r="XE61" s="21"/>
      <c r="XF61" s="21"/>
      <c r="XG61" s="21"/>
      <c r="XH61" s="21"/>
      <c r="XI61" s="21"/>
      <c r="XJ61" s="21"/>
      <c r="XK61" s="21"/>
      <c r="XL61" s="21"/>
      <c r="XM61" s="21"/>
      <c r="XN61" s="21"/>
      <c r="XO61" s="21"/>
      <c r="XP61" s="21"/>
      <c r="XQ61" s="21"/>
      <c r="XR61" s="21"/>
      <c r="XS61" s="21"/>
      <c r="XT61" s="21"/>
      <c r="XU61" s="21"/>
      <c r="XV61" s="21"/>
      <c r="XW61" s="21"/>
      <c r="XX61" s="21"/>
      <c r="XY61" s="21"/>
      <c r="XZ61" s="21"/>
      <c r="YA61" s="21"/>
      <c r="YB61" s="21"/>
      <c r="YC61" s="21"/>
      <c r="YD61" s="21"/>
      <c r="YE61" s="21"/>
      <c r="YF61" s="21"/>
      <c r="YG61" s="21"/>
      <c r="YH61" s="21"/>
      <c r="YI61" s="21"/>
      <c r="YJ61" s="21"/>
      <c r="YK61" s="21"/>
      <c r="YL61" s="21"/>
      <c r="YM61" s="21"/>
      <c r="YN61" s="21"/>
      <c r="YO61" s="21"/>
      <c r="YP61" s="21"/>
      <c r="YQ61" s="21"/>
      <c r="YR61" s="21"/>
      <c r="YS61" s="21"/>
      <c r="YT61" s="21"/>
      <c r="YU61" s="21"/>
      <c r="YV61" s="21"/>
      <c r="YW61" s="21"/>
      <c r="YX61" s="21"/>
      <c r="YY61" s="21"/>
      <c r="YZ61" s="21"/>
      <c r="ZA61" s="21"/>
      <c r="ZB61" s="21"/>
      <c r="ZC61" s="21"/>
      <c r="ZD61" s="21"/>
      <c r="ZE61" s="21"/>
      <c r="ZF61" s="21"/>
      <c r="ZG61" s="21"/>
      <c r="ZH61" s="21"/>
      <c r="ZI61" s="21"/>
      <c r="ZJ61" s="21"/>
      <c r="ZK61" s="21"/>
      <c r="ZL61" s="21"/>
      <c r="ZM61" s="21"/>
      <c r="ZN61" s="21"/>
      <c r="ZO61" s="21"/>
      <c r="ZP61" s="21"/>
      <c r="ZQ61" s="21"/>
      <c r="ZR61" s="21"/>
      <c r="ZS61" s="21"/>
      <c r="ZT61" s="21"/>
      <c r="ZU61" s="21"/>
      <c r="ZV61" s="21"/>
      <c r="ZW61" s="21"/>
      <c r="ZX61" s="21"/>
      <c r="ZY61" s="21"/>
      <c r="ZZ61" s="21"/>
      <c r="AAA61" s="21"/>
      <c r="AAB61" s="21"/>
      <c r="AAC61" s="21"/>
      <c r="AAD61" s="21"/>
      <c r="AAE61" s="21"/>
      <c r="AAF61" s="21"/>
    </row>
    <row r="62" spans="1:708" ht="65.25" customHeight="1" x14ac:dyDescent="0.25">
      <c r="A62" s="67" t="s">
        <v>43</v>
      </c>
      <c r="B62" s="67" t="s">
        <v>44</v>
      </c>
      <c r="C62" s="67" t="s">
        <v>45</v>
      </c>
      <c r="D62" s="67" t="s">
        <v>306</v>
      </c>
      <c r="E62" s="67" t="s">
        <v>71</v>
      </c>
      <c r="F62" s="67" t="s">
        <v>48</v>
      </c>
      <c r="G62" s="67" t="s">
        <v>49</v>
      </c>
      <c r="H62" s="67" t="s">
        <v>50</v>
      </c>
      <c r="I62" s="67" t="s">
        <v>51</v>
      </c>
      <c r="J62" s="67" t="s">
        <v>52</v>
      </c>
      <c r="K62" s="67" t="s">
        <v>307</v>
      </c>
      <c r="L62" s="67" t="s">
        <v>308</v>
      </c>
      <c r="M62" s="67" t="s">
        <v>309</v>
      </c>
      <c r="N62" s="67" t="s">
        <v>56</v>
      </c>
      <c r="O62" s="67">
        <v>289</v>
      </c>
      <c r="P62" s="67">
        <v>260</v>
      </c>
      <c r="Q62" s="601"/>
      <c r="R62" s="601"/>
      <c r="S62" s="601"/>
      <c r="T62" s="601"/>
      <c r="U62" s="601"/>
      <c r="V62" s="97">
        <v>147413631</v>
      </c>
      <c r="W62" s="97">
        <v>64326892613</v>
      </c>
      <c r="X62" s="67" t="s">
        <v>59</v>
      </c>
      <c r="Y62" s="87">
        <v>23</v>
      </c>
      <c r="Z62" s="87">
        <f>+P62</f>
        <v>260</v>
      </c>
      <c r="AA62" s="90">
        <f>+Y62/Z62</f>
        <v>8.8461538461538466E-2</v>
      </c>
      <c r="AB62" s="66" t="s">
        <v>310</v>
      </c>
      <c r="AC62" s="602"/>
      <c r="AD62" s="602"/>
      <c r="AE62" s="602"/>
      <c r="AF62" s="602"/>
      <c r="AG62" s="91">
        <v>43</v>
      </c>
      <c r="AH62" s="91">
        <v>260</v>
      </c>
      <c r="AI62" s="92">
        <v>0.16538461538461538</v>
      </c>
      <c r="AJ62" s="98" t="s">
        <v>311</v>
      </c>
      <c r="AK62" s="603"/>
      <c r="AL62" s="603"/>
      <c r="AM62" s="603"/>
      <c r="AN62" s="603"/>
      <c r="AO62" s="91">
        <v>55</v>
      </c>
      <c r="AP62" s="91">
        <f>+P62</f>
        <v>260</v>
      </c>
      <c r="AQ62" s="92">
        <f>+AO62/AP62</f>
        <v>0.21153846153846154</v>
      </c>
      <c r="AR62" s="98" t="s">
        <v>312</v>
      </c>
      <c r="AS62" s="602"/>
      <c r="AT62" s="602"/>
      <c r="AU62" s="602"/>
      <c r="AV62" s="602"/>
    </row>
    <row r="63" spans="1:708" ht="66.75" customHeight="1" x14ac:dyDescent="0.25">
      <c r="A63" s="74" t="s">
        <v>43</v>
      </c>
      <c r="B63" s="74" t="s">
        <v>44</v>
      </c>
      <c r="C63" s="74" t="s">
        <v>45</v>
      </c>
      <c r="D63" s="74" t="s">
        <v>306</v>
      </c>
      <c r="E63" s="74" t="s">
        <v>71</v>
      </c>
      <c r="F63" s="74" t="s">
        <v>48</v>
      </c>
      <c r="G63" s="74" t="s">
        <v>49</v>
      </c>
      <c r="H63" s="74" t="s">
        <v>50</v>
      </c>
      <c r="I63" s="74" t="s">
        <v>78</v>
      </c>
      <c r="J63" s="74" t="s">
        <v>52</v>
      </c>
      <c r="K63" s="74" t="s">
        <v>307</v>
      </c>
      <c r="L63" s="74" t="s">
        <v>313</v>
      </c>
      <c r="M63" s="74" t="s">
        <v>314</v>
      </c>
      <c r="N63" s="74" t="s">
        <v>56</v>
      </c>
      <c r="O63" s="74">
        <v>2800</v>
      </c>
      <c r="P63" s="74">
        <v>2800</v>
      </c>
      <c r="Q63" s="601"/>
      <c r="R63" s="601"/>
      <c r="S63" s="601"/>
      <c r="T63" s="601"/>
      <c r="U63" s="601"/>
      <c r="V63" s="101">
        <v>764747058</v>
      </c>
      <c r="W63" s="101">
        <v>64326892613</v>
      </c>
      <c r="X63" s="74" t="s">
        <v>59</v>
      </c>
      <c r="Y63" s="74">
        <v>311</v>
      </c>
      <c r="Z63" s="74">
        <f>+P63</f>
        <v>2800</v>
      </c>
      <c r="AA63" s="76">
        <f>+Y63/Z63</f>
        <v>0.11107142857142857</v>
      </c>
      <c r="AB63" s="73" t="s">
        <v>315</v>
      </c>
      <c r="AC63" s="601"/>
      <c r="AD63" s="601"/>
      <c r="AE63" s="601"/>
      <c r="AF63" s="601"/>
      <c r="AG63" s="77">
        <v>752</v>
      </c>
      <c r="AH63" s="77">
        <v>2800</v>
      </c>
      <c r="AI63" s="78">
        <v>0.26857142857142857</v>
      </c>
      <c r="AJ63" s="103" t="s">
        <v>316</v>
      </c>
      <c r="AK63" s="604"/>
      <c r="AL63" s="604"/>
      <c r="AM63" s="604"/>
      <c r="AN63" s="604"/>
      <c r="AO63" s="77">
        <v>1207</v>
      </c>
      <c r="AP63" s="77">
        <f>+P63</f>
        <v>2800</v>
      </c>
      <c r="AQ63" s="78">
        <f>+AO63/AP63</f>
        <v>0.43107142857142855</v>
      </c>
      <c r="AR63" s="103" t="s">
        <v>317</v>
      </c>
      <c r="AS63" s="601"/>
      <c r="AT63" s="601"/>
      <c r="AU63" s="601"/>
      <c r="AV63" s="601"/>
    </row>
    <row r="64" spans="1:708" ht="36.75" customHeight="1" x14ac:dyDescent="0.25">
      <c r="A64" s="67" t="s">
        <v>43</v>
      </c>
      <c r="B64" s="67" t="s">
        <v>44</v>
      </c>
      <c r="C64" s="67" t="s">
        <v>45</v>
      </c>
      <c r="D64" s="67" t="s">
        <v>306</v>
      </c>
      <c r="E64" s="67" t="s">
        <v>71</v>
      </c>
      <c r="F64" s="67" t="s">
        <v>48</v>
      </c>
      <c r="G64" s="67" t="s">
        <v>49</v>
      </c>
      <c r="H64" s="67" t="s">
        <v>50</v>
      </c>
      <c r="I64" s="67" t="s">
        <v>51</v>
      </c>
      <c r="J64" s="67" t="s">
        <v>52</v>
      </c>
      <c r="K64" s="67" t="s">
        <v>307</v>
      </c>
      <c r="L64" s="67" t="s">
        <v>318</v>
      </c>
      <c r="M64" s="67" t="s">
        <v>319</v>
      </c>
      <c r="N64" s="67" t="s">
        <v>56</v>
      </c>
      <c r="O64" s="67"/>
      <c r="P64" s="67">
        <v>1365</v>
      </c>
      <c r="Q64" s="601"/>
      <c r="R64" s="601"/>
      <c r="S64" s="601"/>
      <c r="T64" s="601"/>
      <c r="U64" s="601"/>
      <c r="V64" s="97">
        <v>147114156</v>
      </c>
      <c r="W64" s="97">
        <v>64326892613</v>
      </c>
      <c r="X64" s="67" t="s">
        <v>59</v>
      </c>
      <c r="Y64" s="87"/>
      <c r="Z64" s="87">
        <f>+P64</f>
        <v>1365</v>
      </c>
      <c r="AA64" s="90">
        <f>+Y64/Z64</f>
        <v>0</v>
      </c>
      <c r="AB64" s="66" t="s">
        <v>320</v>
      </c>
      <c r="AC64" s="602"/>
      <c r="AD64" s="602"/>
      <c r="AE64" s="602"/>
      <c r="AF64" s="602"/>
      <c r="AG64" s="91"/>
      <c r="AH64" s="91">
        <v>1365</v>
      </c>
      <c r="AI64" s="92">
        <v>0</v>
      </c>
      <c r="AJ64" s="98" t="s">
        <v>320</v>
      </c>
      <c r="AK64" s="603"/>
      <c r="AL64" s="603"/>
      <c r="AM64" s="603"/>
      <c r="AN64" s="603"/>
      <c r="AO64" s="91">
        <v>0</v>
      </c>
      <c r="AP64" s="91">
        <f>+P64</f>
        <v>1365</v>
      </c>
      <c r="AQ64" s="92">
        <f>+AO64/AP64</f>
        <v>0</v>
      </c>
      <c r="AR64" s="98" t="s">
        <v>320</v>
      </c>
      <c r="AS64" s="602"/>
      <c r="AT64" s="602"/>
      <c r="AU64" s="602"/>
      <c r="AV64" s="602"/>
    </row>
    <row r="65" spans="1:708" ht="66.75" customHeight="1" x14ac:dyDescent="0.25">
      <c r="A65" s="74" t="s">
        <v>43</v>
      </c>
      <c r="B65" s="74" t="s">
        <v>44</v>
      </c>
      <c r="C65" s="74" t="s">
        <v>45</v>
      </c>
      <c r="D65" s="74" t="s">
        <v>306</v>
      </c>
      <c r="E65" s="74" t="s">
        <v>71</v>
      </c>
      <c r="F65" s="74" t="s">
        <v>48</v>
      </c>
      <c r="G65" s="74" t="s">
        <v>49</v>
      </c>
      <c r="H65" s="74" t="s">
        <v>50</v>
      </c>
      <c r="I65" s="74" t="s">
        <v>78</v>
      </c>
      <c r="J65" s="74" t="s">
        <v>52</v>
      </c>
      <c r="K65" s="74" t="s">
        <v>307</v>
      </c>
      <c r="L65" s="74" t="s">
        <v>321</v>
      </c>
      <c r="M65" s="74" t="s">
        <v>322</v>
      </c>
      <c r="N65" s="74" t="s">
        <v>56</v>
      </c>
      <c r="O65" s="74"/>
      <c r="P65" s="74">
        <v>1365</v>
      </c>
      <c r="Q65" s="601"/>
      <c r="R65" s="601"/>
      <c r="S65" s="601"/>
      <c r="T65" s="601"/>
      <c r="U65" s="601"/>
      <c r="V65" s="101">
        <v>123085062</v>
      </c>
      <c r="W65" s="101">
        <v>64326892613</v>
      </c>
      <c r="X65" s="74" t="s">
        <v>59</v>
      </c>
      <c r="Y65" s="74">
        <v>23</v>
      </c>
      <c r="Z65" s="74">
        <f>+P65</f>
        <v>1365</v>
      </c>
      <c r="AA65" s="76">
        <f>+Y65/Z65</f>
        <v>1.6849816849816849E-2</v>
      </c>
      <c r="AB65" s="73" t="s">
        <v>323</v>
      </c>
      <c r="AC65" s="601"/>
      <c r="AD65" s="601"/>
      <c r="AE65" s="601"/>
      <c r="AF65" s="601"/>
      <c r="AG65" s="77">
        <v>70</v>
      </c>
      <c r="AH65" s="77">
        <v>1365</v>
      </c>
      <c r="AI65" s="78">
        <v>5.128205128205128E-2</v>
      </c>
      <c r="AJ65" s="103" t="s">
        <v>324</v>
      </c>
      <c r="AK65" s="604"/>
      <c r="AL65" s="604"/>
      <c r="AM65" s="604"/>
      <c r="AN65" s="604"/>
      <c r="AO65" s="77">
        <v>109</v>
      </c>
      <c r="AP65" s="77">
        <f>+P65</f>
        <v>1365</v>
      </c>
      <c r="AQ65" s="78">
        <f>+AO65/AP65</f>
        <v>7.9853479853479847E-2</v>
      </c>
      <c r="AR65" s="103" t="s">
        <v>325</v>
      </c>
      <c r="AS65" s="601"/>
      <c r="AT65" s="601"/>
      <c r="AU65" s="601"/>
      <c r="AV65" s="601"/>
    </row>
    <row r="66" spans="1:708" s="22" customFormat="1" ht="70.5" customHeight="1" x14ac:dyDescent="0.25">
      <c r="A66" s="55"/>
      <c r="B66" s="55"/>
      <c r="C66" s="55"/>
      <c r="D66" s="55"/>
      <c r="E66" s="55"/>
      <c r="F66" s="55"/>
      <c r="G66" s="55"/>
      <c r="H66" s="55"/>
      <c r="I66" s="55"/>
      <c r="J66" s="55"/>
      <c r="K66" s="55"/>
      <c r="L66" s="55"/>
      <c r="M66" s="55"/>
      <c r="N66" s="55"/>
      <c r="O66" s="55"/>
      <c r="P66" s="56"/>
      <c r="Q66" s="55"/>
      <c r="R66" s="55"/>
      <c r="S66" s="56"/>
      <c r="T66" s="55"/>
      <c r="U66" s="55"/>
      <c r="V66" s="95"/>
      <c r="W66" s="95"/>
      <c r="X66" s="55"/>
      <c r="Y66" s="388" t="s">
        <v>99</v>
      </c>
      <c r="Z66" s="388"/>
      <c r="AA66" s="58">
        <f>AVERAGE(AA62,AA63,AA65)</f>
        <v>7.2127594627594618E-2</v>
      </c>
      <c r="AB66" s="59"/>
      <c r="AC66" s="388" t="s">
        <v>100</v>
      </c>
      <c r="AD66" s="388"/>
      <c r="AE66" s="60" t="s">
        <v>283</v>
      </c>
      <c r="AF66" s="61"/>
      <c r="AG66" s="564" t="s">
        <v>99</v>
      </c>
      <c r="AH66" s="564"/>
      <c r="AI66" s="62">
        <v>0.16174603174603172</v>
      </c>
      <c r="AJ66" s="63"/>
      <c r="AK66" s="564" t="s">
        <v>100</v>
      </c>
      <c r="AL66" s="564"/>
      <c r="AM66" s="64" t="s">
        <v>283</v>
      </c>
      <c r="AN66" s="65"/>
      <c r="AO66" s="388" t="s">
        <v>99</v>
      </c>
      <c r="AP66" s="388"/>
      <c r="AQ66" s="58">
        <f>AVERAGE(AQ62,AQ63,AQ65)</f>
        <v>0.24082112332112335</v>
      </c>
      <c r="AR66" s="59"/>
      <c r="AS66" s="388" t="s">
        <v>100</v>
      </c>
      <c r="AT66" s="388"/>
      <c r="AU66" s="60" t="s">
        <v>283</v>
      </c>
      <c r="AV66" s="6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c r="ES66" s="21"/>
      <c r="ET66" s="21"/>
      <c r="EU66" s="21"/>
      <c r="EV66" s="21"/>
      <c r="EW66" s="21"/>
      <c r="EX66" s="21"/>
      <c r="EY66" s="21"/>
      <c r="EZ66" s="21"/>
      <c r="FA66" s="21"/>
      <c r="FB66" s="21"/>
      <c r="FC66" s="21"/>
      <c r="FD66" s="21"/>
      <c r="FE66" s="21"/>
      <c r="FF66" s="21"/>
      <c r="FG66" s="21"/>
      <c r="FH66" s="21"/>
      <c r="FI66" s="21"/>
      <c r="FJ66" s="21"/>
      <c r="FK66" s="21"/>
      <c r="FL66" s="21"/>
      <c r="FM66" s="21"/>
      <c r="FN66" s="21"/>
      <c r="FO66" s="21"/>
      <c r="FP66" s="21"/>
      <c r="FQ66" s="21"/>
      <c r="FR66" s="21"/>
      <c r="FS66" s="21"/>
      <c r="FT66" s="21"/>
      <c r="FU66" s="21"/>
      <c r="FV66" s="21"/>
      <c r="FW66" s="21"/>
      <c r="FX66" s="21"/>
      <c r="FY66" s="21"/>
      <c r="FZ66" s="21"/>
      <c r="GA66" s="21"/>
      <c r="GB66" s="21"/>
      <c r="GC66" s="21"/>
      <c r="GD66" s="21"/>
      <c r="GE66" s="21"/>
      <c r="GF66" s="21"/>
      <c r="GG66" s="21"/>
      <c r="GH66" s="21"/>
      <c r="GI66" s="21"/>
      <c r="GJ66" s="21"/>
      <c r="GK66" s="21"/>
      <c r="GL66" s="21"/>
      <c r="GM66" s="21"/>
      <c r="GN66" s="21"/>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c r="IW66" s="21"/>
      <c r="IX66" s="21"/>
      <c r="IY66" s="21"/>
      <c r="IZ66" s="21"/>
      <c r="JA66" s="21"/>
      <c r="JB66" s="21"/>
      <c r="JC66" s="21"/>
      <c r="JD66" s="21"/>
      <c r="JE66" s="21"/>
      <c r="JF66" s="21"/>
      <c r="JG66" s="21"/>
      <c r="JH66" s="21"/>
      <c r="JI66" s="21"/>
      <c r="JJ66" s="21"/>
      <c r="JK66" s="21"/>
      <c r="JL66" s="21"/>
      <c r="JM66" s="21"/>
      <c r="JN66" s="21"/>
      <c r="JO66" s="21"/>
      <c r="JP66" s="21"/>
      <c r="JQ66" s="21"/>
      <c r="JR66" s="21"/>
      <c r="JS66" s="21"/>
      <c r="JT66" s="21"/>
      <c r="JU66" s="21"/>
      <c r="JV66" s="21"/>
      <c r="JW66" s="21"/>
      <c r="JX66" s="21"/>
      <c r="JY66" s="21"/>
      <c r="JZ66" s="21"/>
      <c r="KA66" s="21"/>
      <c r="KB66" s="21"/>
      <c r="KC66" s="21"/>
      <c r="KD66" s="21"/>
      <c r="KE66" s="21"/>
      <c r="KF66" s="21"/>
      <c r="KG66" s="21"/>
      <c r="KH66" s="21"/>
      <c r="KI66" s="21"/>
      <c r="KJ66" s="21"/>
      <c r="KK66" s="21"/>
      <c r="KL66" s="21"/>
      <c r="KM66" s="21"/>
      <c r="KN66" s="21"/>
      <c r="KO66" s="21"/>
      <c r="KP66" s="21"/>
      <c r="KQ66" s="21"/>
      <c r="KR66" s="21"/>
      <c r="KS66" s="21"/>
      <c r="KT66" s="21"/>
      <c r="KU66" s="21"/>
      <c r="KV66" s="21"/>
      <c r="KW66" s="21"/>
      <c r="KX66" s="21"/>
      <c r="KY66" s="21"/>
      <c r="KZ66" s="21"/>
      <c r="LA66" s="21"/>
      <c r="LB66" s="21"/>
      <c r="LC66" s="21"/>
      <c r="LD66" s="21"/>
      <c r="LE66" s="21"/>
      <c r="LF66" s="21"/>
      <c r="LG66" s="21"/>
      <c r="LH66" s="21"/>
      <c r="LI66" s="21"/>
      <c r="LJ66" s="21"/>
      <c r="LK66" s="21"/>
      <c r="LL66" s="21"/>
      <c r="LM66" s="21"/>
      <c r="LN66" s="21"/>
      <c r="LO66" s="21"/>
      <c r="LP66" s="21"/>
      <c r="LQ66" s="21"/>
      <c r="LR66" s="21"/>
      <c r="LS66" s="21"/>
      <c r="LT66" s="21"/>
      <c r="LU66" s="21"/>
      <c r="LV66" s="21"/>
      <c r="LW66" s="21"/>
      <c r="LX66" s="21"/>
      <c r="LY66" s="21"/>
      <c r="LZ66" s="21"/>
      <c r="MA66" s="21"/>
      <c r="MB66" s="21"/>
      <c r="MC66" s="21"/>
      <c r="MD66" s="21"/>
      <c r="ME66" s="21"/>
      <c r="MF66" s="21"/>
      <c r="MG66" s="21"/>
      <c r="MH66" s="21"/>
      <c r="MI66" s="21"/>
      <c r="MJ66" s="21"/>
      <c r="MK66" s="21"/>
      <c r="ML66" s="21"/>
      <c r="MM66" s="21"/>
      <c r="MN66" s="21"/>
      <c r="MO66" s="21"/>
      <c r="MP66" s="21"/>
      <c r="MQ66" s="21"/>
      <c r="MR66" s="21"/>
      <c r="MS66" s="21"/>
      <c r="MT66" s="21"/>
      <c r="MU66" s="21"/>
      <c r="MV66" s="21"/>
      <c r="MW66" s="21"/>
      <c r="MX66" s="21"/>
      <c r="MY66" s="21"/>
      <c r="MZ66" s="21"/>
      <c r="NA66" s="21"/>
      <c r="NB66" s="21"/>
      <c r="NC66" s="21"/>
      <c r="ND66" s="21"/>
      <c r="NE66" s="21"/>
      <c r="NF66" s="21"/>
      <c r="NG66" s="21"/>
      <c r="NH66" s="21"/>
      <c r="NI66" s="21"/>
      <c r="NJ66" s="21"/>
      <c r="NK66" s="21"/>
      <c r="NL66" s="21"/>
      <c r="NM66" s="21"/>
      <c r="NN66" s="21"/>
      <c r="NO66" s="21"/>
      <c r="NP66" s="21"/>
      <c r="NQ66" s="21"/>
      <c r="NR66" s="21"/>
      <c r="NS66" s="21"/>
      <c r="NT66" s="21"/>
      <c r="NU66" s="21"/>
      <c r="NV66" s="21"/>
      <c r="NW66" s="21"/>
      <c r="NX66" s="21"/>
      <c r="NY66" s="21"/>
      <c r="NZ66" s="21"/>
      <c r="OA66" s="21"/>
      <c r="OB66" s="21"/>
      <c r="OC66" s="21"/>
      <c r="OD66" s="21"/>
      <c r="OE66" s="21"/>
      <c r="OF66" s="21"/>
      <c r="OG66" s="21"/>
      <c r="OH66" s="21"/>
      <c r="OI66" s="21"/>
      <c r="OJ66" s="21"/>
      <c r="OK66" s="21"/>
      <c r="OL66" s="21"/>
      <c r="OM66" s="21"/>
      <c r="ON66" s="21"/>
      <c r="OO66" s="21"/>
      <c r="OP66" s="21"/>
      <c r="OQ66" s="21"/>
      <c r="OR66" s="21"/>
      <c r="OS66" s="21"/>
      <c r="OT66" s="21"/>
      <c r="OU66" s="21"/>
      <c r="OV66" s="21"/>
      <c r="OW66" s="21"/>
      <c r="OX66" s="21"/>
      <c r="OY66" s="21"/>
      <c r="OZ66" s="21"/>
      <c r="PA66" s="21"/>
      <c r="PB66" s="21"/>
      <c r="PC66" s="21"/>
      <c r="PD66" s="21"/>
      <c r="PE66" s="21"/>
      <c r="PF66" s="21"/>
      <c r="PG66" s="21"/>
      <c r="PH66" s="21"/>
      <c r="PI66" s="21"/>
      <c r="PJ66" s="21"/>
      <c r="PK66" s="21"/>
      <c r="PL66" s="21"/>
      <c r="PM66" s="21"/>
      <c r="PN66" s="21"/>
      <c r="PO66" s="21"/>
      <c r="PP66" s="21"/>
      <c r="PQ66" s="21"/>
      <c r="PR66" s="21"/>
      <c r="PS66" s="21"/>
      <c r="PT66" s="21"/>
      <c r="PU66" s="21"/>
      <c r="PV66" s="21"/>
      <c r="PW66" s="21"/>
      <c r="PX66" s="21"/>
      <c r="PY66" s="21"/>
      <c r="PZ66" s="21"/>
      <c r="QA66" s="21"/>
      <c r="QB66" s="21"/>
      <c r="QC66" s="21"/>
      <c r="QD66" s="21"/>
      <c r="QE66" s="21"/>
      <c r="QF66" s="21"/>
      <c r="QG66" s="21"/>
      <c r="QH66" s="21"/>
      <c r="QI66" s="21"/>
      <c r="QJ66" s="21"/>
      <c r="QK66" s="21"/>
      <c r="QL66" s="21"/>
      <c r="QM66" s="21"/>
      <c r="QN66" s="21"/>
      <c r="QO66" s="21"/>
      <c r="QP66" s="21"/>
      <c r="QQ66" s="21"/>
      <c r="QR66" s="21"/>
      <c r="QS66" s="21"/>
      <c r="QT66" s="21"/>
      <c r="QU66" s="21"/>
      <c r="QV66" s="21"/>
      <c r="QW66" s="21"/>
      <c r="QX66" s="21"/>
      <c r="QY66" s="21"/>
      <c r="QZ66" s="21"/>
      <c r="RA66" s="21"/>
      <c r="RB66" s="21"/>
      <c r="RC66" s="21"/>
      <c r="RD66" s="21"/>
      <c r="RE66" s="21"/>
      <c r="RF66" s="21"/>
      <c r="RG66" s="21"/>
      <c r="RH66" s="21"/>
      <c r="RI66" s="21"/>
      <c r="RJ66" s="21"/>
      <c r="RK66" s="21"/>
      <c r="RL66" s="21"/>
      <c r="RM66" s="21"/>
      <c r="RN66" s="21"/>
      <c r="RO66" s="21"/>
      <c r="RP66" s="21"/>
      <c r="RQ66" s="21"/>
      <c r="RR66" s="21"/>
      <c r="RS66" s="21"/>
      <c r="RT66" s="21"/>
      <c r="RU66" s="21"/>
      <c r="RV66" s="21"/>
      <c r="RW66" s="21"/>
      <c r="RX66" s="21"/>
      <c r="RY66" s="21"/>
      <c r="RZ66" s="21"/>
      <c r="SA66" s="21"/>
      <c r="SB66" s="21"/>
      <c r="SC66" s="21"/>
      <c r="SD66" s="21"/>
      <c r="SE66" s="21"/>
      <c r="SF66" s="21"/>
      <c r="SG66" s="21"/>
      <c r="SH66" s="21"/>
      <c r="SI66" s="21"/>
      <c r="SJ66" s="21"/>
      <c r="SK66" s="21"/>
      <c r="SL66" s="21"/>
      <c r="SM66" s="21"/>
      <c r="SN66" s="21"/>
      <c r="SO66" s="21"/>
      <c r="SP66" s="21"/>
      <c r="SQ66" s="21"/>
      <c r="SR66" s="21"/>
      <c r="SS66" s="21"/>
      <c r="ST66" s="21"/>
      <c r="SU66" s="21"/>
      <c r="SV66" s="21"/>
      <c r="SW66" s="21"/>
      <c r="SX66" s="21"/>
      <c r="SY66" s="21"/>
      <c r="SZ66" s="21"/>
      <c r="TA66" s="21"/>
      <c r="TB66" s="21"/>
      <c r="TC66" s="21"/>
      <c r="TD66" s="21"/>
      <c r="TE66" s="21"/>
      <c r="TF66" s="21"/>
      <c r="TG66" s="21"/>
      <c r="TH66" s="21"/>
      <c r="TI66" s="21"/>
      <c r="TJ66" s="21"/>
      <c r="TK66" s="21"/>
      <c r="TL66" s="21"/>
      <c r="TM66" s="21"/>
      <c r="TN66" s="21"/>
      <c r="TO66" s="21"/>
      <c r="TP66" s="21"/>
      <c r="TQ66" s="21"/>
      <c r="TR66" s="21"/>
      <c r="TS66" s="21"/>
      <c r="TT66" s="21"/>
      <c r="TU66" s="21"/>
      <c r="TV66" s="21"/>
      <c r="TW66" s="21"/>
      <c r="TX66" s="21"/>
      <c r="TY66" s="21"/>
      <c r="TZ66" s="21"/>
      <c r="UA66" s="21"/>
      <c r="UB66" s="21"/>
      <c r="UC66" s="21"/>
      <c r="UD66" s="21"/>
      <c r="UE66" s="21"/>
      <c r="UF66" s="21"/>
      <c r="UG66" s="21"/>
      <c r="UH66" s="21"/>
      <c r="UI66" s="21"/>
      <c r="UJ66" s="21"/>
      <c r="UK66" s="21"/>
      <c r="UL66" s="21"/>
      <c r="UM66" s="21"/>
      <c r="UN66" s="21"/>
      <c r="UO66" s="21"/>
      <c r="UP66" s="21"/>
      <c r="UQ66" s="21"/>
      <c r="UR66" s="21"/>
      <c r="US66" s="21"/>
      <c r="UT66" s="21"/>
      <c r="UU66" s="21"/>
      <c r="UV66" s="21"/>
      <c r="UW66" s="21"/>
      <c r="UX66" s="21"/>
      <c r="UY66" s="21"/>
      <c r="UZ66" s="21"/>
      <c r="VA66" s="21"/>
      <c r="VB66" s="21"/>
      <c r="VC66" s="21"/>
      <c r="VD66" s="21"/>
      <c r="VE66" s="21"/>
      <c r="VF66" s="21"/>
      <c r="VG66" s="21"/>
      <c r="VH66" s="21"/>
      <c r="VI66" s="21"/>
      <c r="VJ66" s="21"/>
      <c r="VK66" s="21"/>
      <c r="VL66" s="21"/>
      <c r="VM66" s="21"/>
      <c r="VN66" s="21"/>
      <c r="VO66" s="21"/>
      <c r="VP66" s="21"/>
      <c r="VQ66" s="21"/>
      <c r="VR66" s="21"/>
      <c r="VS66" s="21"/>
      <c r="VT66" s="21"/>
      <c r="VU66" s="21"/>
      <c r="VV66" s="21"/>
      <c r="VW66" s="21"/>
      <c r="VX66" s="21"/>
      <c r="VY66" s="21"/>
      <c r="VZ66" s="21"/>
      <c r="WA66" s="21"/>
      <c r="WB66" s="21"/>
      <c r="WC66" s="21"/>
      <c r="WD66" s="21"/>
      <c r="WE66" s="21"/>
      <c r="WF66" s="21"/>
      <c r="WG66" s="21"/>
      <c r="WH66" s="21"/>
      <c r="WI66" s="21"/>
      <c r="WJ66" s="21"/>
      <c r="WK66" s="21"/>
      <c r="WL66" s="21"/>
      <c r="WM66" s="21"/>
      <c r="WN66" s="21"/>
      <c r="WO66" s="21"/>
      <c r="WP66" s="21"/>
      <c r="WQ66" s="21"/>
      <c r="WR66" s="21"/>
      <c r="WS66" s="21"/>
      <c r="WT66" s="21"/>
      <c r="WU66" s="21"/>
      <c r="WV66" s="21"/>
      <c r="WW66" s="21"/>
      <c r="WX66" s="21"/>
      <c r="WY66" s="21"/>
      <c r="WZ66" s="21"/>
      <c r="XA66" s="21"/>
      <c r="XB66" s="21"/>
      <c r="XC66" s="21"/>
      <c r="XD66" s="21"/>
      <c r="XE66" s="21"/>
      <c r="XF66" s="21"/>
      <c r="XG66" s="21"/>
      <c r="XH66" s="21"/>
      <c r="XI66" s="21"/>
      <c r="XJ66" s="21"/>
      <c r="XK66" s="21"/>
      <c r="XL66" s="21"/>
      <c r="XM66" s="21"/>
      <c r="XN66" s="21"/>
      <c r="XO66" s="21"/>
      <c r="XP66" s="21"/>
      <c r="XQ66" s="21"/>
      <c r="XR66" s="21"/>
      <c r="XS66" s="21"/>
      <c r="XT66" s="21"/>
      <c r="XU66" s="21"/>
      <c r="XV66" s="21"/>
      <c r="XW66" s="21"/>
      <c r="XX66" s="21"/>
      <c r="XY66" s="21"/>
      <c r="XZ66" s="21"/>
      <c r="YA66" s="21"/>
      <c r="YB66" s="21"/>
      <c r="YC66" s="21"/>
      <c r="YD66" s="21"/>
      <c r="YE66" s="21"/>
      <c r="YF66" s="21"/>
      <c r="YG66" s="21"/>
      <c r="YH66" s="21"/>
      <c r="YI66" s="21"/>
      <c r="YJ66" s="21"/>
      <c r="YK66" s="21"/>
      <c r="YL66" s="21"/>
      <c r="YM66" s="21"/>
      <c r="YN66" s="21"/>
      <c r="YO66" s="21"/>
      <c r="YP66" s="21"/>
      <c r="YQ66" s="21"/>
      <c r="YR66" s="21"/>
      <c r="YS66" s="21"/>
      <c r="YT66" s="21"/>
      <c r="YU66" s="21"/>
      <c r="YV66" s="21"/>
      <c r="YW66" s="21"/>
      <c r="YX66" s="21"/>
      <c r="YY66" s="21"/>
      <c r="YZ66" s="21"/>
      <c r="ZA66" s="21"/>
      <c r="ZB66" s="21"/>
      <c r="ZC66" s="21"/>
      <c r="ZD66" s="21"/>
      <c r="ZE66" s="21"/>
      <c r="ZF66" s="21"/>
      <c r="ZG66" s="21"/>
      <c r="ZH66" s="21"/>
      <c r="ZI66" s="21"/>
      <c r="ZJ66" s="21"/>
      <c r="ZK66" s="21"/>
      <c r="ZL66" s="21"/>
      <c r="ZM66" s="21"/>
      <c r="ZN66" s="21"/>
      <c r="ZO66" s="21"/>
      <c r="ZP66" s="21"/>
      <c r="ZQ66" s="21"/>
      <c r="ZR66" s="21"/>
      <c r="ZS66" s="21"/>
      <c r="ZT66" s="21"/>
      <c r="ZU66" s="21"/>
      <c r="ZV66" s="21"/>
      <c r="ZW66" s="21"/>
      <c r="ZX66" s="21"/>
      <c r="ZY66" s="21"/>
      <c r="ZZ66" s="21"/>
      <c r="AAA66" s="21"/>
      <c r="AAB66" s="21"/>
      <c r="AAC66" s="21"/>
      <c r="AAD66" s="21"/>
      <c r="AAE66" s="21"/>
      <c r="AAF66" s="21"/>
    </row>
    <row r="67" spans="1:708" ht="72.75" customHeight="1" x14ac:dyDescent="0.25">
      <c r="A67" s="99" t="s">
        <v>43</v>
      </c>
      <c r="B67" s="99" t="s">
        <v>44</v>
      </c>
      <c r="C67" s="99" t="s">
        <v>45</v>
      </c>
      <c r="D67" s="99" t="s">
        <v>46</v>
      </c>
      <c r="E67" s="99" t="s">
        <v>47</v>
      </c>
      <c r="F67" s="99" t="s">
        <v>326</v>
      </c>
      <c r="G67" s="99" t="s">
        <v>49</v>
      </c>
      <c r="H67" s="99" t="s">
        <v>50</v>
      </c>
      <c r="I67" s="100" t="s">
        <v>51</v>
      </c>
      <c r="J67" s="120" t="s">
        <v>52</v>
      </c>
      <c r="K67" s="120" t="s">
        <v>327</v>
      </c>
      <c r="L67" s="120" t="s">
        <v>328</v>
      </c>
      <c r="M67" s="120" t="s">
        <v>329</v>
      </c>
      <c r="N67" s="120" t="s">
        <v>74</v>
      </c>
      <c r="O67" s="120"/>
      <c r="P67" s="121">
        <v>0.65</v>
      </c>
      <c r="Q67" s="495"/>
      <c r="R67" s="496"/>
      <c r="S67" s="496"/>
      <c r="T67" s="496"/>
      <c r="U67" s="497"/>
      <c r="V67" s="101">
        <v>1089864536</v>
      </c>
      <c r="W67" s="101">
        <v>64326892613</v>
      </c>
      <c r="X67" s="74" t="s">
        <v>330</v>
      </c>
      <c r="Y67" s="76">
        <f>(50/53)</f>
        <v>0.94339622641509435</v>
      </c>
      <c r="Z67" s="85">
        <f t="shared" ref="Z67:Z72" si="14">+P67</f>
        <v>0.65</v>
      </c>
      <c r="AA67" s="76">
        <f t="shared" ref="AA67:AA72" si="15">+Y67/Z67</f>
        <v>1.4513788098693758</v>
      </c>
      <c r="AB67" s="74" t="s">
        <v>331</v>
      </c>
      <c r="AC67" s="601"/>
      <c r="AD67" s="601"/>
      <c r="AE67" s="601"/>
      <c r="AF67" s="601"/>
      <c r="AG67" s="78">
        <v>0.97029702970297027</v>
      </c>
      <c r="AH67" s="86">
        <v>0.65</v>
      </c>
      <c r="AI67" s="78">
        <v>1.4927646610814926</v>
      </c>
      <c r="AJ67" s="77" t="s">
        <v>332</v>
      </c>
      <c r="AK67" s="604"/>
      <c r="AL67" s="604"/>
      <c r="AM67" s="604"/>
      <c r="AN67" s="604"/>
      <c r="AO67" s="122">
        <v>0.95</v>
      </c>
      <c r="AP67" s="121">
        <f t="shared" ref="AP67:AP72" si="16">+P67</f>
        <v>0.65</v>
      </c>
      <c r="AQ67" s="123">
        <f t="shared" ref="AQ67:AQ72" si="17">+AO67/AP67</f>
        <v>1.4615384615384615</v>
      </c>
      <c r="AR67" s="124" t="s">
        <v>333</v>
      </c>
      <c r="AS67" s="601"/>
      <c r="AT67" s="601"/>
      <c r="AU67" s="601"/>
      <c r="AV67" s="601"/>
    </row>
    <row r="68" spans="1:708" ht="56.25" customHeight="1" x14ac:dyDescent="0.25">
      <c r="A68" s="96" t="s">
        <v>43</v>
      </c>
      <c r="B68" s="96" t="s">
        <v>44</v>
      </c>
      <c r="C68" s="96" t="s">
        <v>45</v>
      </c>
      <c r="D68" s="96" t="s">
        <v>46</v>
      </c>
      <c r="E68" s="96" t="s">
        <v>71</v>
      </c>
      <c r="F68" s="96" t="s">
        <v>48</v>
      </c>
      <c r="G68" s="96" t="s">
        <v>49</v>
      </c>
      <c r="H68" s="96" t="s">
        <v>50</v>
      </c>
      <c r="I68" s="96" t="s">
        <v>51</v>
      </c>
      <c r="J68" s="120" t="s">
        <v>52</v>
      </c>
      <c r="K68" s="120" t="s">
        <v>327</v>
      </c>
      <c r="L68" s="120" t="s">
        <v>334</v>
      </c>
      <c r="M68" s="120" t="s">
        <v>335</v>
      </c>
      <c r="N68" s="120" t="s">
        <v>74</v>
      </c>
      <c r="O68" s="120"/>
      <c r="P68" s="121">
        <v>0.65</v>
      </c>
      <c r="Q68" s="495"/>
      <c r="R68" s="496"/>
      <c r="S68" s="496"/>
      <c r="T68" s="496"/>
      <c r="U68" s="497"/>
      <c r="V68" s="97">
        <v>420290007</v>
      </c>
      <c r="W68" s="97">
        <v>64326892613</v>
      </c>
      <c r="X68" s="67" t="s">
        <v>330</v>
      </c>
      <c r="Y68" s="90">
        <f>(115/182)</f>
        <v>0.63186813186813184</v>
      </c>
      <c r="Z68" s="125">
        <f t="shared" si="14"/>
        <v>0.65</v>
      </c>
      <c r="AA68" s="90">
        <f t="shared" si="15"/>
        <v>0.97210481825866435</v>
      </c>
      <c r="AB68" s="67" t="s">
        <v>336</v>
      </c>
      <c r="AC68" s="602"/>
      <c r="AD68" s="602"/>
      <c r="AE68" s="602"/>
      <c r="AF68" s="602"/>
      <c r="AG68" s="92">
        <v>0.66343825665859568</v>
      </c>
      <c r="AH68" s="126">
        <v>0.65</v>
      </c>
      <c r="AI68" s="92">
        <v>1.0206742410132241</v>
      </c>
      <c r="AJ68" s="69" t="s">
        <v>337</v>
      </c>
      <c r="AK68" s="603"/>
      <c r="AL68" s="603"/>
      <c r="AM68" s="603"/>
      <c r="AN68" s="603"/>
      <c r="AO68" s="127">
        <v>0.73</v>
      </c>
      <c r="AP68" s="128">
        <f t="shared" si="16"/>
        <v>0.65</v>
      </c>
      <c r="AQ68" s="129">
        <f t="shared" si="17"/>
        <v>1.1230769230769231</v>
      </c>
      <c r="AR68" s="124" t="s">
        <v>338</v>
      </c>
      <c r="AS68" s="602"/>
      <c r="AT68" s="602"/>
      <c r="AU68" s="602"/>
      <c r="AV68" s="602"/>
    </row>
    <row r="69" spans="1:708" ht="78" customHeight="1" x14ac:dyDescent="0.25">
      <c r="A69" s="99" t="s">
        <v>43</v>
      </c>
      <c r="B69" s="99" t="s">
        <v>44</v>
      </c>
      <c r="C69" s="99" t="s">
        <v>45</v>
      </c>
      <c r="D69" s="99" t="s">
        <v>46</v>
      </c>
      <c r="E69" s="99" t="s">
        <v>71</v>
      </c>
      <c r="F69" s="99" t="s">
        <v>48</v>
      </c>
      <c r="G69" s="99" t="s">
        <v>49</v>
      </c>
      <c r="H69" s="99" t="s">
        <v>50</v>
      </c>
      <c r="I69" s="100" t="s">
        <v>51</v>
      </c>
      <c r="J69" s="120" t="s">
        <v>52</v>
      </c>
      <c r="K69" s="120" t="s">
        <v>327</v>
      </c>
      <c r="L69" s="120" t="s">
        <v>339</v>
      </c>
      <c r="M69" s="120" t="s">
        <v>340</v>
      </c>
      <c r="N69" s="120" t="s">
        <v>74</v>
      </c>
      <c r="O69" s="120"/>
      <c r="P69" s="121">
        <v>0.5</v>
      </c>
      <c r="Q69" s="495"/>
      <c r="R69" s="496"/>
      <c r="S69" s="496"/>
      <c r="T69" s="496"/>
      <c r="U69" s="497"/>
      <c r="V69" s="101">
        <v>324570004</v>
      </c>
      <c r="W69" s="101">
        <v>64326892613</v>
      </c>
      <c r="X69" s="74" t="s">
        <v>330</v>
      </c>
      <c r="Y69" s="76">
        <v>0.2727</v>
      </c>
      <c r="Z69" s="85">
        <f t="shared" si="14"/>
        <v>0.5</v>
      </c>
      <c r="AA69" s="76">
        <f t="shared" si="15"/>
        <v>0.5454</v>
      </c>
      <c r="AB69" s="74" t="s">
        <v>341</v>
      </c>
      <c r="AC69" s="601"/>
      <c r="AD69" s="601"/>
      <c r="AE69" s="601"/>
      <c r="AF69" s="601"/>
      <c r="AG69" s="78">
        <v>0.41176470588235292</v>
      </c>
      <c r="AH69" s="86">
        <v>0.5</v>
      </c>
      <c r="AI69" s="78">
        <v>0.82352941176470584</v>
      </c>
      <c r="AJ69" s="77" t="s">
        <v>342</v>
      </c>
      <c r="AK69" s="604"/>
      <c r="AL69" s="604"/>
      <c r="AM69" s="604"/>
      <c r="AN69" s="604"/>
      <c r="AO69" s="122">
        <v>0.54</v>
      </c>
      <c r="AP69" s="121">
        <f t="shared" si="16"/>
        <v>0.5</v>
      </c>
      <c r="AQ69" s="123">
        <f t="shared" si="17"/>
        <v>1.08</v>
      </c>
      <c r="AR69" s="124" t="s">
        <v>343</v>
      </c>
      <c r="AS69" s="601"/>
      <c r="AT69" s="601"/>
      <c r="AU69" s="601"/>
      <c r="AV69" s="601"/>
    </row>
    <row r="70" spans="1:708" ht="90.75" customHeight="1" x14ac:dyDescent="0.25">
      <c r="A70" s="96" t="s">
        <v>43</v>
      </c>
      <c r="B70" s="96" t="s">
        <v>44</v>
      </c>
      <c r="C70" s="96" t="s">
        <v>45</v>
      </c>
      <c r="D70" s="96" t="s">
        <v>46</v>
      </c>
      <c r="E70" s="96" t="s">
        <v>71</v>
      </c>
      <c r="F70" s="96" t="s">
        <v>48</v>
      </c>
      <c r="G70" s="96" t="s">
        <v>49</v>
      </c>
      <c r="H70" s="96" t="s">
        <v>50</v>
      </c>
      <c r="I70" s="96" t="s">
        <v>51</v>
      </c>
      <c r="J70" s="120" t="s">
        <v>52</v>
      </c>
      <c r="K70" s="120" t="s">
        <v>327</v>
      </c>
      <c r="L70" s="120" t="s">
        <v>344</v>
      </c>
      <c r="M70" s="120" t="s">
        <v>345</v>
      </c>
      <c r="N70" s="120" t="s">
        <v>74</v>
      </c>
      <c r="O70" s="120"/>
      <c r="P70" s="121">
        <v>0.65</v>
      </c>
      <c r="Q70" s="495"/>
      <c r="R70" s="496"/>
      <c r="S70" s="496"/>
      <c r="T70" s="496"/>
      <c r="U70" s="497"/>
      <c r="V70" s="97">
        <v>121949226</v>
      </c>
      <c r="W70" s="97">
        <v>64326892613</v>
      </c>
      <c r="X70" s="67" t="s">
        <v>330</v>
      </c>
      <c r="Y70" s="90">
        <v>0.68179999999999996</v>
      </c>
      <c r="Z70" s="125">
        <f t="shared" si="14"/>
        <v>0.65</v>
      </c>
      <c r="AA70" s="90">
        <f t="shared" si="15"/>
        <v>1.0489230769230768</v>
      </c>
      <c r="AB70" s="67" t="s">
        <v>346</v>
      </c>
      <c r="AC70" s="602"/>
      <c r="AD70" s="602"/>
      <c r="AE70" s="602"/>
      <c r="AF70" s="602"/>
      <c r="AG70" s="92">
        <v>0.75</v>
      </c>
      <c r="AH70" s="126">
        <v>0.65</v>
      </c>
      <c r="AI70" s="92">
        <v>1.1538461538461537</v>
      </c>
      <c r="AJ70" s="69" t="s">
        <v>347</v>
      </c>
      <c r="AK70" s="603"/>
      <c r="AL70" s="603"/>
      <c r="AM70" s="603"/>
      <c r="AN70" s="603"/>
      <c r="AO70" s="127">
        <v>0.82</v>
      </c>
      <c r="AP70" s="128">
        <f t="shared" si="16"/>
        <v>0.65</v>
      </c>
      <c r="AQ70" s="129">
        <f t="shared" si="17"/>
        <v>1.2615384615384615</v>
      </c>
      <c r="AR70" s="124" t="s">
        <v>348</v>
      </c>
      <c r="AS70" s="602"/>
      <c r="AT70" s="602"/>
      <c r="AU70" s="602"/>
      <c r="AV70" s="602"/>
    </row>
    <row r="71" spans="1:708" ht="72" customHeight="1" x14ac:dyDescent="0.25">
      <c r="A71" s="99" t="s">
        <v>43</v>
      </c>
      <c r="B71" s="99" t="s">
        <v>44</v>
      </c>
      <c r="C71" s="99" t="s">
        <v>45</v>
      </c>
      <c r="D71" s="99" t="s">
        <v>349</v>
      </c>
      <c r="E71" s="99" t="s">
        <v>47</v>
      </c>
      <c r="F71" s="99" t="s">
        <v>350</v>
      </c>
      <c r="G71" s="99" t="s">
        <v>49</v>
      </c>
      <c r="H71" s="99" t="s">
        <v>50</v>
      </c>
      <c r="I71" s="100" t="s">
        <v>51</v>
      </c>
      <c r="J71" s="120" t="s">
        <v>52</v>
      </c>
      <c r="K71" s="120" t="s">
        <v>327</v>
      </c>
      <c r="L71" s="120" t="s">
        <v>351</v>
      </c>
      <c r="M71" s="120" t="s">
        <v>352</v>
      </c>
      <c r="N71" s="120" t="s">
        <v>74</v>
      </c>
      <c r="O71" s="120"/>
      <c r="P71" s="121">
        <v>0.8</v>
      </c>
      <c r="Q71" s="495"/>
      <c r="R71" s="496"/>
      <c r="S71" s="496"/>
      <c r="T71" s="496"/>
      <c r="U71" s="497"/>
      <c r="V71" s="101">
        <v>680089988</v>
      </c>
      <c r="W71" s="101">
        <v>64326892613</v>
      </c>
      <c r="X71" s="74" t="s">
        <v>330</v>
      </c>
      <c r="Y71" s="130">
        <f>(42/43)</f>
        <v>0.97674418604651159</v>
      </c>
      <c r="Z71" s="85">
        <f t="shared" si="14"/>
        <v>0.8</v>
      </c>
      <c r="AA71" s="76">
        <f t="shared" si="15"/>
        <v>1.2209302325581395</v>
      </c>
      <c r="AB71" s="74" t="s">
        <v>353</v>
      </c>
      <c r="AC71" s="601"/>
      <c r="AD71" s="601"/>
      <c r="AE71" s="601"/>
      <c r="AF71" s="601"/>
      <c r="AG71" s="131">
        <v>1</v>
      </c>
      <c r="AH71" s="86">
        <v>0.8</v>
      </c>
      <c r="AI71" s="78">
        <v>1.25</v>
      </c>
      <c r="AJ71" s="77" t="s">
        <v>354</v>
      </c>
      <c r="AK71" s="604"/>
      <c r="AL71" s="604"/>
      <c r="AM71" s="604"/>
      <c r="AN71" s="604"/>
      <c r="AO71" s="132">
        <v>0.99</v>
      </c>
      <c r="AP71" s="121">
        <f t="shared" si="16"/>
        <v>0.8</v>
      </c>
      <c r="AQ71" s="123">
        <f>+AO71/AP71</f>
        <v>1.2374999999999998</v>
      </c>
      <c r="AR71" s="124" t="s">
        <v>355</v>
      </c>
      <c r="AS71" s="601"/>
      <c r="AT71" s="601"/>
      <c r="AU71" s="601"/>
      <c r="AV71" s="601"/>
    </row>
    <row r="72" spans="1:708" ht="72" customHeight="1" x14ac:dyDescent="0.25">
      <c r="A72" s="96" t="s">
        <v>43</v>
      </c>
      <c r="B72" s="96" t="s">
        <v>44</v>
      </c>
      <c r="C72" s="96" t="s">
        <v>45</v>
      </c>
      <c r="D72" s="96" t="s">
        <v>349</v>
      </c>
      <c r="E72" s="96" t="s">
        <v>71</v>
      </c>
      <c r="F72" s="96" t="s">
        <v>48</v>
      </c>
      <c r="G72" s="96" t="s">
        <v>49</v>
      </c>
      <c r="H72" s="96" t="s">
        <v>50</v>
      </c>
      <c r="I72" s="96" t="s">
        <v>51</v>
      </c>
      <c r="J72" s="120" t="s">
        <v>52</v>
      </c>
      <c r="K72" s="120" t="s">
        <v>327</v>
      </c>
      <c r="L72" s="120" t="s">
        <v>356</v>
      </c>
      <c r="M72" s="120" t="s">
        <v>357</v>
      </c>
      <c r="N72" s="120" t="s">
        <v>74</v>
      </c>
      <c r="O72" s="120"/>
      <c r="P72" s="121">
        <v>0.8</v>
      </c>
      <c r="Q72" s="495"/>
      <c r="R72" s="496"/>
      <c r="S72" s="496"/>
      <c r="T72" s="496"/>
      <c r="U72" s="497"/>
      <c r="V72" s="97">
        <v>623360902</v>
      </c>
      <c r="W72" s="97">
        <v>64326892613</v>
      </c>
      <c r="X72" s="67" t="s">
        <v>330</v>
      </c>
      <c r="Y72" s="90">
        <f>(68/68)</f>
        <v>1</v>
      </c>
      <c r="Z72" s="125">
        <f t="shared" si="14"/>
        <v>0.8</v>
      </c>
      <c r="AA72" s="90">
        <f t="shared" si="15"/>
        <v>1.25</v>
      </c>
      <c r="AB72" s="67" t="s">
        <v>358</v>
      </c>
      <c r="AC72" s="602"/>
      <c r="AD72" s="602"/>
      <c r="AE72" s="602"/>
      <c r="AF72" s="602"/>
      <c r="AG72" s="133">
        <v>0.9719626168224299</v>
      </c>
      <c r="AH72" s="126">
        <v>0.8</v>
      </c>
      <c r="AI72" s="92">
        <v>1.2149532710280373</v>
      </c>
      <c r="AJ72" s="69" t="s">
        <v>359</v>
      </c>
      <c r="AK72" s="603"/>
      <c r="AL72" s="603"/>
      <c r="AM72" s="603"/>
      <c r="AN72" s="603"/>
      <c r="AO72" s="127">
        <v>0.98</v>
      </c>
      <c r="AP72" s="128">
        <f t="shared" si="16"/>
        <v>0.8</v>
      </c>
      <c r="AQ72" s="129">
        <f t="shared" si="17"/>
        <v>1.2249999999999999</v>
      </c>
      <c r="AR72" s="124" t="s">
        <v>360</v>
      </c>
      <c r="AS72" s="602"/>
      <c r="AT72" s="602"/>
      <c r="AU72" s="602"/>
      <c r="AV72" s="602"/>
      <c r="AX72" s="134"/>
    </row>
    <row r="73" spans="1:708" s="22" customFormat="1" ht="70.5" customHeight="1" x14ac:dyDescent="0.25">
      <c r="A73" s="55"/>
      <c r="B73" s="55"/>
      <c r="C73" s="55"/>
      <c r="D73" s="55"/>
      <c r="E73" s="55"/>
      <c r="F73" s="55"/>
      <c r="G73" s="55"/>
      <c r="H73" s="55"/>
      <c r="I73" s="55"/>
      <c r="J73" s="55"/>
      <c r="K73" s="55"/>
      <c r="L73" s="55"/>
      <c r="M73" s="55"/>
      <c r="N73" s="55"/>
      <c r="O73" s="55"/>
      <c r="P73" s="56"/>
      <c r="Q73" s="55"/>
      <c r="R73" s="55"/>
      <c r="S73" s="56"/>
      <c r="T73" s="55"/>
      <c r="U73" s="55"/>
      <c r="V73" s="95"/>
      <c r="W73" s="95"/>
      <c r="X73" s="55"/>
      <c r="Y73" s="388" t="s">
        <v>99</v>
      </c>
      <c r="Z73" s="388"/>
      <c r="AA73" s="58">
        <f>AVERAGE(AA67:AA72)</f>
        <v>1.0814561562682095</v>
      </c>
      <c r="AB73" s="59"/>
      <c r="AC73" s="388" t="s">
        <v>100</v>
      </c>
      <c r="AD73" s="388"/>
      <c r="AE73" s="60" t="s">
        <v>283</v>
      </c>
      <c r="AF73" s="61"/>
      <c r="AG73" s="564" t="s">
        <v>99</v>
      </c>
      <c r="AH73" s="564"/>
      <c r="AI73" s="62">
        <v>1.1592946231222687</v>
      </c>
      <c r="AJ73" s="63"/>
      <c r="AK73" s="564" t="s">
        <v>100</v>
      </c>
      <c r="AL73" s="564"/>
      <c r="AM73" s="64" t="s">
        <v>283</v>
      </c>
      <c r="AN73" s="65"/>
      <c r="AO73" s="388" t="s">
        <v>99</v>
      </c>
      <c r="AP73" s="388"/>
      <c r="AQ73" s="58">
        <f>AVERAGE(AQ67:AQ72)</f>
        <v>1.2314423076923076</v>
      </c>
      <c r="AR73" s="59"/>
      <c r="AS73" s="388" t="s">
        <v>100</v>
      </c>
      <c r="AT73" s="388"/>
      <c r="AU73" s="60" t="s">
        <v>283</v>
      </c>
      <c r="AV73" s="6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c r="IW73" s="21"/>
      <c r="IX73" s="21"/>
      <c r="IY73" s="21"/>
      <c r="IZ73" s="21"/>
      <c r="JA73" s="21"/>
      <c r="JB73" s="21"/>
      <c r="JC73" s="21"/>
      <c r="JD73" s="21"/>
      <c r="JE73" s="21"/>
      <c r="JF73" s="21"/>
      <c r="JG73" s="21"/>
      <c r="JH73" s="21"/>
      <c r="JI73" s="21"/>
      <c r="JJ73" s="21"/>
      <c r="JK73" s="21"/>
      <c r="JL73" s="21"/>
      <c r="JM73" s="21"/>
      <c r="JN73" s="21"/>
      <c r="JO73" s="21"/>
      <c r="JP73" s="21"/>
      <c r="JQ73" s="21"/>
      <c r="JR73" s="21"/>
      <c r="JS73" s="21"/>
      <c r="JT73" s="21"/>
      <c r="JU73" s="21"/>
      <c r="JV73" s="21"/>
      <c r="JW73" s="21"/>
      <c r="JX73" s="21"/>
      <c r="JY73" s="21"/>
      <c r="JZ73" s="21"/>
      <c r="KA73" s="21"/>
      <c r="KB73" s="21"/>
      <c r="KC73" s="21"/>
      <c r="KD73" s="21"/>
      <c r="KE73" s="21"/>
      <c r="KF73" s="21"/>
      <c r="KG73" s="21"/>
      <c r="KH73" s="21"/>
      <c r="KI73" s="21"/>
      <c r="KJ73" s="21"/>
      <c r="KK73" s="21"/>
      <c r="KL73" s="21"/>
      <c r="KM73" s="21"/>
      <c r="KN73" s="21"/>
      <c r="KO73" s="21"/>
      <c r="KP73" s="21"/>
      <c r="KQ73" s="21"/>
      <c r="KR73" s="21"/>
      <c r="KS73" s="21"/>
      <c r="KT73" s="21"/>
      <c r="KU73" s="21"/>
      <c r="KV73" s="21"/>
      <c r="KW73" s="21"/>
      <c r="KX73" s="21"/>
      <c r="KY73" s="21"/>
      <c r="KZ73" s="21"/>
      <c r="LA73" s="21"/>
      <c r="LB73" s="21"/>
      <c r="LC73" s="21"/>
      <c r="LD73" s="21"/>
      <c r="LE73" s="21"/>
      <c r="LF73" s="21"/>
      <c r="LG73" s="21"/>
      <c r="LH73" s="21"/>
      <c r="LI73" s="21"/>
      <c r="LJ73" s="21"/>
      <c r="LK73" s="21"/>
      <c r="LL73" s="21"/>
      <c r="LM73" s="21"/>
      <c r="LN73" s="21"/>
      <c r="LO73" s="21"/>
      <c r="LP73" s="21"/>
      <c r="LQ73" s="21"/>
      <c r="LR73" s="21"/>
      <c r="LS73" s="21"/>
      <c r="LT73" s="21"/>
      <c r="LU73" s="21"/>
      <c r="LV73" s="21"/>
      <c r="LW73" s="21"/>
      <c r="LX73" s="21"/>
      <c r="LY73" s="21"/>
      <c r="LZ73" s="21"/>
      <c r="MA73" s="21"/>
      <c r="MB73" s="21"/>
      <c r="MC73" s="21"/>
      <c r="MD73" s="21"/>
      <c r="ME73" s="21"/>
      <c r="MF73" s="21"/>
      <c r="MG73" s="21"/>
      <c r="MH73" s="21"/>
      <c r="MI73" s="21"/>
      <c r="MJ73" s="21"/>
      <c r="MK73" s="21"/>
      <c r="ML73" s="21"/>
      <c r="MM73" s="21"/>
      <c r="MN73" s="21"/>
      <c r="MO73" s="21"/>
      <c r="MP73" s="21"/>
      <c r="MQ73" s="21"/>
      <c r="MR73" s="21"/>
      <c r="MS73" s="21"/>
      <c r="MT73" s="21"/>
      <c r="MU73" s="21"/>
      <c r="MV73" s="21"/>
      <c r="MW73" s="21"/>
      <c r="MX73" s="21"/>
      <c r="MY73" s="21"/>
      <c r="MZ73" s="21"/>
      <c r="NA73" s="21"/>
      <c r="NB73" s="21"/>
      <c r="NC73" s="21"/>
      <c r="ND73" s="21"/>
      <c r="NE73" s="21"/>
      <c r="NF73" s="21"/>
      <c r="NG73" s="21"/>
      <c r="NH73" s="21"/>
      <c r="NI73" s="21"/>
      <c r="NJ73" s="21"/>
      <c r="NK73" s="21"/>
      <c r="NL73" s="21"/>
      <c r="NM73" s="21"/>
      <c r="NN73" s="21"/>
      <c r="NO73" s="21"/>
      <c r="NP73" s="21"/>
      <c r="NQ73" s="21"/>
      <c r="NR73" s="21"/>
      <c r="NS73" s="21"/>
      <c r="NT73" s="21"/>
      <c r="NU73" s="21"/>
      <c r="NV73" s="21"/>
      <c r="NW73" s="21"/>
      <c r="NX73" s="21"/>
      <c r="NY73" s="21"/>
      <c r="NZ73" s="21"/>
      <c r="OA73" s="21"/>
      <c r="OB73" s="21"/>
      <c r="OC73" s="21"/>
      <c r="OD73" s="21"/>
      <c r="OE73" s="21"/>
      <c r="OF73" s="21"/>
      <c r="OG73" s="21"/>
      <c r="OH73" s="21"/>
      <c r="OI73" s="21"/>
      <c r="OJ73" s="21"/>
      <c r="OK73" s="21"/>
      <c r="OL73" s="21"/>
      <c r="OM73" s="21"/>
      <c r="ON73" s="21"/>
      <c r="OO73" s="21"/>
      <c r="OP73" s="21"/>
      <c r="OQ73" s="21"/>
      <c r="OR73" s="21"/>
      <c r="OS73" s="21"/>
      <c r="OT73" s="21"/>
      <c r="OU73" s="21"/>
      <c r="OV73" s="21"/>
      <c r="OW73" s="21"/>
      <c r="OX73" s="21"/>
      <c r="OY73" s="21"/>
      <c r="OZ73" s="21"/>
      <c r="PA73" s="21"/>
      <c r="PB73" s="21"/>
      <c r="PC73" s="21"/>
      <c r="PD73" s="21"/>
      <c r="PE73" s="21"/>
      <c r="PF73" s="21"/>
      <c r="PG73" s="21"/>
      <c r="PH73" s="21"/>
      <c r="PI73" s="21"/>
      <c r="PJ73" s="21"/>
      <c r="PK73" s="21"/>
      <c r="PL73" s="21"/>
      <c r="PM73" s="21"/>
      <c r="PN73" s="21"/>
      <c r="PO73" s="21"/>
      <c r="PP73" s="21"/>
      <c r="PQ73" s="21"/>
      <c r="PR73" s="21"/>
      <c r="PS73" s="21"/>
      <c r="PT73" s="21"/>
      <c r="PU73" s="21"/>
      <c r="PV73" s="21"/>
      <c r="PW73" s="21"/>
      <c r="PX73" s="21"/>
      <c r="PY73" s="21"/>
      <c r="PZ73" s="21"/>
      <c r="QA73" s="21"/>
      <c r="QB73" s="21"/>
      <c r="QC73" s="21"/>
      <c r="QD73" s="21"/>
      <c r="QE73" s="21"/>
      <c r="QF73" s="21"/>
      <c r="QG73" s="21"/>
      <c r="QH73" s="21"/>
      <c r="QI73" s="21"/>
      <c r="QJ73" s="21"/>
      <c r="QK73" s="21"/>
      <c r="QL73" s="21"/>
      <c r="QM73" s="21"/>
      <c r="QN73" s="21"/>
      <c r="QO73" s="21"/>
      <c r="QP73" s="21"/>
      <c r="QQ73" s="21"/>
      <c r="QR73" s="21"/>
      <c r="QS73" s="21"/>
      <c r="QT73" s="21"/>
      <c r="QU73" s="21"/>
      <c r="QV73" s="21"/>
      <c r="QW73" s="21"/>
      <c r="QX73" s="21"/>
      <c r="QY73" s="21"/>
      <c r="QZ73" s="21"/>
      <c r="RA73" s="21"/>
      <c r="RB73" s="21"/>
      <c r="RC73" s="21"/>
      <c r="RD73" s="21"/>
      <c r="RE73" s="21"/>
      <c r="RF73" s="21"/>
      <c r="RG73" s="21"/>
      <c r="RH73" s="21"/>
      <c r="RI73" s="21"/>
      <c r="RJ73" s="21"/>
      <c r="RK73" s="21"/>
      <c r="RL73" s="21"/>
      <c r="RM73" s="21"/>
      <c r="RN73" s="21"/>
      <c r="RO73" s="21"/>
      <c r="RP73" s="21"/>
      <c r="RQ73" s="21"/>
      <c r="RR73" s="21"/>
      <c r="RS73" s="21"/>
      <c r="RT73" s="21"/>
      <c r="RU73" s="21"/>
      <c r="RV73" s="21"/>
      <c r="RW73" s="21"/>
      <c r="RX73" s="21"/>
      <c r="RY73" s="21"/>
      <c r="RZ73" s="21"/>
      <c r="SA73" s="21"/>
      <c r="SB73" s="21"/>
      <c r="SC73" s="21"/>
      <c r="SD73" s="21"/>
      <c r="SE73" s="21"/>
      <c r="SF73" s="21"/>
      <c r="SG73" s="21"/>
      <c r="SH73" s="21"/>
      <c r="SI73" s="21"/>
      <c r="SJ73" s="21"/>
      <c r="SK73" s="21"/>
      <c r="SL73" s="21"/>
      <c r="SM73" s="21"/>
      <c r="SN73" s="21"/>
      <c r="SO73" s="21"/>
      <c r="SP73" s="21"/>
      <c r="SQ73" s="21"/>
      <c r="SR73" s="21"/>
      <c r="SS73" s="21"/>
      <c r="ST73" s="21"/>
      <c r="SU73" s="21"/>
      <c r="SV73" s="21"/>
      <c r="SW73" s="21"/>
      <c r="SX73" s="21"/>
      <c r="SY73" s="21"/>
      <c r="SZ73" s="21"/>
      <c r="TA73" s="21"/>
      <c r="TB73" s="21"/>
      <c r="TC73" s="21"/>
      <c r="TD73" s="21"/>
      <c r="TE73" s="21"/>
      <c r="TF73" s="21"/>
      <c r="TG73" s="21"/>
      <c r="TH73" s="21"/>
      <c r="TI73" s="21"/>
      <c r="TJ73" s="21"/>
      <c r="TK73" s="21"/>
      <c r="TL73" s="21"/>
      <c r="TM73" s="21"/>
      <c r="TN73" s="21"/>
      <c r="TO73" s="21"/>
      <c r="TP73" s="21"/>
      <c r="TQ73" s="21"/>
      <c r="TR73" s="21"/>
      <c r="TS73" s="21"/>
      <c r="TT73" s="21"/>
      <c r="TU73" s="21"/>
      <c r="TV73" s="21"/>
      <c r="TW73" s="21"/>
      <c r="TX73" s="21"/>
      <c r="TY73" s="21"/>
      <c r="TZ73" s="21"/>
      <c r="UA73" s="21"/>
      <c r="UB73" s="21"/>
      <c r="UC73" s="21"/>
      <c r="UD73" s="21"/>
      <c r="UE73" s="21"/>
      <c r="UF73" s="21"/>
      <c r="UG73" s="21"/>
      <c r="UH73" s="21"/>
      <c r="UI73" s="21"/>
      <c r="UJ73" s="21"/>
      <c r="UK73" s="21"/>
      <c r="UL73" s="21"/>
      <c r="UM73" s="21"/>
      <c r="UN73" s="21"/>
      <c r="UO73" s="21"/>
      <c r="UP73" s="21"/>
      <c r="UQ73" s="21"/>
      <c r="UR73" s="21"/>
      <c r="US73" s="21"/>
      <c r="UT73" s="21"/>
      <c r="UU73" s="21"/>
      <c r="UV73" s="21"/>
      <c r="UW73" s="21"/>
      <c r="UX73" s="21"/>
      <c r="UY73" s="21"/>
      <c r="UZ73" s="21"/>
      <c r="VA73" s="21"/>
      <c r="VB73" s="21"/>
      <c r="VC73" s="21"/>
      <c r="VD73" s="21"/>
      <c r="VE73" s="21"/>
      <c r="VF73" s="21"/>
      <c r="VG73" s="21"/>
      <c r="VH73" s="21"/>
      <c r="VI73" s="21"/>
      <c r="VJ73" s="21"/>
      <c r="VK73" s="21"/>
      <c r="VL73" s="21"/>
      <c r="VM73" s="21"/>
      <c r="VN73" s="21"/>
      <c r="VO73" s="21"/>
      <c r="VP73" s="21"/>
      <c r="VQ73" s="21"/>
      <c r="VR73" s="21"/>
      <c r="VS73" s="21"/>
      <c r="VT73" s="21"/>
      <c r="VU73" s="21"/>
      <c r="VV73" s="21"/>
      <c r="VW73" s="21"/>
      <c r="VX73" s="21"/>
      <c r="VY73" s="21"/>
      <c r="VZ73" s="21"/>
      <c r="WA73" s="21"/>
      <c r="WB73" s="21"/>
      <c r="WC73" s="21"/>
      <c r="WD73" s="21"/>
      <c r="WE73" s="21"/>
      <c r="WF73" s="21"/>
      <c r="WG73" s="21"/>
      <c r="WH73" s="21"/>
      <c r="WI73" s="21"/>
      <c r="WJ73" s="21"/>
      <c r="WK73" s="21"/>
      <c r="WL73" s="21"/>
      <c r="WM73" s="21"/>
      <c r="WN73" s="21"/>
      <c r="WO73" s="21"/>
      <c r="WP73" s="21"/>
      <c r="WQ73" s="21"/>
      <c r="WR73" s="21"/>
      <c r="WS73" s="21"/>
      <c r="WT73" s="21"/>
      <c r="WU73" s="21"/>
      <c r="WV73" s="21"/>
      <c r="WW73" s="21"/>
      <c r="WX73" s="21"/>
      <c r="WY73" s="21"/>
      <c r="WZ73" s="21"/>
      <c r="XA73" s="21"/>
      <c r="XB73" s="21"/>
      <c r="XC73" s="21"/>
      <c r="XD73" s="21"/>
      <c r="XE73" s="21"/>
      <c r="XF73" s="21"/>
      <c r="XG73" s="21"/>
      <c r="XH73" s="21"/>
      <c r="XI73" s="21"/>
      <c r="XJ73" s="21"/>
      <c r="XK73" s="21"/>
      <c r="XL73" s="21"/>
      <c r="XM73" s="21"/>
      <c r="XN73" s="21"/>
      <c r="XO73" s="21"/>
      <c r="XP73" s="21"/>
      <c r="XQ73" s="21"/>
      <c r="XR73" s="21"/>
      <c r="XS73" s="21"/>
      <c r="XT73" s="21"/>
      <c r="XU73" s="21"/>
      <c r="XV73" s="21"/>
      <c r="XW73" s="21"/>
      <c r="XX73" s="21"/>
      <c r="XY73" s="21"/>
      <c r="XZ73" s="21"/>
      <c r="YA73" s="21"/>
      <c r="YB73" s="21"/>
      <c r="YC73" s="21"/>
      <c r="YD73" s="21"/>
      <c r="YE73" s="21"/>
      <c r="YF73" s="21"/>
      <c r="YG73" s="21"/>
      <c r="YH73" s="21"/>
      <c r="YI73" s="21"/>
      <c r="YJ73" s="21"/>
      <c r="YK73" s="21"/>
      <c r="YL73" s="21"/>
      <c r="YM73" s="21"/>
      <c r="YN73" s="21"/>
      <c r="YO73" s="21"/>
      <c r="YP73" s="21"/>
      <c r="YQ73" s="21"/>
      <c r="YR73" s="21"/>
      <c r="YS73" s="21"/>
      <c r="YT73" s="21"/>
      <c r="YU73" s="21"/>
      <c r="YV73" s="21"/>
      <c r="YW73" s="21"/>
      <c r="YX73" s="21"/>
      <c r="YY73" s="21"/>
      <c r="YZ73" s="21"/>
      <c r="ZA73" s="21"/>
      <c r="ZB73" s="21"/>
      <c r="ZC73" s="21"/>
      <c r="ZD73" s="21"/>
      <c r="ZE73" s="21"/>
      <c r="ZF73" s="21"/>
      <c r="ZG73" s="21"/>
      <c r="ZH73" s="21"/>
      <c r="ZI73" s="21"/>
      <c r="ZJ73" s="21"/>
      <c r="ZK73" s="21"/>
      <c r="ZL73" s="21"/>
      <c r="ZM73" s="21"/>
      <c r="ZN73" s="21"/>
      <c r="ZO73" s="21"/>
      <c r="ZP73" s="21"/>
      <c r="ZQ73" s="21"/>
      <c r="ZR73" s="21"/>
      <c r="ZS73" s="21"/>
      <c r="ZT73" s="21"/>
      <c r="ZU73" s="21"/>
      <c r="ZV73" s="21"/>
      <c r="ZW73" s="21"/>
      <c r="ZX73" s="21"/>
      <c r="ZY73" s="21"/>
      <c r="ZZ73" s="21"/>
      <c r="AAA73" s="21"/>
      <c r="AAB73" s="21"/>
      <c r="AAC73" s="21"/>
      <c r="AAD73" s="21"/>
      <c r="AAE73" s="21"/>
      <c r="AAF73" s="21"/>
    </row>
    <row r="74" spans="1:708" ht="81.75" customHeight="1" x14ac:dyDescent="0.25">
      <c r="A74" s="99" t="s">
        <v>43</v>
      </c>
      <c r="B74" s="99" t="s">
        <v>44</v>
      </c>
      <c r="C74" s="99" t="s">
        <v>45</v>
      </c>
      <c r="D74" s="99" t="s">
        <v>46</v>
      </c>
      <c r="E74" s="99" t="s">
        <v>71</v>
      </c>
      <c r="F74" s="99" t="s">
        <v>48</v>
      </c>
      <c r="G74" s="99" t="s">
        <v>49</v>
      </c>
      <c r="H74" s="99" t="s">
        <v>50</v>
      </c>
      <c r="I74" s="100" t="s">
        <v>51</v>
      </c>
      <c r="J74" s="74" t="s">
        <v>52</v>
      </c>
      <c r="K74" s="74" t="s">
        <v>361</v>
      </c>
      <c r="L74" s="74" t="s">
        <v>362</v>
      </c>
      <c r="M74" s="74" t="s">
        <v>363</v>
      </c>
      <c r="N74" s="74" t="s">
        <v>74</v>
      </c>
      <c r="O74" s="74"/>
      <c r="P74" s="85">
        <v>0.95</v>
      </c>
      <c r="Q74" s="601"/>
      <c r="R74" s="601"/>
      <c r="S74" s="601"/>
      <c r="T74" s="601"/>
      <c r="U74" s="601"/>
      <c r="V74" s="101">
        <v>369703970</v>
      </c>
      <c r="W74" s="101">
        <v>64326892613</v>
      </c>
      <c r="X74" s="74" t="s">
        <v>364</v>
      </c>
      <c r="Y74" s="76">
        <f>2/23</f>
        <v>8.6956521739130432E-2</v>
      </c>
      <c r="Z74" s="85">
        <f>+P74</f>
        <v>0.95</v>
      </c>
      <c r="AA74" s="76">
        <f>+Y74/Z74</f>
        <v>9.1533180778032033E-2</v>
      </c>
      <c r="AB74" s="74" t="s">
        <v>365</v>
      </c>
      <c r="AC74" s="495"/>
      <c r="AD74" s="496"/>
      <c r="AE74" s="496"/>
      <c r="AF74" s="497"/>
      <c r="AG74" s="78">
        <v>0.76923076923076927</v>
      </c>
      <c r="AH74" s="86">
        <v>0.95</v>
      </c>
      <c r="AI74" s="78">
        <v>0.80971659919028349</v>
      </c>
      <c r="AJ74" s="77" t="s">
        <v>366</v>
      </c>
      <c r="AK74" s="588"/>
      <c r="AL74" s="589"/>
      <c r="AM74" s="589"/>
      <c r="AN74" s="590"/>
      <c r="AO74" s="78">
        <f>(35/47)</f>
        <v>0.74468085106382975</v>
      </c>
      <c r="AP74" s="86">
        <v>0.95</v>
      </c>
      <c r="AQ74" s="78">
        <f>+AO74/AP74</f>
        <v>0.78387458006718924</v>
      </c>
      <c r="AR74" s="77" t="s">
        <v>367</v>
      </c>
      <c r="AS74" s="495"/>
      <c r="AT74" s="496"/>
      <c r="AU74" s="496"/>
      <c r="AV74" s="497"/>
    </row>
    <row r="75" spans="1:708" ht="73.5" customHeight="1" x14ac:dyDescent="0.25">
      <c r="A75" s="96" t="s">
        <v>43</v>
      </c>
      <c r="B75" s="96" t="s">
        <v>44</v>
      </c>
      <c r="C75" s="96" t="s">
        <v>45</v>
      </c>
      <c r="D75" s="96" t="s">
        <v>46</v>
      </c>
      <c r="E75" s="96" t="s">
        <v>71</v>
      </c>
      <c r="F75" s="96" t="s">
        <v>48</v>
      </c>
      <c r="G75" s="96" t="s">
        <v>49</v>
      </c>
      <c r="H75" s="96" t="s">
        <v>50</v>
      </c>
      <c r="I75" s="96" t="s">
        <v>51</v>
      </c>
      <c r="J75" s="67" t="s">
        <v>52</v>
      </c>
      <c r="K75" s="67" t="s">
        <v>361</v>
      </c>
      <c r="L75" s="67" t="s">
        <v>368</v>
      </c>
      <c r="M75" s="67" t="s">
        <v>369</v>
      </c>
      <c r="N75" s="67" t="s">
        <v>74</v>
      </c>
      <c r="O75" s="67"/>
      <c r="P75" s="82">
        <v>0.95</v>
      </c>
      <c r="Q75" s="601"/>
      <c r="R75" s="601"/>
      <c r="S75" s="601"/>
      <c r="T75" s="601"/>
      <c r="U75" s="601"/>
      <c r="V75" s="97">
        <v>401183836</v>
      </c>
      <c r="W75" s="97">
        <v>64326892613</v>
      </c>
      <c r="X75" s="67" t="s">
        <v>364</v>
      </c>
      <c r="Y75" s="90">
        <f>5/30</f>
        <v>0.16666666666666666</v>
      </c>
      <c r="Z75" s="125">
        <f>+P75</f>
        <v>0.95</v>
      </c>
      <c r="AA75" s="90">
        <f>+Y75/Z75</f>
        <v>0.17543859649122806</v>
      </c>
      <c r="AB75" s="67" t="s">
        <v>370</v>
      </c>
      <c r="AC75" s="605"/>
      <c r="AD75" s="606"/>
      <c r="AE75" s="606"/>
      <c r="AF75" s="607"/>
      <c r="AG75" s="92">
        <v>0.66666666666666663</v>
      </c>
      <c r="AH75" s="126">
        <v>0.95</v>
      </c>
      <c r="AI75" s="92">
        <v>0.70175438596491224</v>
      </c>
      <c r="AJ75" s="69" t="s">
        <v>371</v>
      </c>
      <c r="AK75" s="608"/>
      <c r="AL75" s="609"/>
      <c r="AM75" s="609"/>
      <c r="AN75" s="610"/>
      <c r="AO75" s="92">
        <f>(14/18)</f>
        <v>0.77777777777777779</v>
      </c>
      <c r="AP75" s="126">
        <v>0.95</v>
      </c>
      <c r="AQ75" s="92">
        <f>+AO75/AP75</f>
        <v>0.81871345029239773</v>
      </c>
      <c r="AR75" s="69" t="s">
        <v>372</v>
      </c>
      <c r="AS75" s="605"/>
      <c r="AT75" s="606"/>
      <c r="AU75" s="606"/>
      <c r="AV75" s="607"/>
    </row>
    <row r="76" spans="1:708" s="22" customFormat="1" ht="70.5" customHeight="1" x14ac:dyDescent="0.25">
      <c r="A76" s="55"/>
      <c r="B76" s="55"/>
      <c r="C76" s="55"/>
      <c r="D76" s="55"/>
      <c r="E76" s="55"/>
      <c r="F76" s="55"/>
      <c r="G76" s="55"/>
      <c r="H76" s="55"/>
      <c r="I76" s="55"/>
      <c r="J76" s="55"/>
      <c r="K76" s="55"/>
      <c r="L76" s="55"/>
      <c r="M76" s="55"/>
      <c r="N76" s="55"/>
      <c r="O76" s="55"/>
      <c r="P76" s="56"/>
      <c r="Q76" s="55"/>
      <c r="R76" s="55"/>
      <c r="S76" s="56"/>
      <c r="T76" s="55"/>
      <c r="U76" s="55"/>
      <c r="V76" s="95"/>
      <c r="W76" s="95"/>
      <c r="X76" s="55"/>
      <c r="Y76" s="388" t="s">
        <v>99</v>
      </c>
      <c r="Z76" s="388"/>
      <c r="AA76" s="58">
        <f>AVERAGE(AA74:AA75)</f>
        <v>0.13348588863463004</v>
      </c>
      <c r="AB76" s="59"/>
      <c r="AC76" s="388" t="s">
        <v>100</v>
      </c>
      <c r="AD76" s="388"/>
      <c r="AE76" s="60" t="s">
        <v>283</v>
      </c>
      <c r="AF76" s="56"/>
      <c r="AG76" s="564" t="s">
        <v>99</v>
      </c>
      <c r="AH76" s="564"/>
      <c r="AI76" s="62">
        <v>0.75573549257759787</v>
      </c>
      <c r="AJ76" s="63"/>
      <c r="AK76" s="564" t="s">
        <v>100</v>
      </c>
      <c r="AL76" s="564"/>
      <c r="AM76" s="64" t="s">
        <v>283</v>
      </c>
      <c r="AN76" s="135"/>
      <c r="AO76" s="388" t="s">
        <v>99</v>
      </c>
      <c r="AP76" s="388"/>
      <c r="AQ76" s="58">
        <f>AVERAGE(AQ74:AQ75)</f>
        <v>0.80129401517979348</v>
      </c>
      <c r="AR76" s="59"/>
      <c r="AS76" s="388" t="s">
        <v>100</v>
      </c>
      <c r="AT76" s="388"/>
      <c r="AU76" s="60" t="s">
        <v>283</v>
      </c>
      <c r="AV76" s="56"/>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c r="IW76" s="21"/>
      <c r="IX76" s="21"/>
      <c r="IY76" s="21"/>
      <c r="IZ76" s="21"/>
      <c r="JA76" s="21"/>
      <c r="JB76" s="21"/>
      <c r="JC76" s="21"/>
      <c r="JD76" s="21"/>
      <c r="JE76" s="21"/>
      <c r="JF76" s="21"/>
      <c r="JG76" s="21"/>
      <c r="JH76" s="21"/>
      <c r="JI76" s="21"/>
      <c r="JJ76" s="21"/>
      <c r="JK76" s="21"/>
      <c r="JL76" s="21"/>
      <c r="JM76" s="21"/>
      <c r="JN76" s="21"/>
      <c r="JO76" s="21"/>
      <c r="JP76" s="21"/>
      <c r="JQ76" s="21"/>
      <c r="JR76" s="21"/>
      <c r="JS76" s="21"/>
      <c r="JT76" s="21"/>
      <c r="JU76" s="21"/>
      <c r="JV76" s="21"/>
      <c r="JW76" s="21"/>
      <c r="JX76" s="21"/>
      <c r="JY76" s="21"/>
      <c r="JZ76" s="21"/>
      <c r="KA76" s="21"/>
      <c r="KB76" s="21"/>
      <c r="KC76" s="21"/>
      <c r="KD76" s="21"/>
      <c r="KE76" s="21"/>
      <c r="KF76" s="21"/>
      <c r="KG76" s="21"/>
      <c r="KH76" s="21"/>
      <c r="KI76" s="21"/>
      <c r="KJ76" s="21"/>
      <c r="KK76" s="21"/>
      <c r="KL76" s="21"/>
      <c r="KM76" s="21"/>
      <c r="KN76" s="21"/>
      <c r="KO76" s="21"/>
      <c r="KP76" s="21"/>
      <c r="KQ76" s="21"/>
      <c r="KR76" s="21"/>
      <c r="KS76" s="21"/>
      <c r="KT76" s="21"/>
      <c r="KU76" s="21"/>
      <c r="KV76" s="21"/>
      <c r="KW76" s="21"/>
      <c r="KX76" s="21"/>
      <c r="KY76" s="21"/>
      <c r="KZ76" s="21"/>
      <c r="LA76" s="21"/>
      <c r="LB76" s="21"/>
      <c r="LC76" s="21"/>
      <c r="LD76" s="21"/>
      <c r="LE76" s="21"/>
      <c r="LF76" s="21"/>
      <c r="LG76" s="21"/>
      <c r="LH76" s="21"/>
      <c r="LI76" s="21"/>
      <c r="LJ76" s="21"/>
      <c r="LK76" s="21"/>
      <c r="LL76" s="21"/>
      <c r="LM76" s="21"/>
      <c r="LN76" s="21"/>
      <c r="LO76" s="21"/>
      <c r="LP76" s="21"/>
      <c r="LQ76" s="21"/>
      <c r="LR76" s="21"/>
      <c r="LS76" s="21"/>
      <c r="LT76" s="21"/>
      <c r="LU76" s="21"/>
      <c r="LV76" s="21"/>
      <c r="LW76" s="21"/>
      <c r="LX76" s="21"/>
      <c r="LY76" s="21"/>
      <c r="LZ76" s="21"/>
      <c r="MA76" s="21"/>
      <c r="MB76" s="21"/>
      <c r="MC76" s="21"/>
      <c r="MD76" s="21"/>
      <c r="ME76" s="21"/>
      <c r="MF76" s="21"/>
      <c r="MG76" s="21"/>
      <c r="MH76" s="21"/>
      <c r="MI76" s="21"/>
      <c r="MJ76" s="21"/>
      <c r="MK76" s="21"/>
      <c r="ML76" s="21"/>
      <c r="MM76" s="21"/>
      <c r="MN76" s="21"/>
      <c r="MO76" s="21"/>
      <c r="MP76" s="21"/>
      <c r="MQ76" s="21"/>
      <c r="MR76" s="21"/>
      <c r="MS76" s="21"/>
      <c r="MT76" s="21"/>
      <c r="MU76" s="21"/>
      <c r="MV76" s="21"/>
      <c r="MW76" s="21"/>
      <c r="MX76" s="21"/>
      <c r="MY76" s="21"/>
      <c r="MZ76" s="21"/>
      <c r="NA76" s="21"/>
      <c r="NB76" s="21"/>
      <c r="NC76" s="21"/>
      <c r="ND76" s="21"/>
      <c r="NE76" s="21"/>
      <c r="NF76" s="21"/>
      <c r="NG76" s="21"/>
      <c r="NH76" s="21"/>
      <c r="NI76" s="21"/>
      <c r="NJ76" s="21"/>
      <c r="NK76" s="21"/>
      <c r="NL76" s="21"/>
      <c r="NM76" s="21"/>
      <c r="NN76" s="21"/>
      <c r="NO76" s="21"/>
      <c r="NP76" s="21"/>
      <c r="NQ76" s="21"/>
      <c r="NR76" s="21"/>
      <c r="NS76" s="21"/>
      <c r="NT76" s="21"/>
      <c r="NU76" s="21"/>
      <c r="NV76" s="21"/>
      <c r="NW76" s="21"/>
      <c r="NX76" s="21"/>
      <c r="NY76" s="21"/>
      <c r="NZ76" s="21"/>
      <c r="OA76" s="21"/>
      <c r="OB76" s="21"/>
      <c r="OC76" s="21"/>
      <c r="OD76" s="21"/>
      <c r="OE76" s="21"/>
      <c r="OF76" s="21"/>
      <c r="OG76" s="21"/>
      <c r="OH76" s="21"/>
      <c r="OI76" s="21"/>
      <c r="OJ76" s="21"/>
      <c r="OK76" s="21"/>
      <c r="OL76" s="21"/>
      <c r="OM76" s="21"/>
      <c r="ON76" s="21"/>
      <c r="OO76" s="21"/>
      <c r="OP76" s="21"/>
      <c r="OQ76" s="21"/>
      <c r="OR76" s="21"/>
      <c r="OS76" s="21"/>
      <c r="OT76" s="21"/>
      <c r="OU76" s="21"/>
      <c r="OV76" s="21"/>
      <c r="OW76" s="21"/>
      <c r="OX76" s="21"/>
      <c r="OY76" s="21"/>
      <c r="OZ76" s="21"/>
      <c r="PA76" s="21"/>
      <c r="PB76" s="21"/>
      <c r="PC76" s="21"/>
      <c r="PD76" s="21"/>
      <c r="PE76" s="21"/>
      <c r="PF76" s="21"/>
      <c r="PG76" s="21"/>
      <c r="PH76" s="21"/>
      <c r="PI76" s="21"/>
      <c r="PJ76" s="21"/>
      <c r="PK76" s="21"/>
      <c r="PL76" s="21"/>
      <c r="PM76" s="21"/>
      <c r="PN76" s="21"/>
      <c r="PO76" s="21"/>
      <c r="PP76" s="21"/>
      <c r="PQ76" s="21"/>
      <c r="PR76" s="21"/>
      <c r="PS76" s="21"/>
      <c r="PT76" s="21"/>
      <c r="PU76" s="21"/>
      <c r="PV76" s="21"/>
      <c r="PW76" s="21"/>
      <c r="PX76" s="21"/>
      <c r="PY76" s="21"/>
      <c r="PZ76" s="21"/>
      <c r="QA76" s="21"/>
      <c r="QB76" s="21"/>
      <c r="QC76" s="21"/>
      <c r="QD76" s="21"/>
      <c r="QE76" s="21"/>
      <c r="QF76" s="21"/>
      <c r="QG76" s="21"/>
      <c r="QH76" s="21"/>
      <c r="QI76" s="21"/>
      <c r="QJ76" s="21"/>
      <c r="QK76" s="21"/>
      <c r="QL76" s="21"/>
      <c r="QM76" s="21"/>
      <c r="QN76" s="21"/>
      <c r="QO76" s="21"/>
      <c r="QP76" s="21"/>
      <c r="QQ76" s="21"/>
      <c r="QR76" s="21"/>
      <c r="QS76" s="21"/>
      <c r="QT76" s="21"/>
      <c r="QU76" s="21"/>
      <c r="QV76" s="21"/>
      <c r="QW76" s="21"/>
      <c r="QX76" s="21"/>
      <c r="QY76" s="21"/>
      <c r="QZ76" s="21"/>
      <c r="RA76" s="21"/>
      <c r="RB76" s="21"/>
      <c r="RC76" s="21"/>
      <c r="RD76" s="21"/>
      <c r="RE76" s="21"/>
      <c r="RF76" s="21"/>
      <c r="RG76" s="21"/>
      <c r="RH76" s="21"/>
      <c r="RI76" s="21"/>
      <c r="RJ76" s="21"/>
      <c r="RK76" s="21"/>
      <c r="RL76" s="21"/>
      <c r="RM76" s="21"/>
      <c r="RN76" s="21"/>
      <c r="RO76" s="21"/>
      <c r="RP76" s="21"/>
      <c r="RQ76" s="21"/>
      <c r="RR76" s="21"/>
      <c r="RS76" s="21"/>
      <c r="RT76" s="21"/>
      <c r="RU76" s="21"/>
      <c r="RV76" s="21"/>
      <c r="RW76" s="21"/>
      <c r="RX76" s="21"/>
      <c r="RY76" s="21"/>
      <c r="RZ76" s="21"/>
      <c r="SA76" s="21"/>
      <c r="SB76" s="21"/>
      <c r="SC76" s="21"/>
      <c r="SD76" s="21"/>
      <c r="SE76" s="21"/>
      <c r="SF76" s="21"/>
      <c r="SG76" s="21"/>
      <c r="SH76" s="21"/>
      <c r="SI76" s="21"/>
      <c r="SJ76" s="21"/>
      <c r="SK76" s="21"/>
      <c r="SL76" s="21"/>
      <c r="SM76" s="21"/>
      <c r="SN76" s="21"/>
      <c r="SO76" s="21"/>
      <c r="SP76" s="21"/>
      <c r="SQ76" s="21"/>
      <c r="SR76" s="21"/>
      <c r="SS76" s="21"/>
      <c r="ST76" s="21"/>
      <c r="SU76" s="21"/>
      <c r="SV76" s="21"/>
      <c r="SW76" s="21"/>
      <c r="SX76" s="21"/>
      <c r="SY76" s="21"/>
      <c r="SZ76" s="21"/>
      <c r="TA76" s="21"/>
      <c r="TB76" s="21"/>
      <c r="TC76" s="21"/>
      <c r="TD76" s="21"/>
      <c r="TE76" s="21"/>
      <c r="TF76" s="21"/>
      <c r="TG76" s="21"/>
      <c r="TH76" s="21"/>
      <c r="TI76" s="21"/>
      <c r="TJ76" s="21"/>
      <c r="TK76" s="21"/>
      <c r="TL76" s="21"/>
      <c r="TM76" s="21"/>
      <c r="TN76" s="21"/>
      <c r="TO76" s="21"/>
      <c r="TP76" s="21"/>
      <c r="TQ76" s="21"/>
      <c r="TR76" s="21"/>
      <c r="TS76" s="21"/>
      <c r="TT76" s="21"/>
      <c r="TU76" s="21"/>
      <c r="TV76" s="21"/>
      <c r="TW76" s="21"/>
      <c r="TX76" s="21"/>
      <c r="TY76" s="21"/>
      <c r="TZ76" s="21"/>
      <c r="UA76" s="21"/>
      <c r="UB76" s="21"/>
      <c r="UC76" s="21"/>
      <c r="UD76" s="21"/>
      <c r="UE76" s="21"/>
      <c r="UF76" s="21"/>
      <c r="UG76" s="21"/>
      <c r="UH76" s="21"/>
      <c r="UI76" s="21"/>
      <c r="UJ76" s="21"/>
      <c r="UK76" s="21"/>
      <c r="UL76" s="21"/>
      <c r="UM76" s="21"/>
      <c r="UN76" s="21"/>
      <c r="UO76" s="21"/>
      <c r="UP76" s="21"/>
      <c r="UQ76" s="21"/>
      <c r="UR76" s="21"/>
      <c r="US76" s="21"/>
      <c r="UT76" s="21"/>
      <c r="UU76" s="21"/>
      <c r="UV76" s="21"/>
      <c r="UW76" s="21"/>
      <c r="UX76" s="21"/>
      <c r="UY76" s="21"/>
      <c r="UZ76" s="21"/>
      <c r="VA76" s="21"/>
      <c r="VB76" s="21"/>
      <c r="VC76" s="21"/>
      <c r="VD76" s="21"/>
      <c r="VE76" s="21"/>
      <c r="VF76" s="21"/>
      <c r="VG76" s="21"/>
      <c r="VH76" s="21"/>
      <c r="VI76" s="21"/>
      <c r="VJ76" s="21"/>
      <c r="VK76" s="21"/>
      <c r="VL76" s="21"/>
      <c r="VM76" s="21"/>
      <c r="VN76" s="21"/>
      <c r="VO76" s="21"/>
      <c r="VP76" s="21"/>
      <c r="VQ76" s="21"/>
      <c r="VR76" s="21"/>
      <c r="VS76" s="21"/>
      <c r="VT76" s="21"/>
      <c r="VU76" s="21"/>
      <c r="VV76" s="21"/>
      <c r="VW76" s="21"/>
      <c r="VX76" s="21"/>
      <c r="VY76" s="21"/>
      <c r="VZ76" s="21"/>
      <c r="WA76" s="21"/>
      <c r="WB76" s="21"/>
      <c r="WC76" s="21"/>
      <c r="WD76" s="21"/>
      <c r="WE76" s="21"/>
      <c r="WF76" s="21"/>
      <c r="WG76" s="21"/>
      <c r="WH76" s="21"/>
      <c r="WI76" s="21"/>
      <c r="WJ76" s="21"/>
      <c r="WK76" s="21"/>
      <c r="WL76" s="21"/>
      <c r="WM76" s="21"/>
      <c r="WN76" s="21"/>
      <c r="WO76" s="21"/>
      <c r="WP76" s="21"/>
      <c r="WQ76" s="21"/>
      <c r="WR76" s="21"/>
      <c r="WS76" s="21"/>
      <c r="WT76" s="21"/>
      <c r="WU76" s="21"/>
      <c r="WV76" s="21"/>
      <c r="WW76" s="21"/>
      <c r="WX76" s="21"/>
      <c r="WY76" s="21"/>
      <c r="WZ76" s="21"/>
      <c r="XA76" s="21"/>
      <c r="XB76" s="21"/>
      <c r="XC76" s="21"/>
      <c r="XD76" s="21"/>
      <c r="XE76" s="21"/>
      <c r="XF76" s="21"/>
      <c r="XG76" s="21"/>
      <c r="XH76" s="21"/>
      <c r="XI76" s="21"/>
      <c r="XJ76" s="21"/>
      <c r="XK76" s="21"/>
      <c r="XL76" s="21"/>
      <c r="XM76" s="21"/>
      <c r="XN76" s="21"/>
      <c r="XO76" s="21"/>
      <c r="XP76" s="21"/>
      <c r="XQ76" s="21"/>
      <c r="XR76" s="21"/>
      <c r="XS76" s="21"/>
      <c r="XT76" s="21"/>
      <c r="XU76" s="21"/>
      <c r="XV76" s="21"/>
      <c r="XW76" s="21"/>
      <c r="XX76" s="21"/>
      <c r="XY76" s="21"/>
      <c r="XZ76" s="21"/>
      <c r="YA76" s="21"/>
      <c r="YB76" s="21"/>
      <c r="YC76" s="21"/>
      <c r="YD76" s="21"/>
      <c r="YE76" s="21"/>
      <c r="YF76" s="21"/>
      <c r="YG76" s="21"/>
      <c r="YH76" s="21"/>
      <c r="YI76" s="21"/>
      <c r="YJ76" s="21"/>
      <c r="YK76" s="21"/>
      <c r="YL76" s="21"/>
      <c r="YM76" s="21"/>
      <c r="YN76" s="21"/>
      <c r="YO76" s="21"/>
      <c r="YP76" s="21"/>
      <c r="YQ76" s="21"/>
      <c r="YR76" s="21"/>
      <c r="YS76" s="21"/>
      <c r="YT76" s="21"/>
      <c r="YU76" s="21"/>
      <c r="YV76" s="21"/>
      <c r="YW76" s="21"/>
      <c r="YX76" s="21"/>
      <c r="YY76" s="21"/>
      <c r="YZ76" s="21"/>
      <c r="ZA76" s="21"/>
      <c r="ZB76" s="21"/>
      <c r="ZC76" s="21"/>
      <c r="ZD76" s="21"/>
      <c r="ZE76" s="21"/>
      <c r="ZF76" s="21"/>
      <c r="ZG76" s="21"/>
      <c r="ZH76" s="21"/>
      <c r="ZI76" s="21"/>
      <c r="ZJ76" s="21"/>
      <c r="ZK76" s="21"/>
      <c r="ZL76" s="21"/>
      <c r="ZM76" s="21"/>
      <c r="ZN76" s="21"/>
      <c r="ZO76" s="21"/>
      <c r="ZP76" s="21"/>
      <c r="ZQ76" s="21"/>
      <c r="ZR76" s="21"/>
      <c r="ZS76" s="21"/>
      <c r="ZT76" s="21"/>
      <c r="ZU76" s="21"/>
      <c r="ZV76" s="21"/>
      <c r="ZW76" s="21"/>
      <c r="ZX76" s="21"/>
      <c r="ZY76" s="21"/>
      <c r="ZZ76" s="21"/>
      <c r="AAA76" s="21"/>
      <c r="AAB76" s="21"/>
      <c r="AAC76" s="21"/>
      <c r="AAD76" s="21"/>
      <c r="AAE76" s="21"/>
      <c r="AAF76" s="21"/>
    </row>
    <row r="77" spans="1:708" ht="22.5" customHeight="1" x14ac:dyDescent="0.25">
      <c r="A77" s="136"/>
      <c r="B77" s="136"/>
      <c r="C77" s="136"/>
      <c r="D77" s="136"/>
      <c r="E77" s="136"/>
      <c r="F77" s="136"/>
      <c r="G77" s="136"/>
      <c r="H77" s="136"/>
      <c r="I77" s="136"/>
      <c r="J77" s="136"/>
      <c r="K77" s="136"/>
      <c r="L77" s="136"/>
      <c r="M77" s="136"/>
      <c r="N77" s="136"/>
      <c r="O77" s="136"/>
      <c r="P77" s="136"/>
      <c r="Q77" s="136"/>
      <c r="R77" s="136"/>
      <c r="S77" s="137"/>
      <c r="T77" s="136"/>
      <c r="U77" s="136"/>
      <c r="V77" s="138"/>
      <c r="W77" s="138"/>
      <c r="X77" s="136"/>
      <c r="Y77" s="136"/>
      <c r="Z77" s="136"/>
      <c r="AA77" s="136"/>
      <c r="AB77" s="136"/>
      <c r="AC77" s="136"/>
      <c r="AD77" s="136"/>
      <c r="AE77" s="136"/>
      <c r="AF77" s="137"/>
      <c r="AG77" s="139"/>
      <c r="AH77" s="139"/>
      <c r="AI77" s="139"/>
      <c r="AJ77" s="139"/>
      <c r="AK77" s="139"/>
      <c r="AL77" s="139"/>
      <c r="AM77" s="139"/>
      <c r="AN77" s="140"/>
      <c r="AO77" s="136"/>
      <c r="AP77" s="136"/>
      <c r="AQ77" s="136"/>
      <c r="AR77" s="136"/>
      <c r="AS77" s="136"/>
      <c r="AT77" s="136"/>
      <c r="AU77" s="136"/>
      <c r="AV77" s="137"/>
    </row>
    <row r="78" spans="1:708" ht="22.5" customHeight="1" x14ac:dyDescent="0.25">
      <c r="A78" s="136"/>
      <c r="B78" s="136"/>
      <c r="C78" s="136"/>
      <c r="D78" s="136"/>
      <c r="E78" s="136"/>
      <c r="F78" s="136"/>
      <c r="G78" s="136"/>
      <c r="H78" s="136"/>
      <c r="I78" s="136"/>
      <c r="J78" s="136"/>
      <c r="K78" s="136"/>
      <c r="L78" s="136"/>
      <c r="M78" s="136"/>
      <c r="N78" s="136"/>
      <c r="O78" s="136"/>
      <c r="P78" s="136"/>
      <c r="Q78" s="136"/>
      <c r="R78" s="136"/>
      <c r="S78" s="137"/>
      <c r="T78" s="136"/>
      <c r="U78" s="136"/>
      <c r="V78" s="138"/>
      <c r="W78" s="138"/>
      <c r="X78" s="136"/>
      <c r="Y78" s="136"/>
      <c r="Z78" s="136"/>
      <c r="AA78" s="136"/>
      <c r="AB78" s="136"/>
      <c r="AC78" s="136"/>
      <c r="AD78" s="136"/>
      <c r="AE78" s="136"/>
      <c r="AF78" s="137"/>
      <c r="AG78" s="139"/>
      <c r="AH78" s="139"/>
      <c r="AI78" s="139"/>
      <c r="AJ78" s="139"/>
      <c r="AK78" s="139"/>
      <c r="AL78" s="139"/>
      <c r="AM78" s="139"/>
      <c r="AN78" s="140"/>
      <c r="AO78" s="136"/>
      <c r="AP78" s="136"/>
      <c r="AQ78" s="136"/>
      <c r="AR78" s="136"/>
      <c r="AS78" s="136"/>
      <c r="AT78" s="136"/>
      <c r="AU78" s="136"/>
      <c r="AV78" s="137"/>
    </row>
    <row r="79" spans="1:708" ht="69.75" customHeight="1" x14ac:dyDescent="0.25">
      <c r="A79" s="21"/>
      <c r="B79" s="21"/>
      <c r="C79" s="21"/>
      <c r="D79" s="21"/>
      <c r="E79" s="21"/>
      <c r="F79" s="21"/>
      <c r="G79" s="21"/>
      <c r="H79" s="21"/>
      <c r="I79" s="21"/>
      <c r="J79" s="21"/>
      <c r="K79" s="21"/>
      <c r="L79" s="21"/>
      <c r="M79" s="21"/>
      <c r="N79" s="21"/>
      <c r="O79" s="21"/>
      <c r="P79" s="21"/>
      <c r="Q79" s="21"/>
      <c r="R79" s="21"/>
      <c r="S79" s="1"/>
      <c r="T79" s="21"/>
      <c r="U79" s="21"/>
      <c r="V79" s="141"/>
      <c r="W79" s="141"/>
      <c r="Y79" s="388" t="s">
        <v>373</v>
      </c>
      <c r="Z79" s="388"/>
      <c r="AA79" s="58">
        <f>AVERAGE(AA13,AA21,AA29,AA37,AA45,AA53,AA57,AA61,AA66,AA73,AA76)</f>
        <v>0.3467038214310238</v>
      </c>
      <c r="AC79" s="388" t="s">
        <v>374</v>
      </c>
      <c r="AD79" s="388"/>
      <c r="AE79" s="58">
        <f>AVERAGE(AE13,AE21,AE29,AE37,AE45,AE53,AE61)</f>
        <v>0.13148004977188851</v>
      </c>
      <c r="AG79" s="564" t="s">
        <v>373</v>
      </c>
      <c r="AH79" s="564"/>
      <c r="AI79" s="62">
        <v>0.456136371625182</v>
      </c>
      <c r="AJ79" s="143"/>
      <c r="AK79" s="564" t="s">
        <v>374</v>
      </c>
      <c r="AL79" s="564"/>
      <c r="AM79" s="62">
        <v>0.22042592560201521</v>
      </c>
      <c r="AN79" s="144"/>
      <c r="AO79" s="388" t="s">
        <v>373</v>
      </c>
      <c r="AP79" s="388"/>
      <c r="AQ79" s="58">
        <f>AVERAGE(AQ13,AQ21,AQ29,AQ37,AQ45,AQ53,AQ57,AQ61,AQ66,AQ76)</f>
        <v>0.42512732934605307</v>
      </c>
      <c r="AS79" s="388" t="s">
        <v>374</v>
      </c>
      <c r="AT79" s="388"/>
      <c r="AU79" s="58">
        <f>AVERAGE(AU13,AU21,AU29,AU37,AU45,AU53,AU61)</f>
        <v>0.2746603768438084</v>
      </c>
    </row>
    <row r="80" spans="1:708" s="21" customFormat="1" ht="22.5" customHeight="1" x14ac:dyDescent="0.25">
      <c r="S80" s="1"/>
      <c r="V80" s="141"/>
      <c r="W80" s="141"/>
      <c r="AF80" s="1"/>
      <c r="AN80" s="1"/>
      <c r="AV80" s="1"/>
    </row>
    <row r="81" spans="19:48" s="21" customFormat="1" ht="22.5" customHeight="1" x14ac:dyDescent="0.25">
      <c r="S81" s="1"/>
      <c r="V81" s="141"/>
      <c r="W81" s="141"/>
      <c r="AF81" s="1"/>
      <c r="AN81" s="1"/>
      <c r="AV81" s="1"/>
    </row>
    <row r="82" spans="19:48" s="21" customFormat="1" ht="22.5" customHeight="1" x14ac:dyDescent="0.25">
      <c r="S82" s="1"/>
      <c r="V82" s="141"/>
      <c r="W82" s="141"/>
      <c r="AF82" s="1"/>
      <c r="AN82" s="1"/>
      <c r="AV82" s="1"/>
    </row>
    <row r="83" spans="19:48" s="21" customFormat="1" ht="22.5" customHeight="1" x14ac:dyDescent="0.25">
      <c r="S83" s="1"/>
      <c r="V83" s="141"/>
      <c r="W83" s="141"/>
      <c r="AF83" s="1"/>
      <c r="AN83" s="1"/>
      <c r="AV83" s="1"/>
    </row>
    <row r="84" spans="19:48" s="21" customFormat="1" ht="22.5" customHeight="1" x14ac:dyDescent="0.25">
      <c r="S84" s="1"/>
      <c r="V84" s="141"/>
      <c r="W84" s="141"/>
      <c r="AF84" s="1"/>
      <c r="AN84" s="1"/>
      <c r="AV84" s="1"/>
    </row>
    <row r="85" spans="19:48" s="21" customFormat="1" ht="22.5" customHeight="1" x14ac:dyDescent="0.25">
      <c r="S85" s="1"/>
      <c r="V85" s="141"/>
      <c r="W85" s="141"/>
      <c r="AF85" s="1"/>
      <c r="AN85" s="1"/>
      <c r="AV85" s="1"/>
    </row>
    <row r="86" spans="19:48" s="21" customFormat="1" ht="22.5" customHeight="1" x14ac:dyDescent="0.25">
      <c r="S86" s="1"/>
      <c r="V86" s="141"/>
      <c r="W86" s="141"/>
      <c r="AF86" s="1"/>
      <c r="AN86" s="1"/>
      <c r="AV86" s="1"/>
    </row>
    <row r="87" spans="19:48" s="21" customFormat="1" ht="22.5" customHeight="1" x14ac:dyDescent="0.25">
      <c r="S87" s="1"/>
      <c r="V87" s="141"/>
      <c r="W87" s="141"/>
      <c r="AF87" s="1"/>
      <c r="AN87" s="1"/>
      <c r="AV87" s="1"/>
    </row>
    <row r="88" spans="19:48" s="21" customFormat="1" ht="22.5" customHeight="1" x14ac:dyDescent="0.25">
      <c r="S88" s="1"/>
      <c r="V88" s="141"/>
      <c r="W88" s="141"/>
      <c r="AF88" s="1"/>
      <c r="AN88" s="1"/>
      <c r="AV88" s="1"/>
    </row>
    <row r="89" spans="19:48" s="21" customFormat="1" ht="22.5" customHeight="1" x14ac:dyDescent="0.25">
      <c r="S89" s="1"/>
      <c r="V89" s="141"/>
      <c r="W89" s="141"/>
      <c r="AF89" s="1"/>
      <c r="AN89" s="1"/>
      <c r="AV89" s="1"/>
    </row>
    <row r="90" spans="19:48" s="21" customFormat="1" ht="22.5" customHeight="1" x14ac:dyDescent="0.25">
      <c r="S90" s="1"/>
      <c r="V90" s="141"/>
      <c r="W90" s="141"/>
      <c r="AF90" s="1"/>
      <c r="AN90" s="1"/>
      <c r="AV90" s="1"/>
    </row>
    <row r="91" spans="19:48" s="21" customFormat="1" ht="22.5" customHeight="1" x14ac:dyDescent="0.25">
      <c r="S91" s="1"/>
      <c r="V91" s="141"/>
      <c r="W91" s="141"/>
      <c r="AF91" s="1"/>
      <c r="AN91" s="1"/>
      <c r="AV91" s="1"/>
    </row>
    <row r="92" spans="19:48" s="21" customFormat="1" ht="22.5" customHeight="1" x14ac:dyDescent="0.25">
      <c r="S92" s="1"/>
      <c r="V92" s="141"/>
      <c r="W92" s="141"/>
      <c r="AF92" s="1"/>
      <c r="AN92" s="1"/>
      <c r="AV92" s="1"/>
    </row>
    <row r="93" spans="19:48" s="21" customFormat="1" ht="22.5" customHeight="1" x14ac:dyDescent="0.25">
      <c r="S93" s="1"/>
      <c r="V93" s="141"/>
      <c r="W93" s="141"/>
      <c r="AF93" s="1"/>
      <c r="AN93" s="1"/>
      <c r="AV93" s="1"/>
    </row>
    <row r="94" spans="19:48" s="21" customFormat="1" ht="22.5" customHeight="1" x14ac:dyDescent="0.25">
      <c r="S94" s="1"/>
      <c r="V94" s="141"/>
      <c r="W94" s="141"/>
      <c r="AF94" s="1"/>
      <c r="AN94" s="1"/>
      <c r="AV94" s="1"/>
    </row>
    <row r="95" spans="19:48" s="21" customFormat="1" ht="22.5" customHeight="1" x14ac:dyDescent="0.25">
      <c r="S95" s="1"/>
      <c r="V95" s="141"/>
      <c r="W95" s="141"/>
      <c r="AF95" s="1"/>
      <c r="AN95" s="1"/>
      <c r="AV95" s="1"/>
    </row>
    <row r="96" spans="19:48" s="21" customFormat="1" ht="22.5" customHeight="1" x14ac:dyDescent="0.25">
      <c r="S96" s="1"/>
      <c r="V96" s="141"/>
      <c r="W96" s="141"/>
      <c r="AF96" s="1"/>
      <c r="AN96" s="1"/>
      <c r="AV96" s="1"/>
    </row>
    <row r="97" spans="19:48" s="21" customFormat="1" ht="22.5" customHeight="1" x14ac:dyDescent="0.25">
      <c r="S97" s="1"/>
      <c r="V97" s="141"/>
      <c r="W97" s="141"/>
      <c r="AF97" s="1"/>
      <c r="AN97" s="1"/>
      <c r="AV97" s="1"/>
    </row>
    <row r="98" spans="19:48" s="21" customFormat="1" ht="22.5" customHeight="1" x14ac:dyDescent="0.25">
      <c r="S98" s="1"/>
      <c r="V98" s="141"/>
      <c r="W98" s="141"/>
      <c r="AF98" s="1"/>
      <c r="AN98" s="1"/>
      <c r="AV98" s="1"/>
    </row>
    <row r="99" spans="19:48" s="21" customFormat="1" ht="22.5" customHeight="1" x14ac:dyDescent="0.25">
      <c r="S99" s="1"/>
      <c r="V99" s="141"/>
      <c r="W99" s="141"/>
      <c r="AF99" s="1"/>
      <c r="AN99" s="1"/>
      <c r="AV99" s="1"/>
    </row>
    <row r="100" spans="19:48" s="21" customFormat="1" ht="22.5" customHeight="1" x14ac:dyDescent="0.25">
      <c r="S100" s="1"/>
      <c r="V100" s="141"/>
      <c r="W100" s="141"/>
      <c r="AF100" s="1"/>
      <c r="AN100" s="1"/>
      <c r="AV100" s="1"/>
    </row>
    <row r="101" spans="19:48" s="21" customFormat="1" ht="22.5" customHeight="1" x14ac:dyDescent="0.25">
      <c r="S101" s="1"/>
      <c r="V101" s="141"/>
      <c r="W101" s="141"/>
      <c r="AF101" s="1"/>
      <c r="AN101" s="1"/>
      <c r="AV101" s="1"/>
    </row>
    <row r="102" spans="19:48" s="21" customFormat="1" ht="22.5" customHeight="1" x14ac:dyDescent="0.25">
      <c r="S102" s="1"/>
      <c r="V102" s="141"/>
      <c r="W102" s="141"/>
      <c r="AF102" s="1"/>
      <c r="AN102" s="1"/>
      <c r="AV102" s="1"/>
    </row>
    <row r="103" spans="19:48" s="21" customFormat="1" ht="22.5" customHeight="1" x14ac:dyDescent="0.25">
      <c r="S103" s="1"/>
      <c r="V103" s="141"/>
      <c r="W103" s="141"/>
      <c r="AF103" s="1"/>
      <c r="AN103" s="1"/>
      <c r="AV103" s="1"/>
    </row>
    <row r="104" spans="19:48" s="21" customFormat="1" ht="22.5" customHeight="1" x14ac:dyDescent="0.25">
      <c r="S104" s="1"/>
      <c r="V104" s="141"/>
      <c r="W104" s="141"/>
      <c r="AF104" s="1"/>
      <c r="AN104" s="1"/>
      <c r="AV104" s="1"/>
    </row>
    <row r="105" spans="19:48" s="21" customFormat="1" ht="22.5" customHeight="1" x14ac:dyDescent="0.25">
      <c r="S105" s="1"/>
      <c r="V105" s="141"/>
      <c r="W105" s="141"/>
      <c r="AF105" s="1"/>
      <c r="AN105" s="1"/>
      <c r="AV105" s="1"/>
    </row>
    <row r="106" spans="19:48" s="21" customFormat="1" ht="22.5" customHeight="1" x14ac:dyDescent="0.25">
      <c r="S106" s="1"/>
      <c r="V106" s="141"/>
      <c r="W106" s="141"/>
      <c r="AF106" s="1"/>
      <c r="AN106" s="1"/>
      <c r="AV106" s="1"/>
    </row>
    <row r="107" spans="19:48" s="21" customFormat="1" ht="22.5" customHeight="1" x14ac:dyDescent="0.25">
      <c r="S107" s="1"/>
      <c r="V107" s="141"/>
      <c r="W107" s="141"/>
      <c r="AF107" s="1"/>
      <c r="AN107" s="1"/>
      <c r="AV107" s="1"/>
    </row>
    <row r="108" spans="19:48" s="21" customFormat="1" ht="22.5" customHeight="1" x14ac:dyDescent="0.25">
      <c r="S108" s="1"/>
      <c r="V108" s="141"/>
      <c r="W108" s="141"/>
      <c r="AF108" s="1"/>
      <c r="AN108" s="1"/>
      <c r="AV108" s="1"/>
    </row>
    <row r="109" spans="19:48" s="21" customFormat="1" ht="22.5" customHeight="1" x14ac:dyDescent="0.25">
      <c r="S109" s="1"/>
      <c r="V109" s="141"/>
      <c r="W109" s="141"/>
      <c r="AF109" s="1"/>
      <c r="AN109" s="1"/>
      <c r="AV109" s="1"/>
    </row>
    <row r="110" spans="19:48" s="21" customFormat="1" ht="22.5" customHeight="1" x14ac:dyDescent="0.25">
      <c r="S110" s="1"/>
      <c r="V110" s="141"/>
      <c r="W110" s="141"/>
      <c r="AF110" s="1"/>
      <c r="AN110" s="1"/>
      <c r="AV110" s="1"/>
    </row>
    <row r="111" spans="19:48" s="21" customFormat="1" ht="22.5" customHeight="1" x14ac:dyDescent="0.25">
      <c r="S111" s="1"/>
      <c r="V111" s="141"/>
      <c r="W111" s="141"/>
      <c r="AF111" s="1"/>
      <c r="AN111" s="1"/>
      <c r="AV111" s="1"/>
    </row>
    <row r="112" spans="19:48" s="21" customFormat="1" ht="22.5" customHeight="1" x14ac:dyDescent="0.25">
      <c r="S112" s="1"/>
      <c r="V112" s="141"/>
      <c r="W112" s="141"/>
      <c r="AF112" s="1"/>
      <c r="AN112" s="1"/>
      <c r="AV112" s="1"/>
    </row>
    <row r="113" spans="19:48" s="21" customFormat="1" ht="22.5" customHeight="1" x14ac:dyDescent="0.25">
      <c r="S113" s="1"/>
      <c r="V113" s="141"/>
      <c r="W113" s="141"/>
      <c r="AF113" s="1"/>
      <c r="AN113" s="1"/>
      <c r="AV113" s="1"/>
    </row>
    <row r="114" spans="19:48" s="21" customFormat="1" ht="22.5" customHeight="1" x14ac:dyDescent="0.25">
      <c r="S114" s="1"/>
      <c r="V114" s="141"/>
      <c r="W114" s="141"/>
      <c r="AF114" s="1"/>
      <c r="AN114" s="1"/>
      <c r="AV114" s="1"/>
    </row>
    <row r="115" spans="19:48" s="21" customFormat="1" ht="22.5" customHeight="1" x14ac:dyDescent="0.25">
      <c r="S115" s="1"/>
      <c r="V115" s="141"/>
      <c r="W115" s="141"/>
      <c r="AF115" s="1"/>
      <c r="AN115" s="1"/>
      <c r="AV115" s="1"/>
    </row>
    <row r="116" spans="19:48" s="21" customFormat="1" ht="22.5" customHeight="1" x14ac:dyDescent="0.25">
      <c r="S116" s="1"/>
      <c r="V116" s="141"/>
      <c r="W116" s="141"/>
      <c r="AF116" s="1"/>
      <c r="AN116" s="1"/>
      <c r="AV116" s="1"/>
    </row>
    <row r="117" spans="19:48" s="21" customFormat="1" ht="22.5" customHeight="1" x14ac:dyDescent="0.25">
      <c r="S117" s="1"/>
      <c r="V117" s="141"/>
      <c r="W117" s="141"/>
      <c r="AF117" s="1"/>
      <c r="AN117" s="1"/>
      <c r="AV117" s="1"/>
    </row>
    <row r="118" spans="19:48" s="21" customFormat="1" ht="22.5" customHeight="1" x14ac:dyDescent="0.25">
      <c r="S118" s="1"/>
      <c r="V118" s="141"/>
      <c r="W118" s="141"/>
      <c r="AF118" s="1"/>
      <c r="AN118" s="1"/>
      <c r="AV118" s="1"/>
    </row>
    <row r="119" spans="19:48" s="21" customFormat="1" ht="22.5" customHeight="1" x14ac:dyDescent="0.25">
      <c r="S119" s="1"/>
      <c r="V119" s="141"/>
      <c r="W119" s="141"/>
      <c r="AF119" s="1"/>
      <c r="AN119" s="1"/>
      <c r="AV119" s="1"/>
    </row>
    <row r="120" spans="19:48" s="21" customFormat="1" ht="22.5" customHeight="1" x14ac:dyDescent="0.25">
      <c r="S120" s="1"/>
      <c r="V120" s="141"/>
      <c r="W120" s="141"/>
      <c r="AF120" s="1"/>
      <c r="AN120" s="1"/>
      <c r="AV120" s="1"/>
    </row>
    <row r="121" spans="19:48" s="21" customFormat="1" ht="22.5" customHeight="1" x14ac:dyDescent="0.25">
      <c r="S121" s="1"/>
      <c r="V121" s="141"/>
      <c r="W121" s="141"/>
      <c r="AF121" s="1"/>
      <c r="AN121" s="1"/>
      <c r="AV121" s="1"/>
    </row>
    <row r="122" spans="19:48" s="21" customFormat="1" ht="22.5" customHeight="1" x14ac:dyDescent="0.25">
      <c r="S122" s="1"/>
      <c r="V122" s="141"/>
      <c r="W122" s="141"/>
      <c r="AF122" s="1"/>
      <c r="AN122" s="1"/>
      <c r="AV122" s="1"/>
    </row>
    <row r="123" spans="19:48" s="21" customFormat="1" ht="22.5" customHeight="1" x14ac:dyDescent="0.25">
      <c r="S123" s="1"/>
      <c r="V123" s="141"/>
      <c r="W123" s="141"/>
      <c r="AF123" s="1"/>
      <c r="AN123" s="1"/>
      <c r="AV123" s="1"/>
    </row>
    <row r="124" spans="19:48" s="21" customFormat="1" ht="22.5" customHeight="1" x14ac:dyDescent="0.25">
      <c r="S124" s="1"/>
      <c r="V124" s="141"/>
      <c r="W124" s="141"/>
      <c r="AF124" s="1"/>
      <c r="AN124" s="1"/>
      <c r="AV124" s="1"/>
    </row>
    <row r="125" spans="19:48" s="21" customFormat="1" ht="22.5" customHeight="1" x14ac:dyDescent="0.25">
      <c r="S125" s="1"/>
      <c r="V125" s="141"/>
      <c r="W125" s="141"/>
      <c r="AF125" s="1"/>
      <c r="AN125" s="1"/>
      <c r="AV125" s="1"/>
    </row>
    <row r="126" spans="19:48" s="21" customFormat="1" ht="22.5" customHeight="1" x14ac:dyDescent="0.25">
      <c r="S126" s="1"/>
      <c r="V126" s="141"/>
      <c r="W126" s="141"/>
      <c r="AF126" s="1"/>
      <c r="AN126" s="1"/>
      <c r="AV126" s="1"/>
    </row>
    <row r="127" spans="19:48" s="21" customFormat="1" ht="22.5" customHeight="1" x14ac:dyDescent="0.25">
      <c r="S127" s="1"/>
      <c r="V127" s="141"/>
      <c r="W127" s="141"/>
      <c r="AF127" s="1"/>
      <c r="AN127" s="1"/>
      <c r="AV127" s="1"/>
    </row>
    <row r="128" spans="19:48" s="21" customFormat="1" ht="22.5" customHeight="1" x14ac:dyDescent="0.25">
      <c r="S128" s="1"/>
      <c r="V128" s="141"/>
      <c r="W128" s="141"/>
      <c r="AF128" s="1"/>
      <c r="AN128" s="1"/>
      <c r="AV128" s="1"/>
    </row>
    <row r="129" spans="19:48" s="21" customFormat="1" ht="22.5" customHeight="1" x14ac:dyDescent="0.25">
      <c r="S129" s="1"/>
      <c r="V129" s="141"/>
      <c r="W129" s="141"/>
      <c r="AF129" s="1"/>
      <c r="AN129" s="1"/>
      <c r="AV129" s="1"/>
    </row>
    <row r="130" spans="19:48" s="21" customFormat="1" ht="22.5" customHeight="1" x14ac:dyDescent="0.25">
      <c r="S130" s="1"/>
      <c r="V130" s="141"/>
      <c r="W130" s="141"/>
      <c r="AF130" s="1"/>
      <c r="AN130" s="1"/>
      <c r="AV130" s="1"/>
    </row>
    <row r="131" spans="19:48" s="21" customFormat="1" ht="22.5" customHeight="1" x14ac:dyDescent="0.25">
      <c r="S131" s="1"/>
      <c r="V131" s="141"/>
      <c r="W131" s="141"/>
      <c r="AF131" s="1"/>
      <c r="AN131" s="1"/>
      <c r="AV131" s="1"/>
    </row>
    <row r="132" spans="19:48" s="21" customFormat="1" ht="22.5" customHeight="1" x14ac:dyDescent="0.25">
      <c r="S132" s="1"/>
      <c r="V132" s="141"/>
      <c r="W132" s="141"/>
      <c r="AF132" s="1"/>
      <c r="AN132" s="1"/>
      <c r="AV132" s="1"/>
    </row>
    <row r="133" spans="19:48" s="21" customFormat="1" ht="22.5" customHeight="1" x14ac:dyDescent="0.25">
      <c r="S133" s="1"/>
      <c r="V133" s="141"/>
      <c r="W133" s="141"/>
      <c r="AF133" s="1"/>
      <c r="AN133" s="1"/>
      <c r="AV133" s="1"/>
    </row>
    <row r="134" spans="19:48" s="21" customFormat="1" ht="22.5" customHeight="1" x14ac:dyDescent="0.25">
      <c r="S134" s="1"/>
      <c r="V134" s="141"/>
      <c r="W134" s="141"/>
      <c r="AF134" s="1"/>
      <c r="AN134" s="1"/>
      <c r="AV134" s="1"/>
    </row>
    <row r="135" spans="19:48" s="21" customFormat="1" ht="22.5" customHeight="1" x14ac:dyDescent="0.25">
      <c r="S135" s="1"/>
      <c r="V135" s="141"/>
      <c r="W135" s="141"/>
      <c r="AF135" s="1"/>
      <c r="AN135" s="1"/>
      <c r="AV135" s="1"/>
    </row>
    <row r="136" spans="19:48" s="21" customFormat="1" ht="22.5" customHeight="1" x14ac:dyDescent="0.25">
      <c r="S136" s="1"/>
      <c r="V136" s="141"/>
      <c r="W136" s="141"/>
      <c r="AF136" s="1"/>
      <c r="AN136" s="1"/>
      <c r="AV136" s="1"/>
    </row>
    <row r="137" spans="19:48" s="21" customFormat="1" ht="22.5" customHeight="1" x14ac:dyDescent="0.25">
      <c r="S137" s="1"/>
      <c r="V137" s="141"/>
      <c r="W137" s="141"/>
      <c r="AF137" s="1"/>
      <c r="AN137" s="1"/>
      <c r="AV137" s="1"/>
    </row>
    <row r="138" spans="19:48" s="21" customFormat="1" ht="22.5" customHeight="1" x14ac:dyDescent="0.25">
      <c r="S138" s="1"/>
      <c r="V138" s="141"/>
      <c r="W138" s="141"/>
      <c r="AF138" s="1"/>
      <c r="AN138" s="1"/>
      <c r="AV138" s="1"/>
    </row>
    <row r="139" spans="19:48" s="21" customFormat="1" ht="22.5" customHeight="1" x14ac:dyDescent="0.25">
      <c r="S139" s="1"/>
      <c r="V139" s="141"/>
      <c r="W139" s="141"/>
      <c r="AF139" s="1"/>
      <c r="AN139" s="1"/>
      <c r="AV139" s="1"/>
    </row>
    <row r="140" spans="19:48" s="21" customFormat="1" ht="22.5" customHeight="1" x14ac:dyDescent="0.25">
      <c r="S140" s="1"/>
      <c r="V140" s="141"/>
      <c r="W140" s="141"/>
      <c r="AF140" s="1"/>
      <c r="AN140" s="1"/>
      <c r="AV140" s="1"/>
    </row>
    <row r="141" spans="19:48" s="21" customFormat="1" ht="22.5" customHeight="1" x14ac:dyDescent="0.25">
      <c r="S141" s="1"/>
      <c r="V141" s="141"/>
      <c r="W141" s="141"/>
      <c r="AF141" s="1"/>
      <c r="AN141" s="1"/>
      <c r="AV141" s="1"/>
    </row>
    <row r="142" spans="19:48" s="21" customFormat="1" ht="22.5" customHeight="1" x14ac:dyDescent="0.25">
      <c r="S142" s="1"/>
      <c r="V142" s="141"/>
      <c r="W142" s="141"/>
      <c r="AF142" s="1"/>
      <c r="AN142" s="1"/>
      <c r="AV142" s="1"/>
    </row>
    <row r="143" spans="19:48" s="21" customFormat="1" ht="22.5" customHeight="1" x14ac:dyDescent="0.25">
      <c r="S143" s="1"/>
      <c r="V143" s="141"/>
      <c r="W143" s="141"/>
      <c r="AF143" s="1"/>
      <c r="AN143" s="1"/>
      <c r="AV143" s="1"/>
    </row>
    <row r="144" spans="19:48" s="21" customFormat="1" ht="22.5" customHeight="1" x14ac:dyDescent="0.25">
      <c r="S144" s="1"/>
      <c r="V144" s="141"/>
      <c r="W144" s="141"/>
      <c r="AF144" s="1"/>
      <c r="AN144" s="1"/>
      <c r="AV144" s="1"/>
    </row>
    <row r="145" spans="19:48" s="21" customFormat="1" ht="22.5" customHeight="1" x14ac:dyDescent="0.25">
      <c r="S145" s="1"/>
      <c r="V145" s="141"/>
      <c r="W145" s="141"/>
      <c r="AF145" s="1"/>
      <c r="AN145" s="1"/>
      <c r="AV145" s="1"/>
    </row>
    <row r="146" spans="19:48" s="21" customFormat="1" ht="22.5" customHeight="1" x14ac:dyDescent="0.25">
      <c r="S146" s="1"/>
      <c r="V146" s="141"/>
      <c r="W146" s="141"/>
      <c r="AF146" s="1"/>
      <c r="AN146" s="1"/>
      <c r="AV146" s="1"/>
    </row>
    <row r="147" spans="19:48" s="21" customFormat="1" ht="22.5" customHeight="1" x14ac:dyDescent="0.25">
      <c r="S147" s="1"/>
      <c r="V147" s="141"/>
      <c r="W147" s="141"/>
      <c r="AF147" s="1"/>
      <c r="AN147" s="1"/>
      <c r="AV147" s="1"/>
    </row>
    <row r="148" spans="19:48" s="21" customFormat="1" ht="22.5" customHeight="1" x14ac:dyDescent="0.25">
      <c r="S148" s="1"/>
      <c r="V148" s="141"/>
      <c r="W148" s="141"/>
      <c r="AF148" s="1"/>
      <c r="AN148" s="1"/>
      <c r="AV148" s="1"/>
    </row>
    <row r="149" spans="19:48" s="21" customFormat="1" ht="22.5" customHeight="1" x14ac:dyDescent="0.25">
      <c r="S149" s="1"/>
      <c r="V149" s="141"/>
      <c r="W149" s="141"/>
      <c r="AF149" s="1"/>
      <c r="AN149" s="1"/>
      <c r="AV149" s="1"/>
    </row>
    <row r="150" spans="19:48" s="21" customFormat="1" ht="22.5" customHeight="1" x14ac:dyDescent="0.25">
      <c r="S150" s="1"/>
      <c r="V150" s="141"/>
      <c r="W150" s="141"/>
      <c r="AF150" s="1"/>
      <c r="AN150" s="1"/>
      <c r="AV150" s="1"/>
    </row>
    <row r="151" spans="19:48" s="21" customFormat="1" ht="22.5" customHeight="1" x14ac:dyDescent="0.25">
      <c r="S151" s="1"/>
      <c r="V151" s="141"/>
      <c r="W151" s="141"/>
      <c r="AF151" s="1"/>
      <c r="AN151" s="1"/>
      <c r="AV151" s="1"/>
    </row>
    <row r="152" spans="19:48" s="21" customFormat="1" ht="22.5" customHeight="1" x14ac:dyDescent="0.25">
      <c r="S152" s="1"/>
      <c r="V152" s="141"/>
      <c r="W152" s="141"/>
      <c r="AF152" s="1"/>
      <c r="AN152" s="1"/>
      <c r="AV152" s="1"/>
    </row>
    <row r="153" spans="19:48" s="21" customFormat="1" ht="22.5" customHeight="1" x14ac:dyDescent="0.25">
      <c r="S153" s="1"/>
      <c r="V153" s="141"/>
      <c r="W153" s="141"/>
      <c r="AF153" s="1"/>
      <c r="AN153" s="1"/>
      <c r="AV153" s="1"/>
    </row>
    <row r="154" spans="19:48" s="21" customFormat="1" ht="22.5" customHeight="1" x14ac:dyDescent="0.25">
      <c r="S154" s="1"/>
      <c r="V154" s="141"/>
      <c r="W154" s="141"/>
      <c r="AF154" s="1"/>
      <c r="AN154" s="1"/>
      <c r="AV154" s="1"/>
    </row>
    <row r="155" spans="19:48" s="21" customFormat="1" ht="22.5" customHeight="1" x14ac:dyDescent="0.25">
      <c r="S155" s="1"/>
      <c r="V155" s="141"/>
      <c r="W155" s="141"/>
      <c r="AF155" s="1"/>
      <c r="AN155" s="1"/>
      <c r="AV155" s="1"/>
    </row>
    <row r="156" spans="19:48" s="21" customFormat="1" ht="22.5" customHeight="1" x14ac:dyDescent="0.25">
      <c r="S156" s="1"/>
      <c r="V156" s="141"/>
      <c r="W156" s="141"/>
      <c r="AF156" s="1"/>
      <c r="AN156" s="1"/>
      <c r="AV156" s="1"/>
    </row>
    <row r="157" spans="19:48" s="21" customFormat="1" ht="22.5" customHeight="1" x14ac:dyDescent="0.25">
      <c r="S157" s="1"/>
      <c r="V157" s="141"/>
      <c r="W157" s="141"/>
      <c r="AF157" s="1"/>
      <c r="AN157" s="1"/>
      <c r="AV157" s="1"/>
    </row>
    <row r="158" spans="19:48" s="21" customFormat="1" ht="22.5" customHeight="1" x14ac:dyDescent="0.25">
      <c r="S158" s="1"/>
      <c r="V158" s="141"/>
      <c r="W158" s="141"/>
      <c r="AF158" s="1"/>
      <c r="AN158" s="1"/>
      <c r="AV158" s="1"/>
    </row>
    <row r="159" spans="19:48" s="21" customFormat="1" ht="22.5" customHeight="1" x14ac:dyDescent="0.25">
      <c r="S159" s="1"/>
      <c r="V159" s="141"/>
      <c r="W159" s="141"/>
      <c r="AF159" s="1"/>
      <c r="AN159" s="1"/>
      <c r="AV159" s="1"/>
    </row>
    <row r="160" spans="19:48" s="21" customFormat="1" ht="22.5" customHeight="1" x14ac:dyDescent="0.25">
      <c r="S160" s="1"/>
      <c r="V160" s="141"/>
      <c r="W160" s="141"/>
      <c r="AF160" s="1"/>
      <c r="AN160" s="1"/>
      <c r="AV160" s="1"/>
    </row>
    <row r="161" spans="19:48" s="21" customFormat="1" ht="22.5" customHeight="1" x14ac:dyDescent="0.25">
      <c r="S161" s="1"/>
      <c r="V161" s="141"/>
      <c r="W161" s="141"/>
      <c r="AF161" s="1"/>
      <c r="AN161" s="1"/>
      <c r="AV161" s="1"/>
    </row>
    <row r="162" spans="19:48" s="21" customFormat="1" ht="22.5" customHeight="1" x14ac:dyDescent="0.25">
      <c r="S162" s="1"/>
      <c r="V162" s="141"/>
      <c r="W162" s="141"/>
      <c r="AF162" s="1"/>
      <c r="AN162" s="1"/>
      <c r="AV162" s="1"/>
    </row>
    <row r="163" spans="19:48" s="21" customFormat="1" ht="22.5" customHeight="1" x14ac:dyDescent="0.25">
      <c r="S163" s="1"/>
      <c r="V163" s="141"/>
      <c r="W163" s="141"/>
      <c r="AF163" s="1"/>
      <c r="AN163" s="1"/>
      <c r="AV163" s="1"/>
    </row>
    <row r="164" spans="19:48" s="21" customFormat="1" ht="22.5" customHeight="1" x14ac:dyDescent="0.25">
      <c r="S164" s="1"/>
      <c r="V164" s="141"/>
      <c r="W164" s="141"/>
      <c r="AF164" s="1"/>
      <c r="AN164" s="1"/>
      <c r="AV164" s="1"/>
    </row>
    <row r="165" spans="19:48" s="21" customFormat="1" ht="22.5" customHeight="1" x14ac:dyDescent="0.25">
      <c r="S165" s="1"/>
      <c r="V165" s="141"/>
      <c r="W165" s="141"/>
      <c r="AF165" s="1"/>
      <c r="AN165" s="1"/>
      <c r="AV165" s="1"/>
    </row>
    <row r="166" spans="19:48" s="21" customFormat="1" ht="22.5" customHeight="1" x14ac:dyDescent="0.25">
      <c r="S166" s="1"/>
      <c r="V166" s="141"/>
      <c r="W166" s="141"/>
      <c r="AF166" s="1"/>
      <c r="AN166" s="1"/>
      <c r="AV166" s="1"/>
    </row>
    <row r="167" spans="19:48" s="21" customFormat="1" ht="22.5" customHeight="1" x14ac:dyDescent="0.25">
      <c r="S167" s="1"/>
      <c r="V167" s="141"/>
      <c r="W167" s="141"/>
      <c r="AF167" s="1"/>
      <c r="AN167" s="1"/>
      <c r="AV167" s="1"/>
    </row>
    <row r="168" spans="19:48" s="21" customFormat="1" ht="22.5" customHeight="1" x14ac:dyDescent="0.25">
      <c r="S168" s="1"/>
      <c r="V168" s="141"/>
      <c r="W168" s="141"/>
      <c r="AF168" s="1"/>
      <c r="AN168" s="1"/>
      <c r="AV168" s="1"/>
    </row>
    <row r="169" spans="19:48" s="21" customFormat="1" ht="22.5" customHeight="1" x14ac:dyDescent="0.25">
      <c r="S169" s="1"/>
      <c r="V169" s="141"/>
      <c r="W169" s="141"/>
      <c r="AF169" s="1"/>
      <c r="AN169" s="1"/>
      <c r="AV169" s="1"/>
    </row>
    <row r="170" spans="19:48" s="21" customFormat="1" ht="22.5" customHeight="1" x14ac:dyDescent="0.25">
      <c r="S170" s="1"/>
      <c r="V170" s="141"/>
      <c r="W170" s="141"/>
      <c r="AF170" s="1"/>
      <c r="AN170" s="1"/>
      <c r="AV170" s="1"/>
    </row>
    <row r="171" spans="19:48" s="21" customFormat="1" ht="22.5" customHeight="1" x14ac:dyDescent="0.25">
      <c r="S171" s="1"/>
      <c r="V171" s="141"/>
      <c r="W171" s="141"/>
      <c r="AF171" s="1"/>
      <c r="AN171" s="1"/>
      <c r="AV171" s="1"/>
    </row>
    <row r="172" spans="19:48" s="21" customFormat="1" ht="22.5" customHeight="1" x14ac:dyDescent="0.25">
      <c r="S172" s="1"/>
      <c r="V172" s="141"/>
      <c r="W172" s="141"/>
      <c r="AF172" s="1"/>
      <c r="AN172" s="1"/>
      <c r="AV172" s="1"/>
    </row>
    <row r="173" spans="19:48" s="21" customFormat="1" ht="22.5" customHeight="1" x14ac:dyDescent="0.25">
      <c r="S173" s="1"/>
      <c r="V173" s="141"/>
      <c r="W173" s="141"/>
      <c r="AF173" s="1"/>
      <c r="AN173" s="1"/>
      <c r="AV173" s="1"/>
    </row>
    <row r="174" spans="19:48" s="21" customFormat="1" ht="22.5" customHeight="1" x14ac:dyDescent="0.25">
      <c r="S174" s="1"/>
      <c r="V174" s="141"/>
      <c r="W174" s="141"/>
      <c r="AF174" s="1"/>
      <c r="AN174" s="1"/>
      <c r="AV174" s="1"/>
    </row>
    <row r="175" spans="19:48" s="21" customFormat="1" ht="22.5" customHeight="1" x14ac:dyDescent="0.25">
      <c r="S175" s="1"/>
      <c r="V175" s="141"/>
      <c r="W175" s="141"/>
      <c r="AF175" s="1"/>
      <c r="AN175" s="1"/>
      <c r="AV175" s="1"/>
    </row>
    <row r="176" spans="19:48" s="21" customFormat="1" ht="22.5" customHeight="1" x14ac:dyDescent="0.25">
      <c r="S176" s="1"/>
      <c r="V176" s="141"/>
      <c r="W176" s="141"/>
      <c r="AF176" s="1"/>
      <c r="AN176" s="1"/>
      <c r="AV176" s="1"/>
    </row>
    <row r="177" spans="19:48" s="21" customFormat="1" ht="22.5" customHeight="1" x14ac:dyDescent="0.25">
      <c r="S177" s="1"/>
      <c r="V177" s="141"/>
      <c r="W177" s="141"/>
      <c r="AF177" s="1"/>
      <c r="AN177" s="1"/>
      <c r="AV177" s="1"/>
    </row>
    <row r="178" spans="19:48" s="21" customFormat="1" ht="22.5" customHeight="1" x14ac:dyDescent="0.25">
      <c r="S178" s="1"/>
      <c r="V178" s="141"/>
      <c r="W178" s="141"/>
      <c r="AF178" s="1"/>
      <c r="AN178" s="1"/>
      <c r="AV178" s="1"/>
    </row>
    <row r="179" spans="19:48" s="21" customFormat="1" ht="22.5" customHeight="1" x14ac:dyDescent="0.25">
      <c r="S179" s="1"/>
      <c r="V179" s="141"/>
      <c r="W179" s="141"/>
      <c r="AF179" s="1"/>
      <c r="AN179" s="1"/>
      <c r="AV179" s="1"/>
    </row>
    <row r="180" spans="19:48" s="21" customFormat="1" ht="22.5" customHeight="1" x14ac:dyDescent="0.25">
      <c r="S180" s="1"/>
      <c r="V180" s="141"/>
      <c r="W180" s="141"/>
      <c r="AF180" s="1"/>
      <c r="AN180" s="1"/>
      <c r="AV180" s="1"/>
    </row>
    <row r="181" spans="19:48" s="21" customFormat="1" ht="22.5" customHeight="1" x14ac:dyDescent="0.25">
      <c r="S181" s="1"/>
      <c r="V181" s="141"/>
      <c r="W181" s="141"/>
      <c r="AF181" s="1"/>
      <c r="AN181" s="1"/>
      <c r="AV181" s="1"/>
    </row>
    <row r="182" spans="19:48" s="21" customFormat="1" ht="22.5" customHeight="1" x14ac:dyDescent="0.25">
      <c r="S182" s="1"/>
      <c r="V182" s="141"/>
      <c r="W182" s="141"/>
      <c r="AF182" s="1"/>
      <c r="AN182" s="1"/>
      <c r="AV182" s="1"/>
    </row>
    <row r="183" spans="19:48" s="21" customFormat="1" ht="22.5" customHeight="1" x14ac:dyDescent="0.25">
      <c r="S183" s="1"/>
      <c r="V183" s="141"/>
      <c r="W183" s="141"/>
      <c r="AF183" s="1"/>
      <c r="AN183" s="1"/>
      <c r="AV183" s="1"/>
    </row>
    <row r="184" spans="19:48" s="21" customFormat="1" ht="22.5" customHeight="1" x14ac:dyDescent="0.25">
      <c r="S184" s="1"/>
      <c r="V184" s="141"/>
      <c r="W184" s="141"/>
      <c r="AF184" s="1"/>
      <c r="AN184" s="1"/>
      <c r="AV184" s="1"/>
    </row>
    <row r="185" spans="19:48" s="21" customFormat="1" ht="22.5" customHeight="1" x14ac:dyDescent="0.25">
      <c r="S185" s="1"/>
      <c r="V185" s="141"/>
      <c r="W185" s="141"/>
      <c r="AF185" s="1"/>
      <c r="AN185" s="1"/>
      <c r="AV185" s="1"/>
    </row>
    <row r="186" spans="19:48" s="21" customFormat="1" ht="22.5" customHeight="1" x14ac:dyDescent="0.25">
      <c r="S186" s="1"/>
      <c r="V186" s="141"/>
      <c r="W186" s="141"/>
      <c r="AF186" s="1"/>
      <c r="AN186" s="1"/>
      <c r="AV186" s="1"/>
    </row>
    <row r="187" spans="19:48" s="21" customFormat="1" ht="22.5" customHeight="1" x14ac:dyDescent="0.25">
      <c r="S187" s="1"/>
      <c r="V187" s="141"/>
      <c r="W187" s="141"/>
      <c r="AF187" s="1"/>
      <c r="AN187" s="1"/>
      <c r="AV187" s="1"/>
    </row>
    <row r="188" spans="19:48" s="21" customFormat="1" ht="22.5" customHeight="1" x14ac:dyDescent="0.25">
      <c r="S188" s="1"/>
      <c r="V188" s="141"/>
      <c r="W188" s="141"/>
      <c r="AF188" s="1"/>
      <c r="AN188" s="1"/>
      <c r="AV188" s="1"/>
    </row>
    <row r="189" spans="19:48" s="21" customFormat="1" ht="22.5" customHeight="1" x14ac:dyDescent="0.25">
      <c r="S189" s="1"/>
      <c r="V189" s="141"/>
      <c r="W189" s="141"/>
      <c r="AF189" s="1"/>
      <c r="AN189" s="1"/>
      <c r="AV189" s="1"/>
    </row>
    <row r="190" spans="19:48" s="21" customFormat="1" ht="22.5" customHeight="1" x14ac:dyDescent="0.25">
      <c r="S190" s="1"/>
      <c r="V190" s="141"/>
      <c r="W190" s="141"/>
      <c r="AF190" s="1"/>
      <c r="AN190" s="1"/>
      <c r="AV190" s="1"/>
    </row>
    <row r="191" spans="19:48" s="21" customFormat="1" ht="22.5" customHeight="1" x14ac:dyDescent="0.25">
      <c r="S191" s="1"/>
      <c r="V191" s="141"/>
      <c r="W191" s="141"/>
      <c r="AF191" s="1"/>
      <c r="AN191" s="1"/>
      <c r="AV191" s="1"/>
    </row>
    <row r="192" spans="19:48" s="21" customFormat="1" ht="22.5" customHeight="1" x14ac:dyDescent="0.25">
      <c r="S192" s="1"/>
      <c r="V192" s="141"/>
      <c r="W192" s="141"/>
      <c r="AF192" s="1"/>
      <c r="AN192" s="1"/>
      <c r="AV192" s="1"/>
    </row>
    <row r="193" spans="19:48" s="21" customFormat="1" ht="22.5" customHeight="1" x14ac:dyDescent="0.25">
      <c r="S193" s="1"/>
      <c r="V193" s="141"/>
      <c r="W193" s="141"/>
      <c r="AF193" s="1"/>
      <c r="AN193" s="1"/>
      <c r="AV193" s="1"/>
    </row>
    <row r="194" spans="19:48" s="21" customFormat="1" ht="22.5" customHeight="1" x14ac:dyDescent="0.25">
      <c r="S194" s="1"/>
      <c r="V194" s="141"/>
      <c r="W194" s="141"/>
      <c r="AF194" s="1"/>
      <c r="AN194" s="1"/>
      <c r="AV194" s="1"/>
    </row>
    <row r="195" spans="19:48" s="21" customFormat="1" ht="22.5" customHeight="1" x14ac:dyDescent="0.25">
      <c r="S195" s="1"/>
      <c r="V195" s="141"/>
      <c r="W195" s="141"/>
      <c r="AF195" s="1"/>
      <c r="AN195" s="1"/>
      <c r="AV195" s="1"/>
    </row>
    <row r="196" spans="19:48" s="21" customFormat="1" ht="22.5" customHeight="1" x14ac:dyDescent="0.25">
      <c r="S196" s="1"/>
      <c r="V196" s="141"/>
      <c r="W196" s="141"/>
      <c r="AF196" s="1"/>
      <c r="AN196" s="1"/>
      <c r="AV196" s="1"/>
    </row>
    <row r="197" spans="19:48" s="21" customFormat="1" ht="22.5" customHeight="1" x14ac:dyDescent="0.25">
      <c r="S197" s="1"/>
      <c r="V197" s="141"/>
      <c r="W197" s="141"/>
      <c r="AF197" s="1"/>
      <c r="AN197" s="1"/>
      <c r="AV197" s="1"/>
    </row>
    <row r="198" spans="19:48" s="21" customFormat="1" ht="22.5" customHeight="1" x14ac:dyDescent="0.25">
      <c r="S198" s="1"/>
      <c r="V198" s="141"/>
      <c r="W198" s="141"/>
      <c r="AF198" s="1"/>
      <c r="AN198" s="1"/>
      <c r="AV198" s="1"/>
    </row>
    <row r="199" spans="19:48" s="21" customFormat="1" ht="22.5" customHeight="1" x14ac:dyDescent="0.25">
      <c r="S199" s="1"/>
      <c r="V199" s="141"/>
      <c r="W199" s="141"/>
      <c r="AF199" s="1"/>
      <c r="AN199" s="1"/>
      <c r="AV199" s="1"/>
    </row>
    <row r="200" spans="19:48" s="21" customFormat="1" ht="22.5" customHeight="1" x14ac:dyDescent="0.25">
      <c r="S200" s="1"/>
      <c r="V200" s="141"/>
      <c r="W200" s="141"/>
      <c r="AF200" s="1"/>
      <c r="AN200" s="1"/>
      <c r="AV200" s="1"/>
    </row>
    <row r="201" spans="19:48" s="21" customFormat="1" ht="22.5" customHeight="1" x14ac:dyDescent="0.25">
      <c r="S201" s="1"/>
      <c r="V201" s="141"/>
      <c r="W201" s="141"/>
      <c r="AF201" s="1"/>
      <c r="AN201" s="1"/>
      <c r="AV201" s="1"/>
    </row>
    <row r="202" spans="19:48" s="21" customFormat="1" ht="22.5" customHeight="1" x14ac:dyDescent="0.25">
      <c r="S202" s="1"/>
      <c r="V202" s="141"/>
      <c r="W202" s="141"/>
      <c r="AF202" s="1"/>
      <c r="AN202" s="1"/>
      <c r="AV202" s="1"/>
    </row>
    <row r="203" spans="19:48" s="21" customFormat="1" ht="22.5" customHeight="1" x14ac:dyDescent="0.25">
      <c r="S203" s="1"/>
      <c r="V203" s="141"/>
      <c r="W203" s="141"/>
      <c r="AF203" s="1"/>
      <c r="AN203" s="1"/>
      <c r="AV203" s="1"/>
    </row>
    <row r="204" spans="19:48" s="21" customFormat="1" ht="22.5" customHeight="1" x14ac:dyDescent="0.25">
      <c r="S204" s="1"/>
      <c r="V204" s="141"/>
      <c r="W204" s="141"/>
      <c r="AF204" s="1"/>
      <c r="AN204" s="1"/>
      <c r="AV204" s="1"/>
    </row>
    <row r="205" spans="19:48" s="21" customFormat="1" ht="22.5" customHeight="1" x14ac:dyDescent="0.25">
      <c r="S205" s="1"/>
      <c r="V205" s="141"/>
      <c r="W205" s="141"/>
      <c r="AF205" s="1"/>
      <c r="AN205" s="1"/>
      <c r="AV205" s="1"/>
    </row>
    <row r="206" spans="19:48" s="21" customFormat="1" ht="22.5" customHeight="1" x14ac:dyDescent="0.25">
      <c r="S206" s="1"/>
      <c r="V206" s="141"/>
      <c r="W206" s="141"/>
      <c r="AF206" s="1"/>
      <c r="AN206" s="1"/>
      <c r="AV206" s="1"/>
    </row>
    <row r="207" spans="19:48" s="21" customFormat="1" ht="22.5" customHeight="1" x14ac:dyDescent="0.25">
      <c r="S207" s="1"/>
      <c r="V207" s="141"/>
      <c r="W207" s="141"/>
      <c r="AF207" s="1"/>
      <c r="AN207" s="1"/>
      <c r="AV207" s="1"/>
    </row>
    <row r="208" spans="19:48" s="21" customFormat="1" ht="22.5" customHeight="1" x14ac:dyDescent="0.25">
      <c r="S208" s="1"/>
      <c r="V208" s="141"/>
      <c r="W208" s="141"/>
      <c r="AF208" s="1"/>
      <c r="AN208" s="1"/>
      <c r="AV208" s="1"/>
    </row>
    <row r="209" spans="19:48" s="21" customFormat="1" ht="22.5" customHeight="1" x14ac:dyDescent="0.25">
      <c r="S209" s="1"/>
      <c r="V209" s="141"/>
      <c r="W209" s="141"/>
      <c r="AF209" s="1"/>
      <c r="AN209" s="1"/>
      <c r="AV209" s="1"/>
    </row>
    <row r="210" spans="19:48" s="21" customFormat="1" ht="22.5" customHeight="1" x14ac:dyDescent="0.25">
      <c r="S210" s="1"/>
      <c r="V210" s="141"/>
      <c r="W210" s="141"/>
      <c r="AF210" s="1"/>
      <c r="AN210" s="1"/>
      <c r="AV210" s="1"/>
    </row>
    <row r="211" spans="19:48" s="21" customFormat="1" ht="22.5" customHeight="1" x14ac:dyDescent="0.25">
      <c r="S211" s="1"/>
      <c r="V211" s="141"/>
      <c r="W211" s="141"/>
      <c r="AF211" s="1"/>
      <c r="AN211" s="1"/>
      <c r="AV211" s="1"/>
    </row>
    <row r="212" spans="19:48" s="21" customFormat="1" ht="22.5" customHeight="1" x14ac:dyDescent="0.25">
      <c r="S212" s="1"/>
      <c r="V212" s="141"/>
      <c r="W212" s="141"/>
      <c r="AF212" s="1"/>
      <c r="AN212" s="1"/>
      <c r="AV212" s="1"/>
    </row>
    <row r="213" spans="19:48" s="21" customFormat="1" ht="22.5" customHeight="1" x14ac:dyDescent="0.25">
      <c r="S213" s="1"/>
      <c r="V213" s="141"/>
      <c r="W213" s="141"/>
      <c r="AF213" s="1"/>
      <c r="AN213" s="1"/>
      <c r="AV213" s="1"/>
    </row>
    <row r="214" spans="19:48" s="21" customFormat="1" ht="22.5" customHeight="1" x14ac:dyDescent="0.25">
      <c r="S214" s="1"/>
      <c r="V214" s="141"/>
      <c r="W214" s="141"/>
      <c r="AF214" s="1"/>
      <c r="AN214" s="1"/>
      <c r="AV214" s="1"/>
    </row>
    <row r="215" spans="19:48" s="21" customFormat="1" ht="22.5" customHeight="1" x14ac:dyDescent="0.25">
      <c r="S215" s="1"/>
      <c r="V215" s="141"/>
      <c r="W215" s="141"/>
      <c r="AF215" s="1"/>
      <c r="AN215" s="1"/>
      <c r="AV215" s="1"/>
    </row>
    <row r="216" spans="19:48" s="21" customFormat="1" ht="22.5" customHeight="1" x14ac:dyDescent="0.25">
      <c r="S216" s="1"/>
      <c r="V216" s="141"/>
      <c r="W216" s="141"/>
      <c r="AF216" s="1"/>
      <c r="AN216" s="1"/>
      <c r="AV216" s="1"/>
    </row>
    <row r="217" spans="19:48" s="21" customFormat="1" ht="22.5" customHeight="1" x14ac:dyDescent="0.25">
      <c r="S217" s="1"/>
      <c r="V217" s="141"/>
      <c r="W217" s="141"/>
      <c r="AF217" s="1"/>
      <c r="AN217" s="1"/>
      <c r="AV217" s="1"/>
    </row>
    <row r="218" spans="19:48" s="21" customFormat="1" ht="22.5" customHeight="1" x14ac:dyDescent="0.25">
      <c r="S218" s="1"/>
      <c r="V218" s="141"/>
      <c r="W218" s="141"/>
      <c r="AF218" s="1"/>
      <c r="AN218" s="1"/>
      <c r="AV218" s="1"/>
    </row>
    <row r="219" spans="19:48" s="21" customFormat="1" ht="22.5" customHeight="1" x14ac:dyDescent="0.25">
      <c r="S219" s="1"/>
      <c r="V219" s="141"/>
      <c r="W219" s="141"/>
      <c r="AF219" s="1"/>
      <c r="AN219" s="1"/>
      <c r="AV219" s="1"/>
    </row>
    <row r="220" spans="19:48" s="21" customFormat="1" ht="22.5" customHeight="1" x14ac:dyDescent="0.25">
      <c r="S220" s="1"/>
      <c r="V220" s="141"/>
      <c r="W220" s="141"/>
      <c r="AF220" s="1"/>
      <c r="AN220" s="1"/>
      <c r="AV220" s="1"/>
    </row>
    <row r="221" spans="19:48" s="21" customFormat="1" ht="22.5" customHeight="1" x14ac:dyDescent="0.25">
      <c r="S221" s="1"/>
      <c r="V221" s="141"/>
      <c r="W221" s="141"/>
      <c r="AF221" s="1"/>
      <c r="AN221" s="1"/>
      <c r="AV221" s="1"/>
    </row>
    <row r="222" spans="19:48" s="21" customFormat="1" ht="22.5" customHeight="1" x14ac:dyDescent="0.25">
      <c r="S222" s="1"/>
      <c r="V222" s="141"/>
      <c r="W222" s="141"/>
      <c r="AF222" s="1"/>
      <c r="AN222" s="1"/>
      <c r="AV222" s="1"/>
    </row>
    <row r="223" spans="19:48" s="21" customFormat="1" ht="22.5" customHeight="1" x14ac:dyDescent="0.25">
      <c r="S223" s="1"/>
      <c r="V223" s="141"/>
      <c r="W223" s="141"/>
      <c r="AF223" s="1"/>
      <c r="AN223" s="1"/>
      <c r="AV223" s="1"/>
    </row>
    <row r="224" spans="19:48" s="21" customFormat="1" ht="22.5" customHeight="1" x14ac:dyDescent="0.25">
      <c r="S224" s="1"/>
      <c r="V224" s="141"/>
      <c r="W224" s="141"/>
      <c r="AF224" s="1"/>
      <c r="AN224" s="1"/>
      <c r="AV224" s="1"/>
    </row>
    <row r="225" spans="19:48" s="21" customFormat="1" ht="22.5" customHeight="1" x14ac:dyDescent="0.25">
      <c r="S225" s="1"/>
      <c r="V225" s="141"/>
      <c r="W225" s="141"/>
      <c r="AF225" s="1"/>
      <c r="AN225" s="1"/>
      <c r="AV225" s="1"/>
    </row>
    <row r="226" spans="19:48" s="21" customFormat="1" ht="22.5" customHeight="1" x14ac:dyDescent="0.25">
      <c r="S226" s="1"/>
      <c r="V226" s="141"/>
      <c r="W226" s="141"/>
      <c r="AF226" s="1"/>
      <c r="AN226" s="1"/>
      <c r="AV226" s="1"/>
    </row>
    <row r="227" spans="19:48" s="21" customFormat="1" ht="22.5" customHeight="1" x14ac:dyDescent="0.25">
      <c r="S227" s="1"/>
      <c r="V227" s="141"/>
      <c r="W227" s="141"/>
      <c r="AF227" s="1"/>
      <c r="AN227" s="1"/>
      <c r="AV227" s="1"/>
    </row>
    <row r="228" spans="19:48" s="21" customFormat="1" ht="22.5" customHeight="1" x14ac:dyDescent="0.25">
      <c r="S228" s="1"/>
      <c r="V228" s="141"/>
      <c r="W228" s="141"/>
      <c r="AF228" s="1"/>
      <c r="AN228" s="1"/>
      <c r="AV228" s="1"/>
    </row>
    <row r="229" spans="19:48" s="21" customFormat="1" ht="22.5" customHeight="1" x14ac:dyDescent="0.25">
      <c r="S229" s="1"/>
      <c r="V229" s="141"/>
      <c r="W229" s="141"/>
      <c r="AF229" s="1"/>
      <c r="AN229" s="1"/>
      <c r="AV229" s="1"/>
    </row>
    <row r="230" spans="19:48" s="21" customFormat="1" ht="22.5" customHeight="1" x14ac:dyDescent="0.25">
      <c r="S230" s="1"/>
      <c r="V230" s="141"/>
      <c r="W230" s="141"/>
      <c r="AF230" s="1"/>
      <c r="AN230" s="1"/>
      <c r="AV230" s="1"/>
    </row>
    <row r="231" spans="19:48" s="21" customFormat="1" ht="22.5" customHeight="1" x14ac:dyDescent="0.25">
      <c r="S231" s="1"/>
      <c r="V231" s="141"/>
      <c r="W231" s="141"/>
      <c r="AF231" s="1"/>
      <c r="AN231" s="1"/>
      <c r="AV231" s="1"/>
    </row>
    <row r="232" spans="19:48" s="21" customFormat="1" ht="22.5" customHeight="1" x14ac:dyDescent="0.25">
      <c r="S232" s="1"/>
      <c r="V232" s="141"/>
      <c r="W232" s="141"/>
      <c r="AF232" s="1"/>
      <c r="AN232" s="1"/>
      <c r="AV232" s="1"/>
    </row>
    <row r="233" spans="19:48" s="21" customFormat="1" ht="22.5" customHeight="1" x14ac:dyDescent="0.25">
      <c r="S233" s="1"/>
      <c r="V233" s="141"/>
      <c r="W233" s="141"/>
      <c r="AF233" s="1"/>
      <c r="AN233" s="1"/>
      <c r="AV233" s="1"/>
    </row>
    <row r="234" spans="19:48" s="21" customFormat="1" ht="22.5" customHeight="1" x14ac:dyDescent="0.25">
      <c r="S234" s="1"/>
      <c r="V234" s="141"/>
      <c r="W234" s="141"/>
      <c r="AF234" s="1"/>
      <c r="AN234" s="1"/>
      <c r="AV234" s="1"/>
    </row>
    <row r="235" spans="19:48" s="21" customFormat="1" ht="22.5" customHeight="1" x14ac:dyDescent="0.25">
      <c r="S235" s="1"/>
      <c r="V235" s="141"/>
      <c r="W235" s="141"/>
      <c r="AF235" s="1"/>
      <c r="AN235" s="1"/>
      <c r="AV235" s="1"/>
    </row>
    <row r="236" spans="19:48" s="21" customFormat="1" ht="22.5" customHeight="1" x14ac:dyDescent="0.25">
      <c r="S236" s="1"/>
      <c r="V236" s="141"/>
      <c r="W236" s="141"/>
      <c r="AF236" s="1"/>
      <c r="AN236" s="1"/>
      <c r="AV236" s="1"/>
    </row>
    <row r="237" spans="19:48" s="21" customFormat="1" ht="22.5" customHeight="1" x14ac:dyDescent="0.25">
      <c r="S237" s="1"/>
      <c r="V237" s="141"/>
      <c r="W237" s="141"/>
      <c r="AF237" s="1"/>
      <c r="AN237" s="1"/>
      <c r="AV237" s="1"/>
    </row>
    <row r="238" spans="19:48" s="21" customFormat="1" ht="22.5" customHeight="1" x14ac:dyDescent="0.25">
      <c r="S238" s="1"/>
      <c r="V238" s="141"/>
      <c r="W238" s="141"/>
      <c r="AF238" s="1"/>
      <c r="AN238" s="1"/>
      <c r="AV238" s="1"/>
    </row>
    <row r="239" spans="19:48" s="21" customFormat="1" ht="22.5" customHeight="1" x14ac:dyDescent="0.25">
      <c r="S239" s="1"/>
      <c r="V239" s="141"/>
      <c r="W239" s="141"/>
      <c r="AF239" s="1"/>
      <c r="AN239" s="1"/>
      <c r="AV239" s="1"/>
    </row>
    <row r="240" spans="19:48" s="21" customFormat="1" ht="22.5" customHeight="1" x14ac:dyDescent="0.25">
      <c r="S240" s="1"/>
      <c r="V240" s="141"/>
      <c r="W240" s="141"/>
      <c r="AF240" s="1"/>
      <c r="AN240" s="1"/>
      <c r="AV240" s="1"/>
    </row>
    <row r="241" spans="19:48" s="21" customFormat="1" ht="22.5" customHeight="1" x14ac:dyDescent="0.25">
      <c r="S241" s="1"/>
      <c r="V241" s="141"/>
      <c r="W241" s="141"/>
      <c r="AF241" s="1"/>
      <c r="AN241" s="1"/>
      <c r="AV241" s="1"/>
    </row>
    <row r="242" spans="19:48" s="21" customFormat="1" ht="22.5" customHeight="1" x14ac:dyDescent="0.25">
      <c r="S242" s="1"/>
      <c r="V242" s="141"/>
      <c r="W242" s="141"/>
      <c r="AF242" s="1"/>
      <c r="AN242" s="1"/>
      <c r="AV242" s="1"/>
    </row>
    <row r="243" spans="19:48" s="21" customFormat="1" ht="22.5" customHeight="1" x14ac:dyDescent="0.25">
      <c r="S243" s="1"/>
      <c r="V243" s="141"/>
      <c r="W243" s="141"/>
      <c r="AF243" s="1"/>
      <c r="AN243" s="1"/>
      <c r="AV243" s="1"/>
    </row>
    <row r="244" spans="19:48" s="21" customFormat="1" ht="22.5" customHeight="1" x14ac:dyDescent="0.25">
      <c r="S244" s="1"/>
      <c r="V244" s="141"/>
      <c r="W244" s="141"/>
      <c r="AF244" s="1"/>
      <c r="AN244" s="1"/>
      <c r="AV244" s="1"/>
    </row>
    <row r="245" spans="19:48" s="21" customFormat="1" ht="22.5" customHeight="1" x14ac:dyDescent="0.25">
      <c r="S245" s="1"/>
      <c r="V245" s="141"/>
      <c r="W245" s="141"/>
      <c r="AF245" s="1"/>
      <c r="AN245" s="1"/>
      <c r="AV245" s="1"/>
    </row>
    <row r="246" spans="19:48" s="21" customFormat="1" ht="22.5" customHeight="1" x14ac:dyDescent="0.25">
      <c r="S246" s="1"/>
      <c r="V246" s="141"/>
      <c r="W246" s="141"/>
      <c r="AF246" s="1"/>
      <c r="AN246" s="1"/>
      <c r="AV246" s="1"/>
    </row>
    <row r="247" spans="19:48" s="21" customFormat="1" ht="22.5" customHeight="1" x14ac:dyDescent="0.25">
      <c r="S247" s="1"/>
      <c r="V247" s="141"/>
      <c r="W247" s="141"/>
      <c r="AF247" s="1"/>
      <c r="AN247" s="1"/>
      <c r="AV247" s="1"/>
    </row>
    <row r="248" spans="19:48" s="21" customFormat="1" ht="22.5" customHeight="1" x14ac:dyDescent="0.25">
      <c r="S248" s="1"/>
      <c r="V248" s="141"/>
      <c r="W248" s="141"/>
      <c r="AF248" s="1"/>
      <c r="AN248" s="1"/>
      <c r="AV248" s="1"/>
    </row>
    <row r="249" spans="19:48" s="21" customFormat="1" ht="22.5" customHeight="1" x14ac:dyDescent="0.25">
      <c r="S249" s="1"/>
      <c r="V249" s="141"/>
      <c r="W249" s="141"/>
      <c r="AF249" s="1"/>
      <c r="AN249" s="1"/>
      <c r="AV249" s="1"/>
    </row>
    <row r="250" spans="19:48" s="21" customFormat="1" ht="22.5" customHeight="1" x14ac:dyDescent="0.25">
      <c r="S250" s="1"/>
      <c r="V250" s="141"/>
      <c r="W250" s="141"/>
      <c r="AF250" s="1"/>
      <c r="AN250" s="1"/>
      <c r="AV250" s="1"/>
    </row>
    <row r="251" spans="19:48" s="21" customFormat="1" ht="22.5" customHeight="1" x14ac:dyDescent="0.25">
      <c r="S251" s="1"/>
      <c r="V251" s="141"/>
      <c r="W251" s="141"/>
      <c r="AF251" s="1"/>
      <c r="AN251" s="1"/>
      <c r="AV251" s="1"/>
    </row>
    <row r="252" spans="19:48" s="21" customFormat="1" ht="22.5" customHeight="1" x14ac:dyDescent="0.25">
      <c r="S252" s="1"/>
      <c r="V252" s="141"/>
      <c r="W252" s="141"/>
      <c r="AF252" s="1"/>
      <c r="AN252" s="1"/>
      <c r="AV252" s="1"/>
    </row>
    <row r="253" spans="19:48" s="21" customFormat="1" ht="22.5" customHeight="1" x14ac:dyDescent="0.25">
      <c r="S253" s="1"/>
      <c r="V253" s="141"/>
      <c r="W253" s="141"/>
      <c r="AF253" s="1"/>
      <c r="AN253" s="1"/>
      <c r="AV253" s="1"/>
    </row>
    <row r="254" spans="19:48" s="21" customFormat="1" ht="22.5" customHeight="1" x14ac:dyDescent="0.25">
      <c r="S254" s="1"/>
      <c r="V254" s="141"/>
      <c r="W254" s="141"/>
      <c r="AF254" s="1"/>
      <c r="AN254" s="1"/>
      <c r="AV254" s="1"/>
    </row>
    <row r="255" spans="19:48" s="21" customFormat="1" ht="22.5" customHeight="1" x14ac:dyDescent="0.25">
      <c r="S255" s="1"/>
      <c r="V255" s="141"/>
      <c r="W255" s="141"/>
      <c r="AF255" s="1"/>
      <c r="AN255" s="1"/>
      <c r="AV255" s="1"/>
    </row>
    <row r="256" spans="19:48" s="21" customFormat="1" ht="22.5" customHeight="1" x14ac:dyDescent="0.25">
      <c r="S256" s="1"/>
      <c r="V256" s="141"/>
      <c r="W256" s="141"/>
      <c r="AF256" s="1"/>
      <c r="AN256" s="1"/>
      <c r="AV256" s="1"/>
    </row>
    <row r="257" spans="19:48" s="21" customFormat="1" ht="22.5" customHeight="1" x14ac:dyDescent="0.25">
      <c r="S257" s="1"/>
      <c r="V257" s="141"/>
      <c r="W257" s="141"/>
      <c r="AF257" s="1"/>
      <c r="AN257" s="1"/>
      <c r="AV257" s="1"/>
    </row>
    <row r="258" spans="19:48" s="21" customFormat="1" ht="22.5" customHeight="1" x14ac:dyDescent="0.25">
      <c r="S258" s="1"/>
      <c r="V258" s="141"/>
      <c r="W258" s="141"/>
      <c r="AF258" s="1"/>
      <c r="AN258" s="1"/>
      <c r="AV258" s="1"/>
    </row>
    <row r="259" spans="19:48" s="21" customFormat="1" ht="22.5" customHeight="1" x14ac:dyDescent="0.25">
      <c r="S259" s="1"/>
      <c r="V259" s="141"/>
      <c r="W259" s="141"/>
      <c r="AF259" s="1"/>
      <c r="AN259" s="1"/>
      <c r="AV259" s="1"/>
    </row>
    <row r="260" spans="19:48" s="21" customFormat="1" ht="22.5" customHeight="1" x14ac:dyDescent="0.25">
      <c r="S260" s="1"/>
      <c r="V260" s="141"/>
      <c r="W260" s="141"/>
      <c r="AF260" s="1"/>
      <c r="AN260" s="1"/>
      <c r="AV260" s="1"/>
    </row>
    <row r="261" spans="19:48" s="21" customFormat="1" ht="22.5" customHeight="1" x14ac:dyDescent="0.25">
      <c r="S261" s="1"/>
      <c r="V261" s="141"/>
      <c r="W261" s="141"/>
      <c r="AF261" s="1"/>
      <c r="AN261" s="1"/>
      <c r="AV261" s="1"/>
    </row>
    <row r="262" spans="19:48" s="21" customFormat="1" ht="22.5" customHeight="1" x14ac:dyDescent="0.25">
      <c r="S262" s="1"/>
      <c r="V262" s="141"/>
      <c r="W262" s="141"/>
      <c r="AF262" s="1"/>
      <c r="AN262" s="1"/>
      <c r="AV262" s="1"/>
    </row>
    <row r="263" spans="19:48" s="21" customFormat="1" ht="22.5" customHeight="1" x14ac:dyDescent="0.25">
      <c r="S263" s="1"/>
      <c r="V263" s="141"/>
      <c r="W263" s="141"/>
      <c r="AF263" s="1"/>
      <c r="AN263" s="1"/>
      <c r="AV263" s="1"/>
    </row>
    <row r="264" spans="19:48" s="21" customFormat="1" ht="22.5" customHeight="1" x14ac:dyDescent="0.25">
      <c r="S264" s="1"/>
      <c r="V264" s="141"/>
      <c r="W264" s="141"/>
      <c r="AF264" s="1"/>
      <c r="AN264" s="1"/>
      <c r="AV264" s="1"/>
    </row>
    <row r="265" spans="19:48" s="21" customFormat="1" ht="22.5" customHeight="1" x14ac:dyDescent="0.25">
      <c r="S265" s="1"/>
      <c r="V265" s="141"/>
      <c r="W265" s="141"/>
      <c r="AF265" s="1"/>
      <c r="AN265" s="1"/>
      <c r="AV265" s="1"/>
    </row>
    <row r="266" spans="19:48" s="21" customFormat="1" ht="22.5" customHeight="1" x14ac:dyDescent="0.25">
      <c r="S266" s="1"/>
      <c r="V266" s="141"/>
      <c r="W266" s="141"/>
      <c r="AF266" s="1"/>
      <c r="AN266" s="1"/>
      <c r="AV266" s="1"/>
    </row>
    <row r="267" spans="19:48" s="21" customFormat="1" ht="22.5" customHeight="1" x14ac:dyDescent="0.25">
      <c r="S267" s="1"/>
      <c r="V267" s="141"/>
      <c r="W267" s="141"/>
      <c r="AF267" s="1"/>
      <c r="AN267" s="1"/>
      <c r="AV267" s="1"/>
    </row>
    <row r="268" spans="19:48" s="21" customFormat="1" ht="22.5" customHeight="1" x14ac:dyDescent="0.25">
      <c r="S268" s="1"/>
      <c r="V268" s="141"/>
      <c r="W268" s="141"/>
      <c r="AF268" s="1"/>
      <c r="AN268" s="1"/>
      <c r="AV268" s="1"/>
    </row>
    <row r="269" spans="19:48" s="21" customFormat="1" ht="22.5" customHeight="1" x14ac:dyDescent="0.25">
      <c r="S269" s="1"/>
      <c r="V269" s="141"/>
      <c r="W269" s="141"/>
      <c r="AF269" s="1"/>
      <c r="AN269" s="1"/>
      <c r="AV269" s="1"/>
    </row>
    <row r="270" spans="19:48" s="21" customFormat="1" ht="22.5" customHeight="1" x14ac:dyDescent="0.25">
      <c r="S270" s="1"/>
      <c r="V270" s="141"/>
      <c r="W270" s="141"/>
      <c r="AF270" s="1"/>
      <c r="AN270" s="1"/>
      <c r="AV270" s="1"/>
    </row>
    <row r="271" spans="19:48" s="21" customFormat="1" ht="22.5" customHeight="1" x14ac:dyDescent="0.25">
      <c r="S271" s="1"/>
      <c r="V271" s="141"/>
      <c r="W271" s="141"/>
      <c r="AF271" s="1"/>
      <c r="AN271" s="1"/>
      <c r="AV271" s="1"/>
    </row>
    <row r="272" spans="19:48" s="21" customFormat="1" ht="22.5" customHeight="1" x14ac:dyDescent="0.25">
      <c r="S272" s="1"/>
      <c r="V272" s="141"/>
      <c r="W272" s="141"/>
      <c r="AF272" s="1"/>
      <c r="AN272" s="1"/>
      <c r="AV272" s="1"/>
    </row>
    <row r="273" spans="19:48" s="21" customFormat="1" ht="22.5" customHeight="1" x14ac:dyDescent="0.25">
      <c r="S273" s="1"/>
      <c r="V273" s="141"/>
      <c r="W273" s="141"/>
      <c r="AF273" s="1"/>
      <c r="AN273" s="1"/>
      <c r="AV273" s="1"/>
    </row>
    <row r="274" spans="19:48" s="21" customFormat="1" ht="22.5" customHeight="1" x14ac:dyDescent="0.25">
      <c r="S274" s="1"/>
      <c r="V274" s="141"/>
      <c r="W274" s="141"/>
      <c r="AF274" s="1"/>
      <c r="AN274" s="1"/>
      <c r="AV274" s="1"/>
    </row>
    <row r="275" spans="19:48" s="21" customFormat="1" ht="22.5" customHeight="1" x14ac:dyDescent="0.25">
      <c r="S275" s="1"/>
      <c r="V275" s="141"/>
      <c r="W275" s="141"/>
      <c r="AF275" s="1"/>
      <c r="AN275" s="1"/>
      <c r="AV275" s="1"/>
    </row>
    <row r="276" spans="19:48" s="21" customFormat="1" ht="22.5" customHeight="1" x14ac:dyDescent="0.25">
      <c r="S276" s="1"/>
      <c r="V276" s="141"/>
      <c r="W276" s="141"/>
      <c r="AF276" s="1"/>
      <c r="AN276" s="1"/>
      <c r="AV276" s="1"/>
    </row>
    <row r="277" spans="19:48" s="21" customFormat="1" ht="22.5" customHeight="1" x14ac:dyDescent="0.25">
      <c r="S277" s="1"/>
      <c r="V277" s="141"/>
      <c r="W277" s="141"/>
      <c r="AF277" s="1"/>
      <c r="AN277" s="1"/>
      <c r="AV277" s="1"/>
    </row>
    <row r="278" spans="19:48" s="21" customFormat="1" ht="22.5" customHeight="1" x14ac:dyDescent="0.25">
      <c r="S278" s="1"/>
      <c r="V278" s="141"/>
      <c r="W278" s="141"/>
      <c r="AF278" s="1"/>
      <c r="AN278" s="1"/>
      <c r="AV278" s="1"/>
    </row>
    <row r="279" spans="19:48" s="21" customFormat="1" ht="22.5" customHeight="1" x14ac:dyDescent="0.25">
      <c r="S279" s="1"/>
      <c r="V279" s="141"/>
      <c r="W279" s="141"/>
      <c r="AF279" s="1"/>
      <c r="AN279" s="1"/>
      <c r="AV279" s="1"/>
    </row>
    <row r="280" spans="19:48" s="21" customFormat="1" ht="22.5" customHeight="1" x14ac:dyDescent="0.25">
      <c r="S280" s="1"/>
      <c r="V280" s="141"/>
      <c r="W280" s="141"/>
      <c r="AF280" s="1"/>
      <c r="AN280" s="1"/>
      <c r="AV280" s="1"/>
    </row>
    <row r="281" spans="19:48" s="21" customFormat="1" ht="22.5" customHeight="1" x14ac:dyDescent="0.25">
      <c r="S281" s="1"/>
      <c r="V281" s="141"/>
      <c r="W281" s="141"/>
      <c r="AF281" s="1"/>
      <c r="AN281" s="1"/>
      <c r="AV281" s="1"/>
    </row>
    <row r="282" spans="19:48" s="21" customFormat="1" ht="22.5" customHeight="1" x14ac:dyDescent="0.25">
      <c r="S282" s="1"/>
      <c r="V282" s="141"/>
      <c r="W282" s="141"/>
      <c r="AF282" s="1"/>
      <c r="AN282" s="1"/>
      <c r="AV282" s="1"/>
    </row>
    <row r="283" spans="19:48" s="21" customFormat="1" ht="22.5" customHeight="1" x14ac:dyDescent="0.25">
      <c r="S283" s="1"/>
      <c r="V283" s="141"/>
      <c r="W283" s="141"/>
      <c r="AF283" s="1"/>
      <c r="AN283" s="1"/>
      <c r="AV283" s="1"/>
    </row>
    <row r="284" spans="19:48" s="21" customFormat="1" ht="22.5" customHeight="1" x14ac:dyDescent="0.25">
      <c r="S284" s="1"/>
      <c r="V284" s="141"/>
      <c r="W284" s="141"/>
      <c r="AF284" s="1"/>
      <c r="AN284" s="1"/>
      <c r="AV284" s="1"/>
    </row>
    <row r="285" spans="19:48" s="21" customFormat="1" ht="22.5" customHeight="1" x14ac:dyDescent="0.25">
      <c r="S285" s="1"/>
      <c r="V285" s="141"/>
      <c r="W285" s="141"/>
      <c r="AF285" s="1"/>
      <c r="AN285" s="1"/>
      <c r="AV285" s="1"/>
    </row>
    <row r="286" spans="19:48" s="21" customFormat="1" ht="22.5" customHeight="1" x14ac:dyDescent="0.25">
      <c r="S286" s="1"/>
      <c r="V286" s="141"/>
      <c r="W286" s="141"/>
      <c r="AF286" s="1"/>
      <c r="AN286" s="1"/>
      <c r="AV286" s="1"/>
    </row>
    <row r="287" spans="19:48" s="21" customFormat="1" ht="22.5" customHeight="1" x14ac:dyDescent="0.25">
      <c r="S287" s="1"/>
      <c r="V287" s="141"/>
      <c r="W287" s="141"/>
      <c r="AF287" s="1"/>
      <c r="AN287" s="1"/>
      <c r="AV287" s="1"/>
    </row>
    <row r="288" spans="19:48" s="21" customFormat="1" ht="22.5" customHeight="1" x14ac:dyDescent="0.25">
      <c r="S288" s="1"/>
      <c r="V288" s="141"/>
      <c r="W288" s="141"/>
      <c r="AF288" s="1"/>
      <c r="AN288" s="1"/>
      <c r="AV288" s="1"/>
    </row>
    <row r="289" spans="19:48" s="21" customFormat="1" ht="22.5" customHeight="1" x14ac:dyDescent="0.25">
      <c r="S289" s="1"/>
      <c r="V289" s="141"/>
      <c r="W289" s="141"/>
      <c r="AF289" s="1"/>
      <c r="AN289" s="1"/>
      <c r="AV289" s="1"/>
    </row>
    <row r="290" spans="19:48" s="21" customFormat="1" ht="22.5" customHeight="1" x14ac:dyDescent="0.25">
      <c r="S290" s="1"/>
      <c r="V290" s="141"/>
      <c r="W290" s="141"/>
      <c r="AF290" s="1"/>
      <c r="AN290" s="1"/>
      <c r="AV290" s="1"/>
    </row>
    <row r="291" spans="19:48" s="21" customFormat="1" ht="22.5" customHeight="1" x14ac:dyDescent="0.25">
      <c r="S291" s="1"/>
      <c r="V291" s="141"/>
      <c r="W291" s="141"/>
      <c r="AF291" s="1"/>
      <c r="AN291" s="1"/>
      <c r="AV291" s="1"/>
    </row>
    <row r="292" spans="19:48" s="21" customFormat="1" ht="22.5" customHeight="1" x14ac:dyDescent="0.25">
      <c r="S292" s="1"/>
      <c r="V292" s="141"/>
      <c r="W292" s="141"/>
      <c r="AF292" s="1"/>
      <c r="AN292" s="1"/>
      <c r="AV292" s="1"/>
    </row>
    <row r="293" spans="19:48" s="21" customFormat="1" ht="22.5" customHeight="1" x14ac:dyDescent="0.25">
      <c r="S293" s="1"/>
      <c r="V293" s="141"/>
      <c r="W293" s="141"/>
      <c r="AF293" s="1"/>
      <c r="AN293" s="1"/>
      <c r="AV293" s="1"/>
    </row>
    <row r="294" spans="19:48" s="21" customFormat="1" ht="22.5" customHeight="1" x14ac:dyDescent="0.25">
      <c r="S294" s="1"/>
      <c r="V294" s="141"/>
      <c r="W294" s="141"/>
      <c r="AF294" s="1"/>
      <c r="AN294" s="1"/>
      <c r="AV294" s="1"/>
    </row>
    <row r="295" spans="19:48" s="21" customFormat="1" ht="22.5" customHeight="1" x14ac:dyDescent="0.25">
      <c r="S295" s="1"/>
      <c r="V295" s="141"/>
      <c r="W295" s="141"/>
      <c r="AF295" s="1"/>
      <c r="AN295" s="1"/>
      <c r="AV295" s="1"/>
    </row>
    <row r="296" spans="19:48" s="21" customFormat="1" ht="22.5" customHeight="1" x14ac:dyDescent="0.25">
      <c r="S296" s="1"/>
      <c r="V296" s="141"/>
      <c r="W296" s="141"/>
      <c r="AF296" s="1"/>
      <c r="AN296" s="1"/>
      <c r="AV296" s="1"/>
    </row>
    <row r="297" spans="19:48" s="21" customFormat="1" ht="22.5" customHeight="1" x14ac:dyDescent="0.25">
      <c r="S297" s="1"/>
      <c r="V297" s="141"/>
      <c r="W297" s="141"/>
      <c r="AF297" s="1"/>
      <c r="AN297" s="1"/>
      <c r="AV297" s="1"/>
    </row>
    <row r="298" spans="19:48" s="21" customFormat="1" ht="22.5" customHeight="1" x14ac:dyDescent="0.25">
      <c r="S298" s="1"/>
      <c r="V298" s="141"/>
      <c r="W298" s="141"/>
      <c r="AF298" s="1"/>
      <c r="AN298" s="1"/>
      <c r="AV298" s="1"/>
    </row>
    <row r="299" spans="19:48" s="21" customFormat="1" ht="22.5" customHeight="1" x14ac:dyDescent="0.25">
      <c r="S299" s="1"/>
      <c r="V299" s="141"/>
      <c r="W299" s="141"/>
      <c r="AF299" s="1"/>
      <c r="AN299" s="1"/>
      <c r="AV299" s="1"/>
    </row>
    <row r="300" spans="19:48" s="21" customFormat="1" ht="22.5" customHeight="1" x14ac:dyDescent="0.25">
      <c r="S300" s="1"/>
      <c r="V300" s="141"/>
      <c r="W300" s="141"/>
      <c r="AF300" s="1"/>
      <c r="AN300" s="1"/>
      <c r="AV300" s="1"/>
    </row>
    <row r="301" spans="19:48" s="21" customFormat="1" ht="22.5" customHeight="1" x14ac:dyDescent="0.25">
      <c r="S301" s="1"/>
      <c r="V301" s="141"/>
      <c r="W301" s="141"/>
      <c r="AF301" s="1"/>
      <c r="AN301" s="1"/>
      <c r="AV301" s="1"/>
    </row>
    <row r="302" spans="19:48" s="21" customFormat="1" ht="22.5" customHeight="1" x14ac:dyDescent="0.25">
      <c r="S302" s="1"/>
      <c r="V302" s="141"/>
      <c r="W302" s="141"/>
      <c r="AF302" s="1"/>
      <c r="AN302" s="1"/>
      <c r="AV302" s="1"/>
    </row>
    <row r="303" spans="19:48" s="21" customFormat="1" ht="22.5" customHeight="1" x14ac:dyDescent="0.25">
      <c r="S303" s="1"/>
      <c r="V303" s="141"/>
      <c r="W303" s="141"/>
      <c r="AF303" s="1"/>
      <c r="AN303" s="1"/>
      <c r="AV303" s="1"/>
    </row>
    <row r="304" spans="19:48" s="21" customFormat="1" ht="22.5" customHeight="1" x14ac:dyDescent="0.25">
      <c r="S304" s="1"/>
      <c r="V304" s="141"/>
      <c r="W304" s="141"/>
      <c r="AF304" s="1"/>
      <c r="AN304" s="1"/>
      <c r="AV304" s="1"/>
    </row>
    <row r="305" spans="19:48" s="21" customFormat="1" ht="22.5" customHeight="1" x14ac:dyDescent="0.25">
      <c r="S305" s="1"/>
      <c r="V305" s="141"/>
      <c r="W305" s="141"/>
      <c r="AF305" s="1"/>
      <c r="AN305" s="1"/>
      <c r="AV305" s="1"/>
    </row>
    <row r="306" spans="19:48" s="21" customFormat="1" ht="22.5" customHeight="1" x14ac:dyDescent="0.25">
      <c r="S306" s="1"/>
      <c r="V306" s="141"/>
      <c r="W306" s="141"/>
      <c r="AF306" s="1"/>
      <c r="AN306" s="1"/>
      <c r="AV306" s="1"/>
    </row>
    <row r="307" spans="19:48" s="21" customFormat="1" ht="22.5" customHeight="1" x14ac:dyDescent="0.25">
      <c r="S307" s="1"/>
      <c r="V307" s="141"/>
      <c r="W307" s="141"/>
      <c r="AF307" s="1"/>
      <c r="AN307" s="1"/>
      <c r="AV307" s="1"/>
    </row>
    <row r="308" spans="19:48" s="21" customFormat="1" ht="22.5" customHeight="1" x14ac:dyDescent="0.25">
      <c r="S308" s="1"/>
      <c r="V308" s="141"/>
      <c r="W308" s="141"/>
      <c r="AF308" s="1"/>
      <c r="AN308" s="1"/>
      <c r="AV308" s="1"/>
    </row>
    <row r="309" spans="19:48" s="21" customFormat="1" ht="22.5" customHeight="1" x14ac:dyDescent="0.25">
      <c r="S309" s="1"/>
      <c r="V309" s="141"/>
      <c r="W309" s="141"/>
      <c r="AF309" s="1"/>
      <c r="AN309" s="1"/>
      <c r="AV309" s="1"/>
    </row>
    <row r="310" spans="19:48" s="21" customFormat="1" ht="22.5" customHeight="1" x14ac:dyDescent="0.25">
      <c r="S310" s="1"/>
      <c r="V310" s="141"/>
      <c r="W310" s="141"/>
      <c r="AF310" s="1"/>
      <c r="AN310" s="1"/>
      <c r="AV310" s="1"/>
    </row>
    <row r="311" spans="19:48" s="21" customFormat="1" ht="22.5" customHeight="1" x14ac:dyDescent="0.25">
      <c r="S311" s="1"/>
      <c r="V311" s="141"/>
      <c r="W311" s="141"/>
      <c r="AF311" s="1"/>
      <c r="AN311" s="1"/>
      <c r="AV311" s="1"/>
    </row>
    <row r="312" spans="19:48" s="21" customFormat="1" ht="22.5" customHeight="1" x14ac:dyDescent="0.25">
      <c r="S312" s="1"/>
      <c r="V312" s="141"/>
      <c r="W312" s="141"/>
      <c r="AF312" s="1"/>
      <c r="AN312" s="1"/>
      <c r="AV312" s="1"/>
    </row>
    <row r="313" spans="19:48" s="21" customFormat="1" ht="22.5" customHeight="1" x14ac:dyDescent="0.25">
      <c r="S313" s="1"/>
      <c r="V313" s="141"/>
      <c r="W313" s="141"/>
      <c r="AF313" s="1"/>
      <c r="AN313" s="1"/>
      <c r="AV313" s="1"/>
    </row>
    <row r="314" spans="19:48" s="21" customFormat="1" ht="22.5" customHeight="1" x14ac:dyDescent="0.25">
      <c r="S314" s="1"/>
      <c r="V314" s="141"/>
      <c r="W314" s="141"/>
      <c r="AF314" s="1"/>
      <c r="AN314" s="1"/>
      <c r="AV314" s="1"/>
    </row>
    <row r="315" spans="19:48" s="21" customFormat="1" ht="22.5" customHeight="1" x14ac:dyDescent="0.25">
      <c r="S315" s="1"/>
      <c r="V315" s="141"/>
      <c r="W315" s="141"/>
      <c r="AF315" s="1"/>
      <c r="AN315" s="1"/>
      <c r="AV315" s="1"/>
    </row>
    <row r="316" spans="19:48" s="21" customFormat="1" ht="22.5" customHeight="1" x14ac:dyDescent="0.25">
      <c r="S316" s="1"/>
      <c r="V316" s="141"/>
      <c r="W316" s="141"/>
      <c r="AF316" s="1"/>
      <c r="AN316" s="1"/>
      <c r="AV316" s="1"/>
    </row>
    <row r="317" spans="19:48" s="21" customFormat="1" ht="22.5" customHeight="1" x14ac:dyDescent="0.25">
      <c r="S317" s="1"/>
      <c r="V317" s="141"/>
      <c r="W317" s="141"/>
      <c r="AF317" s="1"/>
      <c r="AN317" s="1"/>
      <c r="AV317" s="1"/>
    </row>
    <row r="318" spans="19:48" s="21" customFormat="1" ht="22.5" customHeight="1" x14ac:dyDescent="0.25">
      <c r="S318" s="1"/>
      <c r="V318" s="141"/>
      <c r="W318" s="141"/>
      <c r="AF318" s="1"/>
      <c r="AN318" s="1"/>
      <c r="AV318" s="1"/>
    </row>
    <row r="319" spans="19:48" s="21" customFormat="1" ht="22.5" customHeight="1" x14ac:dyDescent="0.25">
      <c r="S319" s="1"/>
      <c r="V319" s="141"/>
      <c r="W319" s="141"/>
      <c r="AF319" s="1"/>
      <c r="AN319" s="1"/>
      <c r="AV319" s="1"/>
    </row>
    <row r="320" spans="19:48" s="21" customFormat="1" ht="22.5" customHeight="1" x14ac:dyDescent="0.25">
      <c r="S320" s="1"/>
      <c r="V320" s="141"/>
      <c r="W320" s="141"/>
      <c r="AF320" s="1"/>
      <c r="AN320" s="1"/>
      <c r="AV320" s="1"/>
    </row>
    <row r="321" spans="19:48" s="21" customFormat="1" ht="22.5" customHeight="1" x14ac:dyDescent="0.25">
      <c r="S321" s="1"/>
      <c r="V321" s="141"/>
      <c r="W321" s="141"/>
      <c r="AF321" s="1"/>
      <c r="AN321" s="1"/>
      <c r="AV321" s="1"/>
    </row>
    <row r="322" spans="19:48" s="21" customFormat="1" ht="22.5" customHeight="1" x14ac:dyDescent="0.25">
      <c r="S322" s="1"/>
      <c r="V322" s="141"/>
      <c r="W322" s="141"/>
      <c r="AF322" s="1"/>
      <c r="AN322" s="1"/>
      <c r="AV322" s="1"/>
    </row>
    <row r="323" spans="19:48" s="21" customFormat="1" ht="22.5" customHeight="1" x14ac:dyDescent="0.25">
      <c r="S323" s="1"/>
      <c r="V323" s="141"/>
      <c r="W323" s="141"/>
      <c r="AF323" s="1"/>
      <c r="AN323" s="1"/>
      <c r="AV323" s="1"/>
    </row>
    <row r="324" spans="19:48" s="21" customFormat="1" ht="22.5" customHeight="1" x14ac:dyDescent="0.25">
      <c r="S324" s="1"/>
      <c r="V324" s="141"/>
      <c r="W324" s="141"/>
      <c r="AF324" s="1"/>
      <c r="AN324" s="1"/>
      <c r="AV324" s="1"/>
    </row>
    <row r="325" spans="19:48" s="21" customFormat="1" ht="22.5" customHeight="1" x14ac:dyDescent="0.25">
      <c r="S325" s="1"/>
      <c r="V325" s="141"/>
      <c r="W325" s="141"/>
      <c r="AF325" s="1"/>
      <c r="AN325" s="1"/>
      <c r="AV325" s="1"/>
    </row>
    <row r="326" spans="19:48" s="21" customFormat="1" ht="22.5" customHeight="1" x14ac:dyDescent="0.25">
      <c r="S326" s="1"/>
      <c r="V326" s="141"/>
      <c r="W326" s="141"/>
      <c r="AF326" s="1"/>
      <c r="AN326" s="1"/>
      <c r="AV326" s="1"/>
    </row>
    <row r="327" spans="19:48" s="21" customFormat="1" ht="22.5" customHeight="1" x14ac:dyDescent="0.25">
      <c r="S327" s="1"/>
      <c r="V327" s="141"/>
      <c r="W327" s="141"/>
      <c r="AF327" s="1"/>
      <c r="AN327" s="1"/>
      <c r="AV327" s="1"/>
    </row>
    <row r="328" spans="19:48" s="21" customFormat="1" ht="22.5" customHeight="1" x14ac:dyDescent="0.25">
      <c r="S328" s="1"/>
      <c r="V328" s="141"/>
      <c r="W328" s="141"/>
      <c r="AF328" s="1"/>
      <c r="AN328" s="1"/>
      <c r="AV328" s="1"/>
    </row>
    <row r="329" spans="19:48" s="21" customFormat="1" ht="22.5" customHeight="1" x14ac:dyDescent="0.25">
      <c r="S329" s="1"/>
      <c r="V329" s="141"/>
      <c r="W329" s="141"/>
      <c r="AF329" s="1"/>
      <c r="AN329" s="1"/>
      <c r="AV329" s="1"/>
    </row>
    <row r="330" spans="19:48" s="21" customFormat="1" ht="22.5" customHeight="1" x14ac:dyDescent="0.25">
      <c r="S330" s="1"/>
      <c r="V330" s="141"/>
      <c r="W330" s="141"/>
      <c r="AF330" s="1"/>
      <c r="AN330" s="1"/>
      <c r="AV330" s="1"/>
    </row>
    <row r="331" spans="19:48" s="21" customFormat="1" ht="22.5" customHeight="1" x14ac:dyDescent="0.25">
      <c r="S331" s="1"/>
      <c r="V331" s="141"/>
      <c r="W331" s="141"/>
      <c r="AF331" s="1"/>
      <c r="AN331" s="1"/>
      <c r="AV331" s="1"/>
    </row>
    <row r="332" spans="19:48" s="21" customFormat="1" ht="22.5" customHeight="1" x14ac:dyDescent="0.25">
      <c r="S332" s="1"/>
      <c r="V332" s="141"/>
      <c r="W332" s="141"/>
      <c r="AF332" s="1"/>
      <c r="AN332" s="1"/>
      <c r="AV332" s="1"/>
    </row>
    <row r="333" spans="19:48" s="21" customFormat="1" ht="22.5" customHeight="1" x14ac:dyDescent="0.25">
      <c r="S333" s="1"/>
      <c r="V333" s="141"/>
      <c r="W333" s="141"/>
      <c r="AF333" s="1"/>
      <c r="AN333" s="1"/>
      <c r="AV333" s="1"/>
    </row>
    <row r="334" spans="19:48" s="21" customFormat="1" ht="22.5" customHeight="1" x14ac:dyDescent="0.25">
      <c r="S334" s="1"/>
      <c r="V334" s="141"/>
      <c r="W334" s="141"/>
      <c r="AF334" s="1"/>
      <c r="AN334" s="1"/>
      <c r="AV334" s="1"/>
    </row>
    <row r="335" spans="19:48" s="21" customFormat="1" ht="22.5" customHeight="1" x14ac:dyDescent="0.25">
      <c r="S335" s="1"/>
      <c r="V335" s="141"/>
      <c r="W335" s="141"/>
      <c r="AF335" s="1"/>
      <c r="AN335" s="1"/>
      <c r="AV335" s="1"/>
    </row>
    <row r="336" spans="19:48" s="21" customFormat="1" ht="22.5" customHeight="1" x14ac:dyDescent="0.25">
      <c r="S336" s="1"/>
      <c r="V336" s="141"/>
      <c r="W336" s="141"/>
      <c r="AF336" s="1"/>
      <c r="AN336" s="1"/>
      <c r="AV336" s="1"/>
    </row>
    <row r="337" spans="19:48" s="21" customFormat="1" ht="22.5" customHeight="1" x14ac:dyDescent="0.25">
      <c r="S337" s="1"/>
      <c r="V337" s="141"/>
      <c r="W337" s="141"/>
      <c r="AF337" s="1"/>
      <c r="AN337" s="1"/>
      <c r="AV337" s="1"/>
    </row>
    <row r="338" spans="19:48" s="21" customFormat="1" ht="22.5" customHeight="1" x14ac:dyDescent="0.25">
      <c r="S338" s="1"/>
      <c r="V338" s="141"/>
      <c r="W338" s="141"/>
      <c r="AF338" s="1"/>
      <c r="AN338" s="1"/>
      <c r="AV338" s="1"/>
    </row>
    <row r="339" spans="19:48" s="21" customFormat="1" ht="22.5" customHeight="1" x14ac:dyDescent="0.25">
      <c r="S339" s="1"/>
      <c r="V339" s="141"/>
      <c r="W339" s="141"/>
      <c r="AF339" s="1"/>
      <c r="AN339" s="1"/>
      <c r="AV339" s="1"/>
    </row>
    <row r="340" spans="19:48" s="21" customFormat="1" ht="22.5" customHeight="1" x14ac:dyDescent="0.25">
      <c r="S340" s="1"/>
      <c r="V340" s="141"/>
      <c r="W340" s="141"/>
      <c r="AF340" s="1"/>
      <c r="AN340" s="1"/>
      <c r="AV340" s="1"/>
    </row>
    <row r="341" spans="19:48" s="21" customFormat="1" ht="22.5" customHeight="1" x14ac:dyDescent="0.25">
      <c r="S341" s="1"/>
      <c r="V341" s="141"/>
      <c r="W341" s="141"/>
      <c r="AF341" s="1"/>
      <c r="AN341" s="1"/>
      <c r="AV341" s="1"/>
    </row>
    <row r="342" spans="19:48" s="21" customFormat="1" ht="22.5" customHeight="1" x14ac:dyDescent="0.25">
      <c r="S342" s="1"/>
      <c r="V342" s="141"/>
      <c r="W342" s="141"/>
      <c r="AF342" s="1"/>
      <c r="AN342" s="1"/>
      <c r="AV342" s="1"/>
    </row>
    <row r="343" spans="19:48" s="21" customFormat="1" ht="22.5" customHeight="1" x14ac:dyDescent="0.25">
      <c r="S343" s="1"/>
      <c r="V343" s="141"/>
      <c r="W343" s="141"/>
      <c r="AF343" s="1"/>
      <c r="AN343" s="1"/>
      <c r="AV343" s="1"/>
    </row>
    <row r="344" spans="19:48" s="21" customFormat="1" ht="22.5" customHeight="1" x14ac:dyDescent="0.25">
      <c r="S344" s="1"/>
      <c r="V344" s="141"/>
      <c r="W344" s="141"/>
      <c r="AF344" s="1"/>
      <c r="AN344" s="1"/>
      <c r="AV344" s="1"/>
    </row>
    <row r="345" spans="19:48" s="21" customFormat="1" ht="22.5" customHeight="1" x14ac:dyDescent="0.25">
      <c r="S345" s="1"/>
      <c r="V345" s="141"/>
      <c r="W345" s="141"/>
      <c r="AF345" s="1"/>
      <c r="AN345" s="1"/>
      <c r="AV345" s="1"/>
    </row>
    <row r="346" spans="19:48" s="21" customFormat="1" ht="22.5" customHeight="1" x14ac:dyDescent="0.25">
      <c r="S346" s="1"/>
      <c r="V346" s="141"/>
      <c r="W346" s="141"/>
      <c r="AF346" s="1"/>
      <c r="AN346" s="1"/>
      <c r="AV346" s="1"/>
    </row>
    <row r="347" spans="19:48" s="21" customFormat="1" ht="22.5" customHeight="1" x14ac:dyDescent="0.25">
      <c r="S347" s="1"/>
      <c r="V347" s="141"/>
      <c r="W347" s="141"/>
      <c r="AF347" s="1"/>
      <c r="AN347" s="1"/>
      <c r="AV347" s="1"/>
    </row>
    <row r="348" spans="19:48" s="21" customFormat="1" ht="22.5" customHeight="1" x14ac:dyDescent="0.25">
      <c r="S348" s="1"/>
      <c r="V348" s="141"/>
      <c r="W348" s="141"/>
      <c r="AF348" s="1"/>
      <c r="AN348" s="1"/>
      <c r="AV348" s="1"/>
    </row>
    <row r="349" spans="19:48" s="21" customFormat="1" ht="22.5" customHeight="1" x14ac:dyDescent="0.25">
      <c r="S349" s="1"/>
      <c r="V349" s="141"/>
      <c r="W349" s="141"/>
      <c r="AF349" s="1"/>
      <c r="AN349" s="1"/>
      <c r="AV349" s="1"/>
    </row>
    <row r="350" spans="19:48" s="21" customFormat="1" ht="22.5" customHeight="1" x14ac:dyDescent="0.25">
      <c r="S350" s="1"/>
      <c r="V350" s="141"/>
      <c r="W350" s="141"/>
      <c r="AF350" s="1"/>
      <c r="AN350" s="1"/>
      <c r="AV350" s="1"/>
    </row>
    <row r="351" spans="19:48" s="21" customFormat="1" ht="22.5" customHeight="1" x14ac:dyDescent="0.25">
      <c r="S351" s="1"/>
      <c r="V351" s="141"/>
      <c r="W351" s="141"/>
      <c r="AF351" s="1"/>
      <c r="AN351" s="1"/>
      <c r="AV351" s="1"/>
    </row>
    <row r="352" spans="19:48" s="21" customFormat="1" ht="22.5" customHeight="1" x14ac:dyDescent="0.25">
      <c r="S352" s="1"/>
      <c r="V352" s="141"/>
      <c r="W352" s="141"/>
      <c r="AF352" s="1"/>
      <c r="AN352" s="1"/>
      <c r="AV352" s="1"/>
    </row>
    <row r="353" spans="19:48" s="21" customFormat="1" ht="22.5" customHeight="1" x14ac:dyDescent="0.25">
      <c r="S353" s="1"/>
      <c r="V353" s="141"/>
      <c r="W353" s="141"/>
      <c r="AF353" s="1"/>
      <c r="AN353" s="1"/>
      <c r="AV353" s="1"/>
    </row>
    <row r="354" spans="19:48" s="21" customFormat="1" ht="22.5" customHeight="1" x14ac:dyDescent="0.25">
      <c r="S354" s="1"/>
      <c r="V354" s="141"/>
      <c r="W354" s="141"/>
      <c r="AF354" s="1"/>
      <c r="AN354" s="1"/>
      <c r="AV354" s="1"/>
    </row>
    <row r="355" spans="19:48" s="21" customFormat="1" ht="22.5" customHeight="1" x14ac:dyDescent="0.25">
      <c r="S355" s="1"/>
      <c r="V355" s="141"/>
      <c r="W355" s="141"/>
      <c r="AF355" s="1"/>
      <c r="AN355" s="1"/>
      <c r="AV355" s="1"/>
    </row>
    <row r="356" spans="19:48" s="21" customFormat="1" ht="22.5" customHeight="1" x14ac:dyDescent="0.25">
      <c r="S356" s="1"/>
      <c r="V356" s="141"/>
      <c r="W356" s="141"/>
      <c r="AF356" s="1"/>
      <c r="AN356" s="1"/>
      <c r="AV356" s="1"/>
    </row>
    <row r="357" spans="19:48" s="21" customFormat="1" ht="22.5" customHeight="1" x14ac:dyDescent="0.25">
      <c r="S357" s="1"/>
      <c r="V357" s="141"/>
      <c r="W357" s="141"/>
      <c r="AF357" s="1"/>
      <c r="AN357" s="1"/>
      <c r="AV357" s="1"/>
    </row>
    <row r="358" spans="19:48" s="21" customFormat="1" ht="22.5" customHeight="1" x14ac:dyDescent="0.25">
      <c r="S358" s="1"/>
      <c r="V358" s="141"/>
      <c r="W358" s="141"/>
      <c r="AF358" s="1"/>
      <c r="AN358" s="1"/>
      <c r="AV358" s="1"/>
    </row>
    <row r="359" spans="19:48" s="21" customFormat="1" ht="22.5" customHeight="1" x14ac:dyDescent="0.25">
      <c r="S359" s="1"/>
      <c r="V359" s="141"/>
      <c r="W359" s="141"/>
      <c r="AF359" s="1"/>
      <c r="AN359" s="1"/>
      <c r="AV359" s="1"/>
    </row>
    <row r="360" spans="19:48" s="21" customFormat="1" ht="22.5" customHeight="1" x14ac:dyDescent="0.25">
      <c r="S360" s="1"/>
      <c r="V360" s="141"/>
      <c r="W360" s="141"/>
      <c r="AF360" s="1"/>
      <c r="AN360" s="1"/>
      <c r="AV360" s="1"/>
    </row>
    <row r="361" spans="19:48" s="21" customFormat="1" ht="22.5" customHeight="1" x14ac:dyDescent="0.25">
      <c r="S361" s="1"/>
      <c r="V361" s="141"/>
      <c r="W361" s="141"/>
      <c r="AF361" s="1"/>
      <c r="AN361" s="1"/>
      <c r="AV361" s="1"/>
    </row>
    <row r="362" spans="19:48" s="21" customFormat="1" ht="22.5" customHeight="1" x14ac:dyDescent="0.25">
      <c r="S362" s="1"/>
      <c r="V362" s="141"/>
      <c r="W362" s="141"/>
      <c r="AF362" s="1"/>
      <c r="AN362" s="1"/>
      <c r="AV362" s="1"/>
    </row>
    <row r="363" spans="19:48" s="21" customFormat="1" ht="22.5" customHeight="1" x14ac:dyDescent="0.25">
      <c r="S363" s="1"/>
      <c r="V363" s="141"/>
      <c r="W363" s="141"/>
      <c r="AF363" s="1"/>
      <c r="AN363" s="1"/>
      <c r="AV363" s="1"/>
    </row>
    <row r="364" spans="19:48" s="21" customFormat="1" ht="22.5" customHeight="1" x14ac:dyDescent="0.25">
      <c r="S364" s="1"/>
      <c r="V364" s="141"/>
      <c r="W364" s="141"/>
      <c r="AF364" s="1"/>
      <c r="AN364" s="1"/>
      <c r="AV364" s="1"/>
    </row>
    <row r="365" spans="19:48" s="21" customFormat="1" ht="22.5" customHeight="1" x14ac:dyDescent="0.25">
      <c r="S365" s="1"/>
      <c r="V365" s="141"/>
      <c r="W365" s="141"/>
      <c r="AF365" s="1"/>
      <c r="AN365" s="1"/>
      <c r="AV365" s="1"/>
    </row>
    <row r="366" spans="19:48" s="21" customFormat="1" ht="22.5" customHeight="1" x14ac:dyDescent="0.25">
      <c r="S366" s="1"/>
      <c r="V366" s="141"/>
      <c r="W366" s="141"/>
      <c r="AF366" s="1"/>
      <c r="AN366" s="1"/>
      <c r="AV366" s="1"/>
    </row>
    <row r="367" spans="19:48" s="21" customFormat="1" ht="22.5" customHeight="1" x14ac:dyDescent="0.25">
      <c r="S367" s="1"/>
      <c r="V367" s="141"/>
      <c r="W367" s="141"/>
      <c r="AF367" s="1"/>
      <c r="AN367" s="1"/>
      <c r="AV367" s="1"/>
    </row>
    <row r="368" spans="19:48" s="21" customFormat="1" ht="22.5" customHeight="1" x14ac:dyDescent="0.25">
      <c r="S368" s="1"/>
      <c r="V368" s="141"/>
      <c r="W368" s="141"/>
      <c r="AF368" s="1"/>
      <c r="AN368" s="1"/>
      <c r="AV368" s="1"/>
    </row>
    <row r="369" spans="19:48" s="21" customFormat="1" ht="22.5" customHeight="1" x14ac:dyDescent="0.25">
      <c r="S369" s="1"/>
      <c r="V369" s="141"/>
      <c r="W369" s="141"/>
      <c r="AF369" s="1"/>
      <c r="AN369" s="1"/>
      <c r="AV369" s="1"/>
    </row>
    <row r="370" spans="19:48" s="21" customFormat="1" ht="22.5" customHeight="1" x14ac:dyDescent="0.25">
      <c r="S370" s="1"/>
      <c r="V370" s="141"/>
      <c r="W370" s="141"/>
      <c r="AF370" s="1"/>
      <c r="AN370" s="1"/>
      <c r="AV370" s="1"/>
    </row>
    <row r="371" spans="19:48" s="21" customFormat="1" ht="22.5" customHeight="1" x14ac:dyDescent="0.25">
      <c r="S371" s="1"/>
      <c r="V371" s="141"/>
      <c r="W371" s="141"/>
      <c r="AF371" s="1"/>
      <c r="AN371" s="1"/>
      <c r="AV371" s="1"/>
    </row>
    <row r="372" spans="19:48" s="21" customFormat="1" ht="22.5" customHeight="1" x14ac:dyDescent="0.25">
      <c r="S372" s="1"/>
      <c r="V372" s="141"/>
      <c r="W372" s="141"/>
      <c r="AF372" s="1"/>
      <c r="AN372" s="1"/>
      <c r="AV372" s="1"/>
    </row>
    <row r="373" spans="19:48" s="21" customFormat="1" ht="22.5" customHeight="1" x14ac:dyDescent="0.25">
      <c r="S373" s="1"/>
      <c r="V373" s="141"/>
      <c r="W373" s="141"/>
      <c r="AF373" s="1"/>
      <c r="AN373" s="1"/>
      <c r="AV373" s="1"/>
    </row>
    <row r="374" spans="19:48" s="21" customFormat="1" ht="22.5" customHeight="1" x14ac:dyDescent="0.25">
      <c r="S374" s="1"/>
      <c r="V374" s="141"/>
      <c r="W374" s="141"/>
      <c r="AF374" s="1"/>
      <c r="AN374" s="1"/>
      <c r="AV374" s="1"/>
    </row>
    <row r="375" spans="19:48" s="21" customFormat="1" ht="22.5" customHeight="1" x14ac:dyDescent="0.25">
      <c r="S375" s="1"/>
      <c r="V375" s="141"/>
      <c r="W375" s="141"/>
      <c r="AF375" s="1"/>
      <c r="AN375" s="1"/>
      <c r="AV375" s="1"/>
    </row>
    <row r="376" spans="19:48" s="21" customFormat="1" ht="22.5" customHeight="1" x14ac:dyDescent="0.25">
      <c r="S376" s="1"/>
      <c r="V376" s="141"/>
      <c r="W376" s="141"/>
      <c r="AF376" s="1"/>
      <c r="AN376" s="1"/>
      <c r="AV376" s="1"/>
    </row>
    <row r="377" spans="19:48" s="21" customFormat="1" ht="22.5" customHeight="1" x14ac:dyDescent="0.25">
      <c r="S377" s="1"/>
      <c r="V377" s="141"/>
      <c r="W377" s="141"/>
      <c r="AF377" s="1"/>
      <c r="AN377" s="1"/>
      <c r="AV377" s="1"/>
    </row>
    <row r="378" spans="19:48" s="21" customFormat="1" ht="22.5" customHeight="1" x14ac:dyDescent="0.25">
      <c r="S378" s="1"/>
      <c r="V378" s="141"/>
      <c r="W378" s="141"/>
      <c r="AF378" s="1"/>
      <c r="AN378" s="1"/>
      <c r="AV378" s="1"/>
    </row>
    <row r="379" spans="19:48" s="21" customFormat="1" ht="22.5" customHeight="1" x14ac:dyDescent="0.25">
      <c r="S379" s="1"/>
      <c r="V379" s="141"/>
      <c r="W379" s="141"/>
      <c r="AF379" s="1"/>
      <c r="AN379" s="1"/>
      <c r="AV379" s="1"/>
    </row>
    <row r="380" spans="19:48" s="21" customFormat="1" ht="22.5" customHeight="1" x14ac:dyDescent="0.25">
      <c r="S380" s="1"/>
      <c r="V380" s="141"/>
      <c r="W380" s="141"/>
      <c r="AF380" s="1"/>
      <c r="AN380" s="1"/>
      <c r="AV380" s="1"/>
    </row>
    <row r="381" spans="19:48" s="21" customFormat="1" ht="22.5" customHeight="1" x14ac:dyDescent="0.25">
      <c r="S381" s="1"/>
      <c r="V381" s="141"/>
      <c r="W381" s="141"/>
      <c r="AF381" s="1"/>
      <c r="AN381" s="1"/>
      <c r="AV381" s="1"/>
    </row>
    <row r="382" spans="19:48" s="21" customFormat="1" ht="22.5" customHeight="1" x14ac:dyDescent="0.25">
      <c r="S382" s="1"/>
      <c r="V382" s="141"/>
      <c r="W382" s="141"/>
      <c r="AF382" s="1"/>
      <c r="AN382" s="1"/>
      <c r="AV382" s="1"/>
    </row>
    <row r="383" spans="19:48" s="21" customFormat="1" ht="22.5" customHeight="1" x14ac:dyDescent="0.25">
      <c r="S383" s="1"/>
      <c r="V383" s="141"/>
      <c r="W383" s="141"/>
      <c r="AF383" s="1"/>
      <c r="AN383" s="1"/>
      <c r="AV383" s="1"/>
    </row>
    <row r="384" spans="19:48" s="21" customFormat="1" ht="22.5" customHeight="1" x14ac:dyDescent="0.25">
      <c r="S384" s="1"/>
      <c r="V384" s="141"/>
      <c r="W384" s="141"/>
      <c r="AF384" s="1"/>
      <c r="AN384" s="1"/>
      <c r="AV384" s="1"/>
    </row>
    <row r="385" spans="19:48" s="21" customFormat="1" ht="22.5" customHeight="1" x14ac:dyDescent="0.25">
      <c r="S385" s="1"/>
      <c r="V385" s="141"/>
      <c r="W385" s="141"/>
      <c r="AF385" s="1"/>
      <c r="AN385" s="1"/>
      <c r="AV385" s="1"/>
    </row>
    <row r="386" spans="19:48" s="21" customFormat="1" ht="22.5" customHeight="1" x14ac:dyDescent="0.25">
      <c r="S386" s="1"/>
      <c r="V386" s="141"/>
      <c r="W386" s="141"/>
      <c r="AF386" s="1"/>
      <c r="AN386" s="1"/>
      <c r="AV386" s="1"/>
    </row>
    <row r="387" spans="19:48" s="21" customFormat="1" ht="22.5" customHeight="1" x14ac:dyDescent="0.25">
      <c r="S387" s="1"/>
      <c r="V387" s="141"/>
      <c r="W387" s="141"/>
      <c r="AF387" s="1"/>
      <c r="AN387" s="1"/>
      <c r="AV387" s="1"/>
    </row>
    <row r="388" spans="19:48" s="21" customFormat="1" ht="22.5" customHeight="1" x14ac:dyDescent="0.25">
      <c r="S388" s="1"/>
      <c r="V388" s="141"/>
      <c r="W388" s="141"/>
      <c r="AF388" s="1"/>
      <c r="AN388" s="1"/>
      <c r="AV388" s="1"/>
    </row>
    <row r="389" spans="19:48" s="21" customFormat="1" ht="22.5" customHeight="1" x14ac:dyDescent="0.25">
      <c r="S389" s="1"/>
      <c r="V389" s="141"/>
      <c r="W389" s="141"/>
      <c r="AF389" s="1"/>
      <c r="AN389" s="1"/>
      <c r="AV389" s="1"/>
    </row>
    <row r="390" spans="19:48" s="21" customFormat="1" ht="22.5" customHeight="1" x14ac:dyDescent="0.25">
      <c r="S390" s="1"/>
      <c r="V390" s="141"/>
      <c r="W390" s="141"/>
      <c r="AF390" s="1"/>
      <c r="AN390" s="1"/>
      <c r="AV390" s="1"/>
    </row>
    <row r="391" spans="19:48" s="21" customFormat="1" ht="22.5" customHeight="1" x14ac:dyDescent="0.25">
      <c r="S391" s="1"/>
      <c r="V391" s="141"/>
      <c r="W391" s="141"/>
      <c r="AF391" s="1"/>
      <c r="AN391" s="1"/>
      <c r="AV391" s="1"/>
    </row>
    <row r="392" spans="19:48" s="21" customFormat="1" ht="22.5" customHeight="1" x14ac:dyDescent="0.25">
      <c r="S392" s="1"/>
      <c r="V392" s="141"/>
      <c r="W392" s="141"/>
      <c r="AF392" s="1"/>
      <c r="AN392" s="1"/>
      <c r="AV392" s="1"/>
    </row>
    <row r="393" spans="19:48" s="21" customFormat="1" ht="22.5" customHeight="1" x14ac:dyDescent="0.25">
      <c r="S393" s="1"/>
      <c r="V393" s="141"/>
      <c r="W393" s="141"/>
      <c r="AF393" s="1"/>
      <c r="AN393" s="1"/>
      <c r="AV393" s="1"/>
    </row>
    <row r="394" spans="19:48" s="21" customFormat="1" ht="22.5" customHeight="1" x14ac:dyDescent="0.25">
      <c r="S394" s="1"/>
      <c r="V394" s="141"/>
      <c r="W394" s="141"/>
      <c r="AF394" s="1"/>
      <c r="AN394" s="1"/>
      <c r="AV394" s="1"/>
    </row>
    <row r="395" spans="19:48" s="21" customFormat="1" ht="22.5" customHeight="1" x14ac:dyDescent="0.25">
      <c r="S395" s="1"/>
      <c r="V395" s="141"/>
      <c r="W395" s="141"/>
      <c r="AF395" s="1"/>
      <c r="AN395" s="1"/>
      <c r="AV395" s="1"/>
    </row>
    <row r="396" spans="19:48" s="21" customFormat="1" ht="22.5" customHeight="1" x14ac:dyDescent="0.25">
      <c r="S396" s="1"/>
      <c r="V396" s="141"/>
      <c r="W396" s="141"/>
      <c r="AF396" s="1"/>
      <c r="AN396" s="1"/>
      <c r="AV396" s="1"/>
    </row>
    <row r="397" spans="19:48" s="21" customFormat="1" ht="22.5" customHeight="1" x14ac:dyDescent="0.25">
      <c r="S397" s="1"/>
      <c r="V397" s="141"/>
      <c r="W397" s="141"/>
      <c r="AF397" s="1"/>
      <c r="AN397" s="1"/>
      <c r="AV397" s="1"/>
    </row>
    <row r="398" spans="19:48" s="21" customFormat="1" ht="22.5" customHeight="1" x14ac:dyDescent="0.25">
      <c r="S398" s="1"/>
      <c r="V398" s="141"/>
      <c r="W398" s="141"/>
      <c r="AF398" s="1"/>
      <c r="AN398" s="1"/>
      <c r="AV398" s="1"/>
    </row>
    <row r="399" spans="19:48" s="21" customFormat="1" ht="22.5" customHeight="1" x14ac:dyDescent="0.25">
      <c r="S399" s="1"/>
      <c r="V399" s="141"/>
      <c r="W399" s="141"/>
      <c r="AF399" s="1"/>
      <c r="AN399" s="1"/>
      <c r="AV399" s="1"/>
    </row>
    <row r="400" spans="19:48" s="21" customFormat="1" ht="22.5" customHeight="1" x14ac:dyDescent="0.25">
      <c r="S400" s="1"/>
      <c r="V400" s="141"/>
      <c r="W400" s="141"/>
      <c r="AF400" s="1"/>
      <c r="AN400" s="1"/>
      <c r="AV400" s="1"/>
    </row>
    <row r="401" spans="19:48" s="21" customFormat="1" ht="22.5" customHeight="1" x14ac:dyDescent="0.25">
      <c r="S401" s="1"/>
      <c r="V401" s="141"/>
      <c r="W401" s="141"/>
      <c r="AF401" s="1"/>
      <c r="AN401" s="1"/>
      <c r="AV401" s="1"/>
    </row>
    <row r="402" spans="19:48" s="21" customFormat="1" ht="22.5" customHeight="1" x14ac:dyDescent="0.25">
      <c r="S402" s="1"/>
      <c r="V402" s="141"/>
      <c r="W402" s="141"/>
      <c r="AF402" s="1"/>
      <c r="AN402" s="1"/>
      <c r="AV402" s="1"/>
    </row>
    <row r="403" spans="19:48" s="21" customFormat="1" ht="22.5" customHeight="1" x14ac:dyDescent="0.25">
      <c r="S403" s="1"/>
      <c r="V403" s="141"/>
      <c r="W403" s="141"/>
      <c r="AF403" s="1"/>
      <c r="AN403" s="1"/>
      <c r="AV403" s="1"/>
    </row>
    <row r="404" spans="19:48" s="21" customFormat="1" ht="22.5" customHeight="1" x14ac:dyDescent="0.25">
      <c r="S404" s="1"/>
      <c r="V404" s="141"/>
      <c r="W404" s="141"/>
      <c r="AF404" s="1"/>
      <c r="AN404" s="1"/>
      <c r="AV404" s="1"/>
    </row>
    <row r="405" spans="19:48" s="21" customFormat="1" ht="22.5" customHeight="1" x14ac:dyDescent="0.25">
      <c r="S405" s="1"/>
      <c r="V405" s="141"/>
      <c r="W405" s="141"/>
      <c r="AF405" s="1"/>
      <c r="AN405" s="1"/>
      <c r="AV405" s="1"/>
    </row>
    <row r="406" spans="19:48" s="21" customFormat="1" ht="22.5" customHeight="1" x14ac:dyDescent="0.25">
      <c r="S406" s="1"/>
      <c r="V406" s="141"/>
      <c r="W406" s="141"/>
      <c r="AF406" s="1"/>
      <c r="AN406" s="1"/>
      <c r="AV406" s="1"/>
    </row>
    <row r="407" spans="19:48" s="21" customFormat="1" ht="22.5" customHeight="1" x14ac:dyDescent="0.25">
      <c r="S407" s="1"/>
      <c r="V407" s="141"/>
      <c r="W407" s="141"/>
      <c r="AF407" s="1"/>
      <c r="AN407" s="1"/>
      <c r="AV407" s="1"/>
    </row>
    <row r="408" spans="19:48" s="21" customFormat="1" ht="22.5" customHeight="1" x14ac:dyDescent="0.25">
      <c r="S408" s="1"/>
      <c r="V408" s="141"/>
      <c r="W408" s="141"/>
      <c r="AF408" s="1"/>
      <c r="AN408" s="1"/>
      <c r="AV408" s="1"/>
    </row>
    <row r="409" spans="19:48" s="21" customFormat="1" ht="22.5" customHeight="1" x14ac:dyDescent="0.25">
      <c r="S409" s="1"/>
      <c r="V409" s="141"/>
      <c r="W409" s="141"/>
      <c r="AF409" s="1"/>
      <c r="AN409" s="1"/>
      <c r="AV409" s="1"/>
    </row>
    <row r="410" spans="19:48" s="21" customFormat="1" ht="22.5" customHeight="1" x14ac:dyDescent="0.25">
      <c r="S410" s="1"/>
      <c r="V410" s="141"/>
      <c r="W410" s="141"/>
      <c r="AF410" s="1"/>
      <c r="AN410" s="1"/>
      <c r="AV410" s="1"/>
    </row>
    <row r="411" spans="19:48" s="21" customFormat="1" ht="22.5" customHeight="1" x14ac:dyDescent="0.25">
      <c r="S411" s="1"/>
      <c r="V411" s="141"/>
      <c r="W411" s="141"/>
      <c r="AF411" s="1"/>
      <c r="AN411" s="1"/>
      <c r="AV411" s="1"/>
    </row>
    <row r="412" spans="19:48" s="21" customFormat="1" ht="22.5" customHeight="1" x14ac:dyDescent="0.25">
      <c r="S412" s="1"/>
      <c r="V412" s="141"/>
      <c r="W412" s="141"/>
      <c r="AF412" s="1"/>
      <c r="AN412" s="1"/>
      <c r="AV412" s="1"/>
    </row>
    <row r="413" spans="19:48" s="21" customFormat="1" ht="22.5" customHeight="1" x14ac:dyDescent="0.25">
      <c r="S413" s="1"/>
      <c r="V413" s="141"/>
      <c r="W413" s="141"/>
      <c r="AF413" s="1"/>
      <c r="AN413" s="1"/>
      <c r="AV413" s="1"/>
    </row>
    <row r="414" spans="19:48" s="21" customFormat="1" ht="22.5" customHeight="1" x14ac:dyDescent="0.25">
      <c r="S414" s="1"/>
      <c r="V414" s="141"/>
      <c r="W414" s="141"/>
      <c r="AF414" s="1"/>
      <c r="AN414" s="1"/>
      <c r="AV414" s="1"/>
    </row>
    <row r="415" spans="19:48" s="21" customFormat="1" ht="22.5" customHeight="1" x14ac:dyDescent="0.25">
      <c r="S415" s="1"/>
      <c r="V415" s="141"/>
      <c r="W415" s="141"/>
      <c r="AF415" s="1"/>
      <c r="AN415" s="1"/>
      <c r="AV415" s="1"/>
    </row>
    <row r="416" spans="19:48" s="21" customFormat="1" ht="22.5" customHeight="1" x14ac:dyDescent="0.25">
      <c r="S416" s="1"/>
      <c r="V416" s="141"/>
      <c r="W416" s="141"/>
      <c r="AF416" s="1"/>
      <c r="AN416" s="1"/>
      <c r="AV416" s="1"/>
    </row>
    <row r="417" spans="19:48" s="21" customFormat="1" ht="22.5" customHeight="1" x14ac:dyDescent="0.25">
      <c r="S417" s="1"/>
      <c r="V417" s="141"/>
      <c r="W417" s="141"/>
      <c r="AF417" s="1"/>
      <c r="AN417" s="1"/>
      <c r="AV417" s="1"/>
    </row>
    <row r="418" spans="19:48" s="21" customFormat="1" ht="22.5" customHeight="1" x14ac:dyDescent="0.25">
      <c r="S418" s="1"/>
      <c r="V418" s="141"/>
      <c r="W418" s="141"/>
      <c r="AF418" s="1"/>
      <c r="AN418" s="1"/>
      <c r="AV418" s="1"/>
    </row>
    <row r="419" spans="19:48" s="21" customFormat="1" ht="22.5" customHeight="1" x14ac:dyDescent="0.25">
      <c r="S419" s="1"/>
      <c r="V419" s="141"/>
      <c r="W419" s="141"/>
      <c r="AF419" s="1"/>
      <c r="AN419" s="1"/>
      <c r="AV419" s="1"/>
    </row>
    <row r="420" spans="19:48" s="21" customFormat="1" ht="22.5" customHeight="1" x14ac:dyDescent="0.25">
      <c r="S420" s="1"/>
      <c r="V420" s="141"/>
      <c r="W420" s="141"/>
      <c r="AF420" s="1"/>
      <c r="AN420" s="1"/>
      <c r="AV420" s="1"/>
    </row>
    <row r="421" spans="19:48" s="21" customFormat="1" ht="22.5" customHeight="1" x14ac:dyDescent="0.25">
      <c r="S421" s="1"/>
      <c r="V421" s="141"/>
      <c r="W421" s="141"/>
      <c r="AF421" s="1"/>
      <c r="AN421" s="1"/>
      <c r="AV421" s="1"/>
    </row>
    <row r="422" spans="19:48" s="21" customFormat="1" ht="22.5" customHeight="1" x14ac:dyDescent="0.25">
      <c r="S422" s="1"/>
      <c r="V422" s="141"/>
      <c r="W422" s="141"/>
      <c r="AF422" s="1"/>
      <c r="AN422" s="1"/>
      <c r="AV422" s="1"/>
    </row>
    <row r="423" spans="19:48" s="21" customFormat="1" ht="22.5" customHeight="1" x14ac:dyDescent="0.25">
      <c r="S423" s="1"/>
      <c r="V423" s="141"/>
      <c r="W423" s="141"/>
      <c r="AF423" s="1"/>
      <c r="AN423" s="1"/>
      <c r="AV423" s="1"/>
    </row>
    <row r="424" spans="19:48" s="21" customFormat="1" ht="22.5" customHeight="1" x14ac:dyDescent="0.25">
      <c r="S424" s="1"/>
      <c r="V424" s="141"/>
      <c r="W424" s="141"/>
      <c r="AF424" s="1"/>
      <c r="AN424" s="1"/>
      <c r="AV424" s="1"/>
    </row>
    <row r="425" spans="19:48" s="21" customFormat="1" ht="22.5" customHeight="1" x14ac:dyDescent="0.25">
      <c r="S425" s="1"/>
      <c r="V425" s="141"/>
      <c r="W425" s="141"/>
      <c r="AF425" s="1"/>
      <c r="AN425" s="1"/>
      <c r="AV425" s="1"/>
    </row>
    <row r="426" spans="19:48" s="21" customFormat="1" ht="22.5" customHeight="1" x14ac:dyDescent="0.25">
      <c r="S426" s="1"/>
      <c r="V426" s="141"/>
      <c r="W426" s="141"/>
      <c r="AF426" s="1"/>
      <c r="AN426" s="1"/>
      <c r="AV426" s="1"/>
    </row>
    <row r="427" spans="19:48" s="21" customFormat="1" ht="22.5" customHeight="1" x14ac:dyDescent="0.25">
      <c r="S427" s="1"/>
      <c r="V427" s="141"/>
      <c r="W427" s="141"/>
      <c r="AF427" s="1"/>
      <c r="AN427" s="1"/>
      <c r="AV427" s="1"/>
    </row>
    <row r="428" spans="19:48" s="21" customFormat="1" ht="22.5" customHeight="1" x14ac:dyDescent="0.25">
      <c r="S428" s="1"/>
      <c r="V428" s="141"/>
      <c r="W428" s="141"/>
      <c r="AF428" s="1"/>
      <c r="AN428" s="1"/>
      <c r="AV428" s="1"/>
    </row>
    <row r="429" spans="19:48" s="21" customFormat="1" ht="22.5" customHeight="1" x14ac:dyDescent="0.25">
      <c r="S429" s="1"/>
      <c r="V429" s="141"/>
      <c r="W429" s="141"/>
      <c r="AF429" s="1"/>
      <c r="AN429" s="1"/>
      <c r="AV429" s="1"/>
    </row>
    <row r="430" spans="19:48" s="21" customFormat="1" ht="22.5" customHeight="1" x14ac:dyDescent="0.25">
      <c r="S430" s="1"/>
      <c r="V430" s="141"/>
      <c r="W430" s="141"/>
      <c r="AF430" s="1"/>
      <c r="AN430" s="1"/>
      <c r="AV430" s="1"/>
    </row>
    <row r="431" spans="19:48" s="21" customFormat="1" ht="22.5" customHeight="1" x14ac:dyDescent="0.25">
      <c r="S431" s="1"/>
      <c r="V431" s="141"/>
      <c r="W431" s="141"/>
      <c r="AF431" s="1"/>
      <c r="AN431" s="1"/>
      <c r="AV431" s="1"/>
    </row>
    <row r="432" spans="19:48" s="21" customFormat="1" ht="22.5" customHeight="1" x14ac:dyDescent="0.25">
      <c r="S432" s="1"/>
      <c r="V432" s="141"/>
      <c r="W432" s="141"/>
      <c r="AF432" s="1"/>
      <c r="AN432" s="1"/>
      <c r="AV432" s="1"/>
    </row>
    <row r="433" spans="19:48" s="21" customFormat="1" ht="22.5" customHeight="1" x14ac:dyDescent="0.25">
      <c r="S433" s="1"/>
      <c r="V433" s="141"/>
      <c r="W433" s="141"/>
      <c r="AF433" s="1"/>
      <c r="AN433" s="1"/>
      <c r="AV433" s="1"/>
    </row>
    <row r="434" spans="19:48" s="21" customFormat="1" ht="22.5" customHeight="1" x14ac:dyDescent="0.25">
      <c r="S434" s="1"/>
      <c r="V434" s="141"/>
      <c r="W434" s="141"/>
      <c r="AF434" s="1"/>
      <c r="AN434" s="1"/>
      <c r="AV434" s="1"/>
    </row>
    <row r="435" spans="19:48" s="21" customFormat="1" ht="22.5" customHeight="1" x14ac:dyDescent="0.25">
      <c r="S435" s="1"/>
      <c r="V435" s="141"/>
      <c r="W435" s="141"/>
      <c r="AF435" s="1"/>
      <c r="AN435" s="1"/>
      <c r="AV435" s="1"/>
    </row>
    <row r="436" spans="19:48" s="21" customFormat="1" ht="22.5" customHeight="1" x14ac:dyDescent="0.25">
      <c r="S436" s="1"/>
      <c r="V436" s="141"/>
      <c r="W436" s="141"/>
      <c r="AF436" s="1"/>
      <c r="AN436" s="1"/>
      <c r="AV436" s="1"/>
    </row>
    <row r="437" spans="19:48" s="21" customFormat="1" ht="22.5" customHeight="1" x14ac:dyDescent="0.25">
      <c r="S437" s="1"/>
      <c r="V437" s="141"/>
      <c r="W437" s="141"/>
      <c r="AF437" s="1"/>
      <c r="AN437" s="1"/>
      <c r="AV437" s="1"/>
    </row>
    <row r="438" spans="19:48" s="21" customFormat="1" ht="22.5" customHeight="1" x14ac:dyDescent="0.25">
      <c r="S438" s="1"/>
      <c r="V438" s="141"/>
      <c r="W438" s="141"/>
      <c r="AF438" s="1"/>
      <c r="AN438" s="1"/>
      <c r="AV438" s="1"/>
    </row>
    <row r="439" spans="19:48" s="21" customFormat="1" ht="22.5" customHeight="1" x14ac:dyDescent="0.25">
      <c r="S439" s="1"/>
      <c r="V439" s="141"/>
      <c r="W439" s="141"/>
      <c r="AF439" s="1"/>
      <c r="AN439" s="1"/>
      <c r="AV439" s="1"/>
    </row>
    <row r="440" spans="19:48" s="21" customFormat="1" ht="22.5" customHeight="1" x14ac:dyDescent="0.25">
      <c r="S440" s="1"/>
      <c r="V440" s="141"/>
      <c r="W440" s="141"/>
      <c r="AF440" s="1"/>
      <c r="AN440" s="1"/>
      <c r="AV440" s="1"/>
    </row>
    <row r="441" spans="19:48" s="21" customFormat="1" ht="22.5" customHeight="1" x14ac:dyDescent="0.25">
      <c r="S441" s="1"/>
      <c r="V441" s="141"/>
      <c r="W441" s="141"/>
      <c r="AF441" s="1"/>
      <c r="AN441" s="1"/>
      <c r="AV441" s="1"/>
    </row>
    <row r="442" spans="19:48" s="21" customFormat="1" ht="22.5" customHeight="1" x14ac:dyDescent="0.25">
      <c r="S442" s="1"/>
      <c r="V442" s="141"/>
      <c r="W442" s="141"/>
      <c r="AF442" s="1"/>
      <c r="AN442" s="1"/>
      <c r="AV442" s="1"/>
    </row>
    <row r="443" spans="19:48" s="21" customFormat="1" ht="22.5" customHeight="1" x14ac:dyDescent="0.25">
      <c r="S443" s="1"/>
      <c r="V443" s="141"/>
      <c r="W443" s="141"/>
      <c r="AF443" s="1"/>
      <c r="AN443" s="1"/>
      <c r="AV443" s="1"/>
    </row>
    <row r="444" spans="19:48" s="21" customFormat="1" ht="22.5" customHeight="1" x14ac:dyDescent="0.25">
      <c r="S444" s="1"/>
      <c r="V444" s="141"/>
      <c r="W444" s="141"/>
      <c r="AF444" s="1"/>
      <c r="AN444" s="1"/>
      <c r="AV444" s="1"/>
    </row>
    <row r="445" spans="19:48" s="21" customFormat="1" ht="22.5" customHeight="1" x14ac:dyDescent="0.25">
      <c r="S445" s="1"/>
      <c r="V445" s="141"/>
      <c r="W445" s="141"/>
      <c r="AF445" s="1"/>
      <c r="AN445" s="1"/>
      <c r="AV445" s="1"/>
    </row>
    <row r="446" spans="19:48" s="21" customFormat="1" ht="22.5" customHeight="1" x14ac:dyDescent="0.25">
      <c r="S446" s="1"/>
      <c r="V446" s="141"/>
      <c r="W446" s="141"/>
      <c r="AF446" s="1"/>
      <c r="AN446" s="1"/>
      <c r="AV446" s="1"/>
    </row>
    <row r="447" spans="19:48" s="21" customFormat="1" ht="22.5" customHeight="1" x14ac:dyDescent="0.25">
      <c r="S447" s="1"/>
      <c r="V447" s="141"/>
      <c r="W447" s="141"/>
      <c r="AF447" s="1"/>
      <c r="AN447" s="1"/>
      <c r="AV447" s="1"/>
    </row>
    <row r="448" spans="19:48" s="21" customFormat="1" ht="22.5" customHeight="1" x14ac:dyDescent="0.25">
      <c r="S448" s="1"/>
      <c r="V448" s="141"/>
      <c r="W448" s="141"/>
      <c r="AF448" s="1"/>
      <c r="AN448" s="1"/>
      <c r="AV448" s="1"/>
    </row>
    <row r="449" spans="19:48" s="21" customFormat="1" ht="22.5" customHeight="1" x14ac:dyDescent="0.25">
      <c r="S449" s="1"/>
      <c r="V449" s="141"/>
      <c r="W449" s="141"/>
      <c r="AF449" s="1"/>
      <c r="AN449" s="1"/>
      <c r="AV449" s="1"/>
    </row>
    <row r="450" spans="19:48" s="21" customFormat="1" ht="22.5" customHeight="1" x14ac:dyDescent="0.25">
      <c r="S450" s="1"/>
      <c r="V450" s="141"/>
      <c r="W450" s="141"/>
      <c r="AF450" s="1"/>
      <c r="AN450" s="1"/>
      <c r="AV450" s="1"/>
    </row>
    <row r="451" spans="19:48" s="21" customFormat="1" ht="22.5" customHeight="1" x14ac:dyDescent="0.25">
      <c r="S451" s="1"/>
      <c r="V451" s="141"/>
      <c r="W451" s="141"/>
      <c r="AF451" s="1"/>
      <c r="AN451" s="1"/>
      <c r="AV451" s="1"/>
    </row>
    <row r="452" spans="19:48" s="21" customFormat="1" ht="22.5" customHeight="1" x14ac:dyDescent="0.25">
      <c r="S452" s="1"/>
      <c r="V452" s="141"/>
      <c r="W452" s="141"/>
      <c r="AF452" s="1"/>
      <c r="AN452" s="1"/>
      <c r="AV452" s="1"/>
    </row>
    <row r="453" spans="19:48" s="21" customFormat="1" ht="22.5" customHeight="1" x14ac:dyDescent="0.25">
      <c r="S453" s="1"/>
      <c r="V453" s="141"/>
      <c r="W453" s="141"/>
      <c r="AF453" s="1"/>
      <c r="AN453" s="1"/>
      <c r="AV453" s="1"/>
    </row>
    <row r="454" spans="19:48" s="21" customFormat="1" ht="22.5" customHeight="1" x14ac:dyDescent="0.25">
      <c r="S454" s="1"/>
      <c r="V454" s="141"/>
      <c r="W454" s="141"/>
      <c r="AF454" s="1"/>
      <c r="AN454" s="1"/>
      <c r="AV454" s="1"/>
    </row>
    <row r="455" spans="19:48" s="21" customFormat="1" ht="22.5" customHeight="1" x14ac:dyDescent="0.25">
      <c r="S455" s="1"/>
      <c r="V455" s="141"/>
      <c r="W455" s="141"/>
      <c r="AF455" s="1"/>
      <c r="AN455" s="1"/>
      <c r="AV455" s="1"/>
    </row>
    <row r="456" spans="19:48" s="21" customFormat="1" ht="22.5" customHeight="1" x14ac:dyDescent="0.25">
      <c r="S456" s="1"/>
      <c r="V456" s="141"/>
      <c r="W456" s="141"/>
      <c r="AF456" s="1"/>
      <c r="AN456" s="1"/>
      <c r="AV456" s="1"/>
    </row>
    <row r="457" spans="19:48" s="21" customFormat="1" ht="22.5" customHeight="1" x14ac:dyDescent="0.25">
      <c r="S457" s="1"/>
      <c r="V457" s="141"/>
      <c r="W457" s="141"/>
      <c r="AF457" s="1"/>
      <c r="AN457" s="1"/>
      <c r="AV457" s="1"/>
    </row>
    <row r="458" spans="19:48" s="21" customFormat="1" ht="22.5" customHeight="1" x14ac:dyDescent="0.25">
      <c r="S458" s="1"/>
      <c r="V458" s="141"/>
      <c r="W458" s="141"/>
      <c r="AF458" s="1"/>
      <c r="AN458" s="1"/>
      <c r="AV458" s="1"/>
    </row>
    <row r="459" spans="19:48" s="21" customFormat="1" ht="22.5" customHeight="1" x14ac:dyDescent="0.25">
      <c r="S459" s="1"/>
      <c r="V459" s="141"/>
      <c r="W459" s="141"/>
      <c r="AF459" s="1"/>
      <c r="AN459" s="1"/>
      <c r="AV459" s="1"/>
    </row>
    <row r="460" spans="19:48" s="21" customFormat="1" ht="22.5" customHeight="1" x14ac:dyDescent="0.25">
      <c r="S460" s="1"/>
      <c r="V460" s="141"/>
      <c r="W460" s="141"/>
      <c r="AF460" s="1"/>
      <c r="AN460" s="1"/>
      <c r="AV460" s="1"/>
    </row>
    <row r="461" spans="19:48" s="21" customFormat="1" ht="22.5" customHeight="1" x14ac:dyDescent="0.25">
      <c r="S461" s="1"/>
      <c r="V461" s="141"/>
      <c r="W461" s="141"/>
      <c r="AF461" s="1"/>
      <c r="AN461" s="1"/>
      <c r="AV461" s="1"/>
    </row>
    <row r="462" spans="19:48" s="21" customFormat="1" ht="22.5" customHeight="1" x14ac:dyDescent="0.25">
      <c r="S462" s="1"/>
      <c r="V462" s="141"/>
      <c r="W462" s="141"/>
      <c r="AF462" s="1"/>
      <c r="AN462" s="1"/>
      <c r="AV462" s="1"/>
    </row>
    <row r="463" spans="19:48" s="21" customFormat="1" ht="22.5" customHeight="1" x14ac:dyDescent="0.25">
      <c r="S463" s="1"/>
      <c r="V463" s="141"/>
      <c r="W463" s="141"/>
      <c r="AF463" s="1"/>
      <c r="AN463" s="1"/>
      <c r="AV463" s="1"/>
    </row>
    <row r="464" spans="19:48" s="21" customFormat="1" ht="22.5" customHeight="1" x14ac:dyDescent="0.25">
      <c r="S464" s="1"/>
      <c r="V464" s="141"/>
      <c r="W464" s="141"/>
      <c r="AF464" s="1"/>
      <c r="AN464" s="1"/>
      <c r="AV464" s="1"/>
    </row>
    <row r="465" spans="19:48" s="21" customFormat="1" ht="22.5" customHeight="1" x14ac:dyDescent="0.25">
      <c r="S465" s="1"/>
      <c r="V465" s="141"/>
      <c r="W465" s="141"/>
      <c r="AF465" s="1"/>
      <c r="AN465" s="1"/>
      <c r="AV465" s="1"/>
    </row>
    <row r="466" spans="19:48" s="21" customFormat="1" ht="22.5" customHeight="1" x14ac:dyDescent="0.25">
      <c r="S466" s="1"/>
      <c r="V466" s="141"/>
      <c r="W466" s="141"/>
      <c r="AF466" s="1"/>
      <c r="AN466" s="1"/>
      <c r="AV466" s="1"/>
    </row>
    <row r="467" spans="19:48" s="21" customFormat="1" ht="22.5" customHeight="1" x14ac:dyDescent="0.25">
      <c r="S467" s="1"/>
      <c r="V467" s="141"/>
      <c r="W467" s="141"/>
      <c r="AF467" s="1"/>
      <c r="AN467" s="1"/>
      <c r="AV467" s="1"/>
    </row>
    <row r="468" spans="19:48" s="21" customFormat="1" ht="22.5" customHeight="1" x14ac:dyDescent="0.25">
      <c r="S468" s="1"/>
      <c r="V468" s="141"/>
      <c r="W468" s="141"/>
      <c r="AF468" s="1"/>
      <c r="AN468" s="1"/>
      <c r="AV468" s="1"/>
    </row>
    <row r="469" spans="19:48" s="21" customFormat="1" ht="22.5" customHeight="1" x14ac:dyDescent="0.25">
      <c r="S469" s="1"/>
      <c r="V469" s="141"/>
      <c r="W469" s="141"/>
      <c r="AF469" s="1"/>
      <c r="AN469" s="1"/>
      <c r="AV469" s="1"/>
    </row>
    <row r="470" spans="19:48" s="21" customFormat="1" ht="22.5" customHeight="1" x14ac:dyDescent="0.25">
      <c r="S470" s="1"/>
      <c r="V470" s="141"/>
      <c r="W470" s="141"/>
      <c r="AF470" s="1"/>
      <c r="AN470" s="1"/>
      <c r="AV470" s="1"/>
    </row>
    <row r="471" spans="19:48" s="21" customFormat="1" ht="22.5" customHeight="1" x14ac:dyDescent="0.25">
      <c r="S471" s="1"/>
      <c r="V471" s="141"/>
      <c r="W471" s="141"/>
      <c r="AF471" s="1"/>
      <c r="AN471" s="1"/>
      <c r="AV471" s="1"/>
    </row>
    <row r="472" spans="19:48" s="21" customFormat="1" ht="22.5" customHeight="1" x14ac:dyDescent="0.25">
      <c r="S472" s="1"/>
      <c r="V472" s="141"/>
      <c r="W472" s="141"/>
      <c r="AF472" s="1"/>
      <c r="AN472" s="1"/>
      <c r="AV472" s="1"/>
    </row>
    <row r="473" spans="19:48" s="21" customFormat="1" ht="22.5" customHeight="1" x14ac:dyDescent="0.25">
      <c r="S473" s="1"/>
      <c r="V473" s="141"/>
      <c r="W473" s="141"/>
      <c r="AF473" s="1"/>
      <c r="AN473" s="1"/>
      <c r="AV473" s="1"/>
    </row>
    <row r="474" spans="19:48" s="21" customFormat="1" ht="22.5" customHeight="1" x14ac:dyDescent="0.25">
      <c r="S474" s="1"/>
      <c r="V474" s="141"/>
      <c r="W474" s="141"/>
      <c r="AF474" s="1"/>
      <c r="AN474" s="1"/>
      <c r="AV474" s="1"/>
    </row>
    <row r="475" spans="19:48" s="21" customFormat="1" ht="22.5" customHeight="1" x14ac:dyDescent="0.25">
      <c r="S475" s="1"/>
      <c r="V475" s="141"/>
      <c r="W475" s="141"/>
      <c r="AF475" s="1"/>
      <c r="AN475" s="1"/>
      <c r="AV475" s="1"/>
    </row>
    <row r="476" spans="19:48" s="21" customFormat="1" ht="22.5" customHeight="1" x14ac:dyDescent="0.25">
      <c r="S476" s="1"/>
      <c r="V476" s="141"/>
      <c r="W476" s="141"/>
      <c r="AF476" s="1"/>
      <c r="AN476" s="1"/>
      <c r="AV476" s="1"/>
    </row>
    <row r="477" spans="19:48" s="21" customFormat="1" ht="22.5" customHeight="1" x14ac:dyDescent="0.25">
      <c r="S477" s="1"/>
      <c r="V477" s="141"/>
      <c r="W477" s="141"/>
      <c r="AF477" s="1"/>
      <c r="AN477" s="1"/>
      <c r="AV477" s="1"/>
    </row>
    <row r="478" spans="19:48" s="21" customFormat="1" ht="22.5" customHeight="1" x14ac:dyDescent="0.25">
      <c r="S478" s="1"/>
      <c r="V478" s="141"/>
      <c r="W478" s="141"/>
      <c r="AF478" s="1"/>
      <c r="AN478" s="1"/>
      <c r="AV478" s="1"/>
    </row>
    <row r="479" spans="19:48" s="21" customFormat="1" ht="22.5" customHeight="1" x14ac:dyDescent="0.25">
      <c r="S479" s="1"/>
      <c r="V479" s="141"/>
      <c r="W479" s="141"/>
      <c r="AF479" s="1"/>
      <c r="AN479" s="1"/>
      <c r="AV479" s="1"/>
    </row>
    <row r="480" spans="19:48" s="21" customFormat="1" ht="22.5" customHeight="1" x14ac:dyDescent="0.25">
      <c r="S480" s="1"/>
      <c r="V480" s="141"/>
      <c r="W480" s="141"/>
      <c r="AF480" s="1"/>
      <c r="AN480" s="1"/>
      <c r="AV480" s="1"/>
    </row>
    <row r="481" spans="19:48" s="21" customFormat="1" ht="22.5" customHeight="1" x14ac:dyDescent="0.25">
      <c r="S481" s="1"/>
      <c r="V481" s="141"/>
      <c r="W481" s="141"/>
      <c r="AF481" s="1"/>
      <c r="AN481" s="1"/>
      <c r="AV481" s="1"/>
    </row>
    <row r="482" spans="19:48" s="21" customFormat="1" ht="22.5" customHeight="1" x14ac:dyDescent="0.25">
      <c r="S482" s="1"/>
      <c r="V482" s="141"/>
      <c r="W482" s="141"/>
      <c r="AF482" s="1"/>
      <c r="AN482" s="1"/>
      <c r="AV482" s="1"/>
    </row>
    <row r="483" spans="19:48" s="21" customFormat="1" ht="22.5" customHeight="1" x14ac:dyDescent="0.25">
      <c r="S483" s="1"/>
      <c r="V483" s="141"/>
      <c r="W483" s="141"/>
      <c r="AF483" s="1"/>
      <c r="AN483" s="1"/>
      <c r="AV483" s="1"/>
    </row>
    <row r="484" spans="19:48" s="21" customFormat="1" ht="22.5" customHeight="1" x14ac:dyDescent="0.25">
      <c r="S484" s="1"/>
      <c r="V484" s="141"/>
      <c r="W484" s="141"/>
      <c r="AF484" s="1"/>
      <c r="AN484" s="1"/>
      <c r="AV484" s="1"/>
    </row>
    <row r="485" spans="19:48" s="21" customFormat="1" ht="22.5" customHeight="1" x14ac:dyDescent="0.25">
      <c r="S485" s="1"/>
      <c r="V485" s="141"/>
      <c r="W485" s="141"/>
      <c r="AF485" s="1"/>
      <c r="AN485" s="1"/>
      <c r="AV485" s="1"/>
    </row>
    <row r="486" spans="19:48" s="21" customFormat="1" ht="22.5" customHeight="1" x14ac:dyDescent="0.25">
      <c r="S486" s="1"/>
      <c r="V486" s="141"/>
      <c r="W486" s="141"/>
      <c r="AF486" s="1"/>
      <c r="AN486" s="1"/>
      <c r="AV486" s="1"/>
    </row>
    <row r="487" spans="19:48" s="21" customFormat="1" ht="22.5" customHeight="1" x14ac:dyDescent="0.25">
      <c r="S487" s="1"/>
      <c r="V487" s="141"/>
      <c r="W487" s="141"/>
      <c r="AF487" s="1"/>
      <c r="AN487" s="1"/>
      <c r="AV487" s="1"/>
    </row>
    <row r="488" spans="19:48" s="21" customFormat="1" ht="22.5" customHeight="1" x14ac:dyDescent="0.25">
      <c r="S488" s="1"/>
      <c r="V488" s="141"/>
      <c r="W488" s="141"/>
      <c r="AF488" s="1"/>
      <c r="AN488" s="1"/>
      <c r="AV488" s="1"/>
    </row>
    <row r="489" spans="19:48" s="21" customFormat="1" ht="22.5" customHeight="1" x14ac:dyDescent="0.25">
      <c r="S489" s="1"/>
      <c r="V489" s="141"/>
      <c r="W489" s="141"/>
      <c r="AF489" s="1"/>
      <c r="AN489" s="1"/>
      <c r="AV489" s="1"/>
    </row>
    <row r="490" spans="19:48" s="21" customFormat="1" ht="22.5" customHeight="1" x14ac:dyDescent="0.25">
      <c r="S490" s="1"/>
      <c r="V490" s="141"/>
      <c r="W490" s="141"/>
      <c r="AF490" s="1"/>
      <c r="AN490" s="1"/>
      <c r="AV490" s="1"/>
    </row>
    <row r="491" spans="19:48" s="21" customFormat="1" ht="22.5" customHeight="1" x14ac:dyDescent="0.25">
      <c r="S491" s="1"/>
      <c r="V491" s="141"/>
      <c r="W491" s="141"/>
      <c r="AF491" s="1"/>
      <c r="AN491" s="1"/>
      <c r="AV491" s="1"/>
    </row>
    <row r="492" spans="19:48" s="21" customFormat="1" ht="22.5" customHeight="1" x14ac:dyDescent="0.25">
      <c r="S492" s="1"/>
      <c r="V492" s="141"/>
      <c r="W492" s="141"/>
      <c r="AF492" s="1"/>
      <c r="AN492" s="1"/>
      <c r="AV492" s="1"/>
    </row>
    <row r="493" spans="19:48" s="21" customFormat="1" ht="22.5" customHeight="1" x14ac:dyDescent="0.25">
      <c r="S493" s="1"/>
      <c r="V493" s="141"/>
      <c r="W493" s="141"/>
      <c r="AF493" s="1"/>
      <c r="AN493" s="1"/>
      <c r="AV493" s="1"/>
    </row>
    <row r="494" spans="19:48" s="21" customFormat="1" ht="22.5" customHeight="1" x14ac:dyDescent="0.25">
      <c r="S494" s="1"/>
      <c r="V494" s="141"/>
      <c r="W494" s="141"/>
      <c r="AF494" s="1"/>
      <c r="AN494" s="1"/>
      <c r="AV494" s="1"/>
    </row>
    <row r="495" spans="19:48" s="21" customFormat="1" ht="22.5" customHeight="1" x14ac:dyDescent="0.25">
      <c r="S495" s="1"/>
      <c r="V495" s="141"/>
      <c r="W495" s="141"/>
      <c r="AF495" s="1"/>
      <c r="AN495" s="1"/>
      <c r="AV495" s="1"/>
    </row>
    <row r="496" spans="19:48" s="21" customFormat="1" ht="22.5" customHeight="1" x14ac:dyDescent="0.25">
      <c r="S496" s="1"/>
      <c r="V496" s="141"/>
      <c r="W496" s="141"/>
      <c r="AF496" s="1"/>
      <c r="AN496" s="1"/>
      <c r="AV496" s="1"/>
    </row>
    <row r="497" spans="19:48" s="21" customFormat="1" ht="22.5" customHeight="1" x14ac:dyDescent="0.25">
      <c r="S497" s="1"/>
      <c r="V497" s="141"/>
      <c r="W497" s="141"/>
      <c r="AF497" s="1"/>
      <c r="AN497" s="1"/>
      <c r="AV497" s="1"/>
    </row>
    <row r="498" spans="19:48" s="21" customFormat="1" ht="22.5" customHeight="1" x14ac:dyDescent="0.25">
      <c r="S498" s="1"/>
      <c r="V498" s="141"/>
      <c r="W498" s="141"/>
      <c r="AF498" s="1"/>
      <c r="AN498" s="1"/>
      <c r="AV498" s="1"/>
    </row>
    <row r="499" spans="19:48" s="21" customFormat="1" ht="22.5" customHeight="1" x14ac:dyDescent="0.25">
      <c r="S499" s="1"/>
      <c r="V499" s="141"/>
      <c r="W499" s="141"/>
      <c r="AF499" s="1"/>
      <c r="AN499" s="1"/>
      <c r="AV499" s="1"/>
    </row>
    <row r="500" spans="19:48" s="21" customFormat="1" ht="22.5" customHeight="1" x14ac:dyDescent="0.25">
      <c r="S500" s="1"/>
      <c r="V500" s="141"/>
      <c r="W500" s="141"/>
      <c r="AF500" s="1"/>
      <c r="AN500" s="1"/>
      <c r="AV500" s="1"/>
    </row>
    <row r="501" spans="19:48" s="21" customFormat="1" ht="22.5" customHeight="1" x14ac:dyDescent="0.25">
      <c r="S501" s="1"/>
      <c r="V501" s="141"/>
      <c r="W501" s="141"/>
      <c r="AF501" s="1"/>
      <c r="AN501" s="1"/>
      <c r="AV501" s="1"/>
    </row>
    <row r="502" spans="19:48" s="21" customFormat="1" ht="22.5" customHeight="1" x14ac:dyDescent="0.25">
      <c r="S502" s="1"/>
      <c r="V502" s="141"/>
      <c r="W502" s="141"/>
      <c r="AF502" s="1"/>
      <c r="AN502" s="1"/>
      <c r="AV502" s="1"/>
    </row>
    <row r="503" spans="19:48" s="21" customFormat="1" ht="22.5" customHeight="1" x14ac:dyDescent="0.25">
      <c r="S503" s="1"/>
      <c r="V503" s="141"/>
      <c r="W503" s="141"/>
      <c r="AF503" s="1"/>
      <c r="AN503" s="1"/>
      <c r="AV503" s="1"/>
    </row>
    <row r="504" spans="19:48" s="21" customFormat="1" ht="22.5" customHeight="1" x14ac:dyDescent="0.25">
      <c r="S504" s="1"/>
      <c r="V504" s="141"/>
      <c r="W504" s="141"/>
      <c r="AF504" s="1"/>
      <c r="AN504" s="1"/>
      <c r="AV504" s="1"/>
    </row>
    <row r="505" spans="19:48" s="21" customFormat="1" ht="22.5" customHeight="1" x14ac:dyDescent="0.25">
      <c r="S505" s="1"/>
      <c r="V505" s="141"/>
      <c r="W505" s="141"/>
      <c r="AF505" s="1"/>
      <c r="AN505" s="1"/>
      <c r="AV505" s="1"/>
    </row>
    <row r="506" spans="19:48" s="21" customFormat="1" ht="22.5" customHeight="1" x14ac:dyDescent="0.25">
      <c r="S506" s="1"/>
      <c r="V506" s="141"/>
      <c r="W506" s="141"/>
      <c r="AF506" s="1"/>
      <c r="AN506" s="1"/>
      <c r="AV506" s="1"/>
    </row>
    <row r="507" spans="19:48" s="21" customFormat="1" ht="22.5" customHeight="1" x14ac:dyDescent="0.25">
      <c r="S507" s="1"/>
      <c r="V507" s="141"/>
      <c r="W507" s="141"/>
      <c r="AF507" s="1"/>
      <c r="AN507" s="1"/>
      <c r="AV507" s="1"/>
    </row>
    <row r="508" spans="19:48" s="21" customFormat="1" ht="22.5" customHeight="1" x14ac:dyDescent="0.25">
      <c r="S508" s="1"/>
      <c r="V508" s="141"/>
      <c r="W508" s="141"/>
      <c r="AF508" s="1"/>
      <c r="AN508" s="1"/>
      <c r="AV508" s="1"/>
    </row>
    <row r="509" spans="19:48" s="21" customFormat="1" ht="22.5" customHeight="1" x14ac:dyDescent="0.25">
      <c r="S509" s="1"/>
      <c r="V509" s="141"/>
      <c r="W509" s="141"/>
      <c r="AF509" s="1"/>
      <c r="AN509" s="1"/>
      <c r="AV509" s="1"/>
    </row>
    <row r="510" spans="19:48" s="21" customFormat="1" ht="22.5" customHeight="1" x14ac:dyDescent="0.25">
      <c r="S510" s="1"/>
      <c r="V510" s="141"/>
      <c r="W510" s="141"/>
      <c r="AF510" s="1"/>
      <c r="AN510" s="1"/>
      <c r="AV510" s="1"/>
    </row>
    <row r="511" spans="19:48" s="21" customFormat="1" ht="22.5" customHeight="1" x14ac:dyDescent="0.25">
      <c r="S511" s="1"/>
      <c r="V511" s="141"/>
      <c r="W511" s="141"/>
      <c r="AF511" s="1"/>
      <c r="AN511" s="1"/>
      <c r="AV511" s="1"/>
    </row>
    <row r="512" spans="19:48" s="21" customFormat="1" ht="22.5" customHeight="1" x14ac:dyDescent="0.25">
      <c r="S512" s="1"/>
      <c r="V512" s="141"/>
      <c r="W512" s="141"/>
      <c r="AF512" s="1"/>
      <c r="AN512" s="1"/>
      <c r="AV512" s="1"/>
    </row>
    <row r="513" spans="19:48" s="21" customFormat="1" ht="22.5" customHeight="1" x14ac:dyDescent="0.25">
      <c r="S513" s="1"/>
      <c r="V513" s="141"/>
      <c r="W513" s="141"/>
      <c r="AF513" s="1"/>
      <c r="AN513" s="1"/>
      <c r="AV513" s="1"/>
    </row>
    <row r="514" spans="19:48" s="21" customFormat="1" ht="22.5" customHeight="1" x14ac:dyDescent="0.25">
      <c r="S514" s="1"/>
      <c r="V514" s="141"/>
      <c r="W514" s="141"/>
      <c r="AF514" s="1"/>
      <c r="AN514" s="1"/>
      <c r="AV514" s="1"/>
    </row>
    <row r="515" spans="19:48" s="21" customFormat="1" ht="22.5" customHeight="1" x14ac:dyDescent="0.25">
      <c r="S515" s="1"/>
      <c r="V515" s="141"/>
      <c r="W515" s="141"/>
      <c r="AF515" s="1"/>
      <c r="AN515" s="1"/>
      <c r="AV515" s="1"/>
    </row>
    <row r="516" spans="19:48" s="21" customFormat="1" ht="22.5" customHeight="1" x14ac:dyDescent="0.25">
      <c r="S516" s="1"/>
      <c r="V516" s="141"/>
      <c r="W516" s="141"/>
      <c r="AF516" s="1"/>
      <c r="AN516" s="1"/>
      <c r="AV516" s="1"/>
    </row>
    <row r="517" spans="19:48" s="21" customFormat="1" ht="22.5" customHeight="1" x14ac:dyDescent="0.25">
      <c r="S517" s="1"/>
      <c r="V517" s="141"/>
      <c r="W517" s="141"/>
      <c r="AF517" s="1"/>
      <c r="AN517" s="1"/>
      <c r="AV517" s="1"/>
    </row>
    <row r="518" spans="19:48" s="21" customFormat="1" ht="22.5" customHeight="1" x14ac:dyDescent="0.25">
      <c r="S518" s="1"/>
      <c r="V518" s="141"/>
      <c r="W518" s="141"/>
      <c r="AF518" s="1"/>
      <c r="AN518" s="1"/>
      <c r="AV518" s="1"/>
    </row>
    <row r="519" spans="19:48" s="21" customFormat="1" ht="22.5" customHeight="1" x14ac:dyDescent="0.25">
      <c r="S519" s="1"/>
      <c r="V519" s="141"/>
      <c r="W519" s="141"/>
      <c r="AF519" s="1"/>
      <c r="AN519" s="1"/>
      <c r="AV519" s="1"/>
    </row>
    <row r="520" spans="19:48" s="21" customFormat="1" ht="22.5" customHeight="1" x14ac:dyDescent="0.25">
      <c r="S520" s="1"/>
      <c r="V520" s="141"/>
      <c r="W520" s="141"/>
      <c r="AF520" s="1"/>
      <c r="AN520" s="1"/>
      <c r="AV520" s="1"/>
    </row>
    <row r="521" spans="19:48" s="21" customFormat="1" ht="22.5" customHeight="1" x14ac:dyDescent="0.25">
      <c r="S521" s="1"/>
      <c r="V521" s="141"/>
      <c r="W521" s="141"/>
      <c r="AF521" s="1"/>
      <c r="AN521" s="1"/>
      <c r="AV521" s="1"/>
    </row>
    <row r="522" spans="19:48" s="21" customFormat="1" ht="22.5" customHeight="1" x14ac:dyDescent="0.25">
      <c r="S522" s="1"/>
      <c r="V522" s="141"/>
      <c r="W522" s="141"/>
      <c r="AF522" s="1"/>
      <c r="AN522" s="1"/>
      <c r="AV522" s="1"/>
    </row>
    <row r="523" spans="19:48" s="21" customFormat="1" ht="22.5" customHeight="1" x14ac:dyDescent="0.25">
      <c r="S523" s="1"/>
      <c r="V523" s="141"/>
      <c r="W523" s="141"/>
      <c r="AF523" s="1"/>
      <c r="AN523" s="1"/>
      <c r="AV523" s="1"/>
    </row>
    <row r="524" spans="19:48" s="21" customFormat="1" ht="22.5" customHeight="1" x14ac:dyDescent="0.25">
      <c r="S524" s="1"/>
      <c r="V524" s="141"/>
      <c r="W524" s="141"/>
      <c r="AF524" s="1"/>
      <c r="AN524" s="1"/>
      <c r="AV524" s="1"/>
    </row>
    <row r="525" spans="19:48" s="21" customFormat="1" ht="22.5" customHeight="1" x14ac:dyDescent="0.25">
      <c r="S525" s="1"/>
      <c r="V525" s="141"/>
      <c r="W525" s="141"/>
      <c r="AF525" s="1"/>
      <c r="AN525" s="1"/>
      <c r="AV525" s="1"/>
    </row>
    <row r="526" spans="19:48" s="21" customFormat="1" ht="22.5" customHeight="1" x14ac:dyDescent="0.25">
      <c r="S526" s="1"/>
      <c r="V526" s="141"/>
      <c r="W526" s="141"/>
      <c r="AF526" s="1"/>
      <c r="AN526" s="1"/>
      <c r="AV526" s="1"/>
    </row>
    <row r="527" spans="19:48" s="21" customFormat="1" ht="22.5" customHeight="1" x14ac:dyDescent="0.25">
      <c r="S527" s="1"/>
      <c r="V527" s="141"/>
      <c r="W527" s="141"/>
      <c r="AF527" s="1"/>
      <c r="AN527" s="1"/>
      <c r="AV527" s="1"/>
    </row>
    <row r="528" spans="19:48" s="21" customFormat="1" ht="22.5" customHeight="1" x14ac:dyDescent="0.25">
      <c r="S528" s="1"/>
      <c r="V528" s="141"/>
      <c r="W528" s="141"/>
      <c r="AF528" s="1"/>
      <c r="AN528" s="1"/>
      <c r="AV528" s="1"/>
    </row>
    <row r="529" spans="19:48" s="21" customFormat="1" ht="22.5" customHeight="1" x14ac:dyDescent="0.25">
      <c r="S529" s="1"/>
      <c r="V529" s="141"/>
      <c r="W529" s="141"/>
      <c r="AF529" s="1"/>
      <c r="AN529" s="1"/>
      <c r="AV529" s="1"/>
    </row>
    <row r="530" spans="19:48" s="21" customFormat="1" ht="22.5" customHeight="1" x14ac:dyDescent="0.25">
      <c r="S530" s="1"/>
      <c r="V530" s="141"/>
      <c r="W530" s="141"/>
      <c r="AF530" s="1"/>
      <c r="AN530" s="1"/>
      <c r="AV530" s="1"/>
    </row>
    <row r="531" spans="19:48" s="21" customFormat="1" ht="22.5" customHeight="1" x14ac:dyDescent="0.25">
      <c r="S531" s="1"/>
      <c r="V531" s="141"/>
      <c r="W531" s="141"/>
      <c r="AF531" s="1"/>
      <c r="AN531" s="1"/>
      <c r="AV531" s="1"/>
    </row>
    <row r="532" spans="19:48" s="21" customFormat="1" ht="22.5" customHeight="1" x14ac:dyDescent="0.25">
      <c r="S532" s="1"/>
      <c r="V532" s="141"/>
      <c r="W532" s="141"/>
      <c r="AF532" s="1"/>
      <c r="AN532" s="1"/>
      <c r="AV532" s="1"/>
    </row>
    <row r="533" spans="19:48" s="21" customFormat="1" ht="22.5" customHeight="1" x14ac:dyDescent="0.25">
      <c r="S533" s="1"/>
      <c r="V533" s="141"/>
      <c r="W533" s="141"/>
      <c r="AF533" s="1"/>
      <c r="AN533" s="1"/>
      <c r="AV533" s="1"/>
    </row>
    <row r="534" spans="19:48" s="21" customFormat="1" ht="22.5" customHeight="1" x14ac:dyDescent="0.25">
      <c r="S534" s="1"/>
      <c r="V534" s="141"/>
      <c r="W534" s="141"/>
      <c r="AF534" s="1"/>
      <c r="AN534" s="1"/>
      <c r="AV534" s="1"/>
    </row>
    <row r="535" spans="19:48" s="21" customFormat="1" ht="22.5" customHeight="1" x14ac:dyDescent="0.25">
      <c r="S535" s="1"/>
      <c r="V535" s="141"/>
      <c r="W535" s="141"/>
      <c r="AF535" s="1"/>
      <c r="AN535" s="1"/>
      <c r="AV535" s="1"/>
    </row>
    <row r="536" spans="19:48" s="21" customFormat="1" ht="22.5" customHeight="1" x14ac:dyDescent="0.25">
      <c r="S536" s="1"/>
      <c r="V536" s="141"/>
      <c r="W536" s="141"/>
      <c r="AF536" s="1"/>
      <c r="AN536" s="1"/>
      <c r="AV536" s="1"/>
    </row>
    <row r="537" spans="19:48" s="21" customFormat="1" ht="22.5" customHeight="1" x14ac:dyDescent="0.25">
      <c r="S537" s="1"/>
      <c r="V537" s="141"/>
      <c r="W537" s="141"/>
      <c r="AF537" s="1"/>
      <c r="AN537" s="1"/>
      <c r="AV537" s="1"/>
    </row>
    <row r="538" spans="19:48" s="21" customFormat="1" ht="22.5" customHeight="1" x14ac:dyDescent="0.25">
      <c r="S538" s="1"/>
      <c r="V538" s="141"/>
      <c r="W538" s="141"/>
      <c r="AF538" s="1"/>
      <c r="AN538" s="1"/>
      <c r="AV538" s="1"/>
    </row>
    <row r="539" spans="19:48" s="21" customFormat="1" ht="22.5" customHeight="1" x14ac:dyDescent="0.25">
      <c r="S539" s="1"/>
      <c r="V539" s="141"/>
      <c r="W539" s="141"/>
      <c r="AF539" s="1"/>
      <c r="AN539" s="1"/>
      <c r="AV539" s="1"/>
    </row>
    <row r="540" spans="19:48" s="21" customFormat="1" ht="22.5" customHeight="1" x14ac:dyDescent="0.25">
      <c r="S540" s="1"/>
      <c r="V540" s="141"/>
      <c r="W540" s="141"/>
      <c r="AF540" s="1"/>
      <c r="AN540" s="1"/>
      <c r="AV540" s="1"/>
    </row>
    <row r="541" spans="19:48" s="21" customFormat="1" ht="22.5" customHeight="1" x14ac:dyDescent="0.25">
      <c r="S541" s="1"/>
      <c r="V541" s="141"/>
      <c r="W541" s="141"/>
      <c r="AF541" s="1"/>
      <c r="AN541" s="1"/>
      <c r="AV541" s="1"/>
    </row>
    <row r="542" spans="19:48" s="21" customFormat="1" ht="22.5" customHeight="1" x14ac:dyDescent="0.25">
      <c r="S542" s="1"/>
      <c r="V542" s="141"/>
      <c r="W542" s="141"/>
      <c r="AF542" s="1"/>
      <c r="AN542" s="1"/>
      <c r="AV542" s="1"/>
    </row>
    <row r="543" spans="19:48" s="21" customFormat="1" ht="22.5" customHeight="1" x14ac:dyDescent="0.25">
      <c r="S543" s="1"/>
      <c r="V543" s="141"/>
      <c r="W543" s="141"/>
      <c r="AF543" s="1"/>
      <c r="AN543" s="1"/>
      <c r="AV543" s="1"/>
    </row>
    <row r="544" spans="19:48" s="21" customFormat="1" ht="22.5" customHeight="1" x14ac:dyDescent="0.25">
      <c r="S544" s="1"/>
      <c r="V544" s="141"/>
      <c r="W544" s="141"/>
      <c r="AF544" s="1"/>
      <c r="AN544" s="1"/>
      <c r="AV544" s="1"/>
    </row>
    <row r="545" spans="19:48" s="21" customFormat="1" ht="22.5" customHeight="1" x14ac:dyDescent="0.25">
      <c r="S545" s="1"/>
      <c r="V545" s="141"/>
      <c r="W545" s="141"/>
      <c r="AF545" s="1"/>
      <c r="AN545" s="1"/>
      <c r="AV545" s="1"/>
    </row>
    <row r="546" spans="19:48" s="21" customFormat="1" ht="22.5" customHeight="1" x14ac:dyDescent="0.25">
      <c r="S546" s="1"/>
      <c r="V546" s="141"/>
      <c r="W546" s="141"/>
      <c r="AF546" s="1"/>
      <c r="AN546" s="1"/>
      <c r="AV546" s="1"/>
    </row>
    <row r="547" spans="19:48" s="21" customFormat="1" ht="22.5" customHeight="1" x14ac:dyDescent="0.25">
      <c r="S547" s="1"/>
      <c r="V547" s="141"/>
      <c r="W547" s="141"/>
      <c r="AF547" s="1"/>
      <c r="AN547" s="1"/>
      <c r="AV547" s="1"/>
    </row>
    <row r="548" spans="19:48" s="21" customFormat="1" ht="22.5" customHeight="1" x14ac:dyDescent="0.25">
      <c r="S548" s="1"/>
      <c r="V548" s="141"/>
      <c r="W548" s="141"/>
      <c r="AF548" s="1"/>
      <c r="AN548" s="1"/>
      <c r="AV548" s="1"/>
    </row>
    <row r="549" spans="19:48" s="21" customFormat="1" ht="22.5" customHeight="1" x14ac:dyDescent="0.25">
      <c r="S549" s="1"/>
      <c r="V549" s="141"/>
      <c r="W549" s="141"/>
      <c r="AF549" s="1"/>
      <c r="AN549" s="1"/>
      <c r="AV549" s="1"/>
    </row>
    <row r="550" spans="19:48" s="21" customFormat="1" ht="22.5" customHeight="1" x14ac:dyDescent="0.25">
      <c r="S550" s="1"/>
      <c r="V550" s="141"/>
      <c r="W550" s="141"/>
      <c r="AF550" s="1"/>
      <c r="AN550" s="1"/>
      <c r="AV550" s="1"/>
    </row>
    <row r="551" spans="19:48" s="21" customFormat="1" ht="22.5" customHeight="1" x14ac:dyDescent="0.25">
      <c r="S551" s="1"/>
      <c r="V551" s="141"/>
      <c r="W551" s="141"/>
      <c r="AF551" s="1"/>
      <c r="AN551" s="1"/>
      <c r="AV551" s="1"/>
    </row>
    <row r="552" spans="19:48" s="21" customFormat="1" ht="22.5" customHeight="1" x14ac:dyDescent="0.25">
      <c r="S552" s="1"/>
      <c r="V552" s="141"/>
      <c r="W552" s="141"/>
      <c r="AF552" s="1"/>
      <c r="AN552" s="1"/>
      <c r="AV552" s="1"/>
    </row>
    <row r="553" spans="19:48" s="21" customFormat="1" ht="22.5" customHeight="1" x14ac:dyDescent="0.25">
      <c r="S553" s="1"/>
      <c r="V553" s="141"/>
      <c r="W553" s="141"/>
      <c r="AF553" s="1"/>
      <c r="AN553" s="1"/>
      <c r="AV553" s="1"/>
    </row>
    <row r="554" spans="19:48" s="21" customFormat="1" ht="22.5" customHeight="1" x14ac:dyDescent="0.25">
      <c r="S554" s="1"/>
      <c r="V554" s="141"/>
      <c r="W554" s="141"/>
      <c r="AF554" s="1"/>
      <c r="AN554" s="1"/>
      <c r="AV554" s="1"/>
    </row>
    <row r="555" spans="19:48" s="21" customFormat="1" ht="22.5" customHeight="1" x14ac:dyDescent="0.25">
      <c r="S555" s="1"/>
      <c r="V555" s="141"/>
      <c r="W555" s="141"/>
      <c r="AF555" s="1"/>
      <c r="AN555" s="1"/>
      <c r="AV555" s="1"/>
    </row>
    <row r="556" spans="19:48" s="21" customFormat="1" ht="22.5" customHeight="1" x14ac:dyDescent="0.25">
      <c r="S556" s="1"/>
      <c r="V556" s="141"/>
      <c r="W556" s="141"/>
      <c r="AF556" s="1"/>
      <c r="AN556" s="1"/>
      <c r="AV556" s="1"/>
    </row>
    <row r="557" spans="19:48" s="21" customFormat="1" ht="22.5" customHeight="1" x14ac:dyDescent="0.25">
      <c r="S557" s="1"/>
      <c r="V557" s="141"/>
      <c r="W557" s="141"/>
      <c r="AF557" s="1"/>
      <c r="AN557" s="1"/>
      <c r="AV557" s="1"/>
    </row>
    <row r="558" spans="19:48" s="21" customFormat="1" ht="22.5" customHeight="1" x14ac:dyDescent="0.25">
      <c r="S558" s="1"/>
      <c r="V558" s="141"/>
      <c r="W558" s="141"/>
      <c r="AF558" s="1"/>
      <c r="AN558" s="1"/>
      <c r="AV558" s="1"/>
    </row>
    <row r="559" spans="19:48" s="21" customFormat="1" ht="22.5" customHeight="1" x14ac:dyDescent="0.25">
      <c r="S559" s="1"/>
      <c r="V559" s="141"/>
      <c r="W559" s="141"/>
      <c r="AF559" s="1"/>
      <c r="AN559" s="1"/>
      <c r="AV559" s="1"/>
    </row>
    <row r="560" spans="19:48" s="21" customFormat="1" ht="22.5" customHeight="1" x14ac:dyDescent="0.25">
      <c r="S560" s="1"/>
      <c r="V560" s="141"/>
      <c r="W560" s="141"/>
      <c r="AF560" s="1"/>
      <c r="AN560" s="1"/>
      <c r="AV560" s="1"/>
    </row>
    <row r="561" spans="19:48" s="21" customFormat="1" ht="22.5" customHeight="1" x14ac:dyDescent="0.25">
      <c r="S561" s="1"/>
      <c r="V561" s="141"/>
      <c r="W561" s="141"/>
      <c r="AF561" s="1"/>
      <c r="AN561" s="1"/>
      <c r="AV561" s="1"/>
    </row>
    <row r="562" spans="19:48" s="21" customFormat="1" ht="22.5" customHeight="1" x14ac:dyDescent="0.25">
      <c r="S562" s="1"/>
      <c r="V562" s="141"/>
      <c r="W562" s="141"/>
      <c r="AF562" s="1"/>
      <c r="AN562" s="1"/>
      <c r="AV562" s="1"/>
    </row>
    <row r="563" spans="19:48" s="21" customFormat="1" ht="22.5" customHeight="1" x14ac:dyDescent="0.25">
      <c r="S563" s="1"/>
      <c r="V563" s="141"/>
      <c r="W563" s="141"/>
      <c r="AF563" s="1"/>
      <c r="AN563" s="1"/>
      <c r="AV563" s="1"/>
    </row>
    <row r="564" spans="19:48" s="21" customFormat="1" ht="22.5" customHeight="1" x14ac:dyDescent="0.25">
      <c r="S564" s="1"/>
      <c r="V564" s="141"/>
      <c r="W564" s="141"/>
      <c r="AF564" s="1"/>
      <c r="AN564" s="1"/>
      <c r="AV564" s="1"/>
    </row>
    <row r="565" spans="19:48" s="21" customFormat="1" ht="22.5" customHeight="1" x14ac:dyDescent="0.25">
      <c r="S565" s="1"/>
      <c r="V565" s="141"/>
      <c r="W565" s="141"/>
      <c r="AF565" s="1"/>
      <c r="AN565" s="1"/>
      <c r="AV565" s="1"/>
    </row>
    <row r="566" spans="19:48" s="21" customFormat="1" ht="22.5" customHeight="1" x14ac:dyDescent="0.25">
      <c r="S566" s="1"/>
      <c r="V566" s="141"/>
      <c r="W566" s="141"/>
      <c r="AF566" s="1"/>
      <c r="AN566" s="1"/>
      <c r="AV566" s="1"/>
    </row>
    <row r="567" spans="19:48" s="21" customFormat="1" ht="22.5" customHeight="1" x14ac:dyDescent="0.25">
      <c r="S567" s="1"/>
      <c r="V567" s="141"/>
      <c r="W567" s="141"/>
      <c r="AF567" s="1"/>
      <c r="AN567" s="1"/>
      <c r="AV567" s="1"/>
    </row>
    <row r="568" spans="19:48" s="21" customFormat="1" ht="22.5" customHeight="1" x14ac:dyDescent="0.25">
      <c r="S568" s="1"/>
      <c r="V568" s="141"/>
      <c r="W568" s="141"/>
      <c r="AF568" s="1"/>
      <c r="AN568" s="1"/>
      <c r="AV568" s="1"/>
    </row>
    <row r="569" spans="19:48" s="21" customFormat="1" ht="22.5" customHeight="1" x14ac:dyDescent="0.25">
      <c r="S569" s="1"/>
      <c r="V569" s="141"/>
      <c r="W569" s="141"/>
      <c r="AF569" s="1"/>
      <c r="AN569" s="1"/>
      <c r="AV569" s="1"/>
    </row>
    <row r="570" spans="19:48" s="21" customFormat="1" ht="22.5" customHeight="1" x14ac:dyDescent="0.25">
      <c r="S570" s="1"/>
      <c r="V570" s="141"/>
      <c r="W570" s="141"/>
      <c r="AF570" s="1"/>
      <c r="AN570" s="1"/>
      <c r="AV570" s="1"/>
    </row>
    <row r="571" spans="19:48" s="21" customFormat="1" ht="22.5" customHeight="1" x14ac:dyDescent="0.25">
      <c r="S571" s="1"/>
      <c r="V571" s="141"/>
      <c r="W571" s="141"/>
      <c r="AF571" s="1"/>
      <c r="AN571" s="1"/>
      <c r="AV571" s="1"/>
    </row>
    <row r="572" spans="19:48" s="21" customFormat="1" ht="22.5" customHeight="1" x14ac:dyDescent="0.25">
      <c r="S572" s="1"/>
      <c r="V572" s="141"/>
      <c r="W572" s="141"/>
      <c r="AF572" s="1"/>
      <c r="AN572" s="1"/>
      <c r="AV572" s="1"/>
    </row>
    <row r="573" spans="19:48" s="21" customFormat="1" ht="22.5" customHeight="1" x14ac:dyDescent="0.25">
      <c r="S573" s="1"/>
      <c r="V573" s="141"/>
      <c r="W573" s="141"/>
      <c r="AF573" s="1"/>
      <c r="AN573" s="1"/>
      <c r="AV573" s="1"/>
    </row>
    <row r="574" spans="19:48" s="21" customFormat="1" ht="22.5" customHeight="1" x14ac:dyDescent="0.25">
      <c r="S574" s="1"/>
      <c r="V574" s="141"/>
      <c r="W574" s="141"/>
      <c r="AF574" s="1"/>
      <c r="AN574" s="1"/>
      <c r="AV574" s="1"/>
    </row>
    <row r="575" spans="19:48" s="21" customFormat="1" ht="22.5" customHeight="1" x14ac:dyDescent="0.25">
      <c r="S575" s="1"/>
      <c r="V575" s="141"/>
      <c r="W575" s="141"/>
      <c r="AF575" s="1"/>
      <c r="AN575" s="1"/>
      <c r="AV575" s="1"/>
    </row>
    <row r="576" spans="19:48" s="21" customFormat="1" ht="22.5" customHeight="1" x14ac:dyDescent="0.25">
      <c r="S576" s="1"/>
      <c r="V576" s="141"/>
      <c r="W576" s="141"/>
      <c r="AF576" s="1"/>
      <c r="AN576" s="1"/>
      <c r="AV576" s="1"/>
    </row>
    <row r="577" spans="19:48" s="21" customFormat="1" ht="22.5" customHeight="1" x14ac:dyDescent="0.25">
      <c r="S577" s="1"/>
      <c r="V577" s="141"/>
      <c r="W577" s="141"/>
      <c r="AF577" s="1"/>
      <c r="AN577" s="1"/>
      <c r="AV577" s="1"/>
    </row>
    <row r="578" spans="19:48" s="21" customFormat="1" ht="22.5" customHeight="1" x14ac:dyDescent="0.25">
      <c r="S578" s="1"/>
      <c r="V578" s="141"/>
      <c r="W578" s="141"/>
      <c r="AF578" s="1"/>
      <c r="AN578" s="1"/>
      <c r="AV578" s="1"/>
    </row>
    <row r="579" spans="19:48" s="21" customFormat="1" ht="22.5" customHeight="1" x14ac:dyDescent="0.25">
      <c r="S579" s="1"/>
      <c r="V579" s="141"/>
      <c r="W579" s="141"/>
      <c r="AF579" s="1"/>
      <c r="AN579" s="1"/>
      <c r="AV579" s="1"/>
    </row>
    <row r="580" spans="19:48" s="21" customFormat="1" ht="22.5" customHeight="1" x14ac:dyDescent="0.25">
      <c r="S580" s="1"/>
      <c r="V580" s="141"/>
      <c r="W580" s="141"/>
      <c r="AF580" s="1"/>
      <c r="AN580" s="1"/>
      <c r="AV580" s="1"/>
    </row>
    <row r="581" spans="19:48" s="21" customFormat="1" ht="22.5" customHeight="1" x14ac:dyDescent="0.25">
      <c r="S581" s="1"/>
      <c r="V581" s="141"/>
      <c r="W581" s="141"/>
      <c r="AF581" s="1"/>
      <c r="AN581" s="1"/>
      <c r="AV581" s="1"/>
    </row>
    <row r="582" spans="19:48" s="21" customFormat="1" ht="22.5" customHeight="1" x14ac:dyDescent="0.25">
      <c r="S582" s="1"/>
      <c r="V582" s="141"/>
      <c r="W582" s="141"/>
      <c r="AF582" s="1"/>
      <c r="AN582" s="1"/>
      <c r="AV582" s="1"/>
    </row>
    <row r="583" spans="19:48" s="21" customFormat="1" ht="22.5" customHeight="1" x14ac:dyDescent="0.25">
      <c r="S583" s="1"/>
      <c r="V583" s="141"/>
      <c r="W583" s="141"/>
      <c r="AF583" s="1"/>
      <c r="AN583" s="1"/>
      <c r="AV583" s="1"/>
    </row>
    <row r="584" spans="19:48" s="21" customFormat="1" ht="22.5" customHeight="1" x14ac:dyDescent="0.25">
      <c r="S584" s="1"/>
      <c r="V584" s="141"/>
      <c r="W584" s="141"/>
      <c r="AF584" s="1"/>
      <c r="AN584" s="1"/>
      <c r="AV584" s="1"/>
    </row>
    <row r="585" spans="19:48" s="21" customFormat="1" ht="22.5" customHeight="1" x14ac:dyDescent="0.25">
      <c r="S585" s="1"/>
      <c r="V585" s="141"/>
      <c r="W585" s="141"/>
      <c r="AF585" s="1"/>
      <c r="AN585" s="1"/>
      <c r="AV585" s="1"/>
    </row>
    <row r="586" spans="19:48" s="21" customFormat="1" ht="22.5" customHeight="1" x14ac:dyDescent="0.25">
      <c r="S586" s="1"/>
      <c r="V586" s="141"/>
      <c r="W586" s="141"/>
      <c r="AF586" s="1"/>
      <c r="AN586" s="1"/>
      <c r="AV586" s="1"/>
    </row>
    <row r="587" spans="19:48" s="21" customFormat="1" ht="22.5" customHeight="1" x14ac:dyDescent="0.25">
      <c r="S587" s="1"/>
      <c r="V587" s="141"/>
      <c r="W587" s="141"/>
      <c r="AF587" s="1"/>
      <c r="AN587" s="1"/>
      <c r="AV587" s="1"/>
    </row>
    <row r="588" spans="19:48" s="21" customFormat="1" ht="22.5" customHeight="1" x14ac:dyDescent="0.25">
      <c r="S588" s="1"/>
      <c r="V588" s="141"/>
      <c r="W588" s="141"/>
      <c r="AF588" s="1"/>
      <c r="AN588" s="1"/>
      <c r="AV588" s="1"/>
    </row>
    <row r="589" spans="19:48" s="21" customFormat="1" ht="22.5" customHeight="1" x14ac:dyDescent="0.25">
      <c r="S589" s="1"/>
      <c r="V589" s="141"/>
      <c r="W589" s="141"/>
      <c r="AF589" s="1"/>
      <c r="AN589" s="1"/>
      <c r="AV589" s="1"/>
    </row>
    <row r="590" spans="19:48" s="21" customFormat="1" ht="22.5" customHeight="1" x14ac:dyDescent="0.25">
      <c r="S590" s="1"/>
      <c r="V590" s="141"/>
      <c r="W590" s="141"/>
      <c r="AF590" s="1"/>
      <c r="AN590" s="1"/>
      <c r="AV590" s="1"/>
    </row>
    <row r="591" spans="19:48" s="21" customFormat="1" ht="22.5" customHeight="1" x14ac:dyDescent="0.25">
      <c r="S591" s="1"/>
      <c r="V591" s="141"/>
      <c r="W591" s="141"/>
      <c r="AF591" s="1"/>
      <c r="AN591" s="1"/>
      <c r="AV591" s="1"/>
    </row>
    <row r="592" spans="19:48" s="21" customFormat="1" ht="22.5" customHeight="1" x14ac:dyDescent="0.25">
      <c r="S592" s="1"/>
      <c r="V592" s="141"/>
      <c r="W592" s="141"/>
      <c r="AF592" s="1"/>
      <c r="AN592" s="1"/>
      <c r="AV592" s="1"/>
    </row>
    <row r="593" spans="19:48" s="21" customFormat="1" ht="22.5" customHeight="1" x14ac:dyDescent="0.25">
      <c r="S593" s="1"/>
      <c r="V593" s="141"/>
      <c r="W593" s="141"/>
      <c r="AF593" s="1"/>
      <c r="AN593" s="1"/>
      <c r="AV593" s="1"/>
    </row>
    <row r="594" spans="19:48" s="21" customFormat="1" ht="22.5" customHeight="1" x14ac:dyDescent="0.25">
      <c r="S594" s="1"/>
      <c r="V594" s="141"/>
      <c r="W594" s="141"/>
      <c r="AF594" s="1"/>
      <c r="AN594" s="1"/>
      <c r="AV594" s="1"/>
    </row>
    <row r="595" spans="19:48" s="21" customFormat="1" ht="22.5" customHeight="1" x14ac:dyDescent="0.25">
      <c r="S595" s="1"/>
      <c r="V595" s="141"/>
      <c r="W595" s="141"/>
      <c r="AF595" s="1"/>
      <c r="AN595" s="1"/>
      <c r="AV595" s="1"/>
    </row>
    <row r="596" spans="19:48" s="21" customFormat="1" ht="22.5" customHeight="1" x14ac:dyDescent="0.25">
      <c r="S596" s="1"/>
      <c r="V596" s="141"/>
      <c r="W596" s="141"/>
      <c r="AF596" s="1"/>
      <c r="AN596" s="1"/>
      <c r="AV596" s="1"/>
    </row>
    <row r="597" spans="19:48" s="21" customFormat="1" ht="22.5" customHeight="1" x14ac:dyDescent="0.25">
      <c r="S597" s="1"/>
      <c r="V597" s="141"/>
      <c r="W597" s="141"/>
      <c r="AF597" s="1"/>
      <c r="AN597" s="1"/>
      <c r="AV597" s="1"/>
    </row>
    <row r="598" spans="19:48" s="21" customFormat="1" ht="22.5" customHeight="1" x14ac:dyDescent="0.25">
      <c r="S598" s="1"/>
      <c r="V598" s="141"/>
      <c r="W598" s="141"/>
      <c r="AF598" s="1"/>
      <c r="AN598" s="1"/>
      <c r="AV598" s="1"/>
    </row>
    <row r="599" spans="19:48" s="21" customFormat="1" ht="22.5" customHeight="1" x14ac:dyDescent="0.25">
      <c r="S599" s="1"/>
      <c r="V599" s="141"/>
      <c r="W599" s="141"/>
      <c r="AF599" s="1"/>
      <c r="AN599" s="1"/>
      <c r="AV599" s="1"/>
    </row>
    <row r="600" spans="19:48" s="21" customFormat="1" ht="22.5" customHeight="1" x14ac:dyDescent="0.25">
      <c r="S600" s="1"/>
      <c r="V600" s="141"/>
      <c r="W600" s="141"/>
      <c r="AF600" s="1"/>
      <c r="AN600" s="1"/>
      <c r="AV600" s="1"/>
    </row>
    <row r="601" spans="19:48" s="21" customFormat="1" ht="22.5" customHeight="1" x14ac:dyDescent="0.25">
      <c r="S601" s="1"/>
      <c r="V601" s="141"/>
      <c r="W601" s="141"/>
      <c r="AF601" s="1"/>
      <c r="AN601" s="1"/>
      <c r="AV601" s="1"/>
    </row>
    <row r="602" spans="19:48" s="21" customFormat="1" ht="22.5" customHeight="1" x14ac:dyDescent="0.25">
      <c r="S602" s="1"/>
      <c r="V602" s="141"/>
      <c r="W602" s="141"/>
      <c r="AF602" s="1"/>
      <c r="AN602" s="1"/>
      <c r="AV602" s="1"/>
    </row>
    <row r="603" spans="19:48" s="21" customFormat="1" ht="22.5" customHeight="1" x14ac:dyDescent="0.25">
      <c r="S603" s="1"/>
      <c r="V603" s="141"/>
      <c r="W603" s="141"/>
      <c r="AF603" s="1"/>
      <c r="AN603" s="1"/>
      <c r="AV603" s="1"/>
    </row>
    <row r="604" spans="19:48" s="21" customFormat="1" ht="22.5" customHeight="1" x14ac:dyDescent="0.25">
      <c r="S604" s="1"/>
      <c r="V604" s="141"/>
      <c r="W604" s="141"/>
      <c r="AF604" s="1"/>
      <c r="AN604" s="1"/>
      <c r="AV604" s="1"/>
    </row>
    <row r="605" spans="19:48" s="21" customFormat="1" ht="22.5" customHeight="1" x14ac:dyDescent="0.25">
      <c r="S605" s="1"/>
      <c r="V605" s="141"/>
      <c r="W605" s="141"/>
      <c r="AF605" s="1"/>
      <c r="AN605" s="1"/>
      <c r="AV605" s="1"/>
    </row>
    <row r="606" spans="19:48" s="21" customFormat="1" ht="22.5" customHeight="1" x14ac:dyDescent="0.25">
      <c r="S606" s="1"/>
      <c r="V606" s="141"/>
      <c r="W606" s="141"/>
      <c r="AF606" s="1"/>
      <c r="AN606" s="1"/>
      <c r="AV606" s="1"/>
    </row>
    <row r="607" spans="19:48" s="21" customFormat="1" ht="22.5" customHeight="1" x14ac:dyDescent="0.25">
      <c r="S607" s="1"/>
      <c r="V607" s="141"/>
      <c r="W607" s="141"/>
      <c r="AF607" s="1"/>
      <c r="AN607" s="1"/>
      <c r="AV607" s="1"/>
    </row>
    <row r="608" spans="19:48" s="21" customFormat="1" ht="22.5" customHeight="1" x14ac:dyDescent="0.25">
      <c r="S608" s="1"/>
      <c r="V608" s="141"/>
      <c r="W608" s="141"/>
      <c r="AF608" s="1"/>
      <c r="AN608" s="1"/>
      <c r="AV608" s="1"/>
    </row>
    <row r="609" spans="19:48" s="21" customFormat="1" ht="22.5" customHeight="1" x14ac:dyDescent="0.25">
      <c r="S609" s="1"/>
      <c r="V609" s="141"/>
      <c r="W609" s="141"/>
      <c r="AF609" s="1"/>
      <c r="AN609" s="1"/>
      <c r="AV609" s="1"/>
    </row>
    <row r="610" spans="19:48" s="21" customFormat="1" ht="22.5" customHeight="1" x14ac:dyDescent="0.25">
      <c r="S610" s="1"/>
      <c r="V610" s="141"/>
      <c r="W610" s="141"/>
      <c r="AF610" s="1"/>
      <c r="AN610" s="1"/>
      <c r="AV610" s="1"/>
    </row>
    <row r="611" spans="19:48" s="21" customFormat="1" ht="22.5" customHeight="1" x14ac:dyDescent="0.25">
      <c r="S611" s="1"/>
      <c r="V611" s="141"/>
      <c r="W611" s="141"/>
      <c r="AF611" s="1"/>
      <c r="AN611" s="1"/>
      <c r="AV611" s="1"/>
    </row>
    <row r="612" spans="19:48" s="21" customFormat="1" ht="22.5" customHeight="1" x14ac:dyDescent="0.25">
      <c r="S612" s="1"/>
      <c r="V612" s="141"/>
      <c r="W612" s="141"/>
      <c r="AF612" s="1"/>
      <c r="AN612" s="1"/>
      <c r="AV612" s="1"/>
    </row>
    <row r="613" spans="19:48" s="21" customFormat="1" ht="22.5" customHeight="1" x14ac:dyDescent="0.25">
      <c r="S613" s="1"/>
      <c r="V613" s="141"/>
      <c r="W613" s="141"/>
      <c r="AF613" s="1"/>
      <c r="AN613" s="1"/>
      <c r="AV613" s="1"/>
    </row>
    <row r="614" spans="19:48" s="21" customFormat="1" ht="22.5" customHeight="1" x14ac:dyDescent="0.25">
      <c r="S614" s="1"/>
      <c r="V614" s="141"/>
      <c r="W614" s="141"/>
      <c r="AF614" s="1"/>
      <c r="AN614" s="1"/>
      <c r="AV614" s="1"/>
    </row>
    <row r="615" spans="19:48" s="21" customFormat="1" ht="22.5" customHeight="1" x14ac:dyDescent="0.25">
      <c r="S615" s="1"/>
      <c r="V615" s="141"/>
      <c r="W615" s="141"/>
      <c r="AF615" s="1"/>
      <c r="AN615" s="1"/>
      <c r="AV615" s="1"/>
    </row>
    <row r="616" spans="19:48" s="21" customFormat="1" ht="22.5" customHeight="1" x14ac:dyDescent="0.25">
      <c r="S616" s="1"/>
      <c r="V616" s="141"/>
      <c r="W616" s="141"/>
      <c r="AF616" s="1"/>
      <c r="AN616" s="1"/>
      <c r="AV616" s="1"/>
    </row>
    <row r="617" spans="19:48" s="21" customFormat="1" ht="22.5" customHeight="1" x14ac:dyDescent="0.25">
      <c r="S617" s="1"/>
      <c r="V617" s="141"/>
      <c r="W617" s="141"/>
      <c r="AF617" s="1"/>
      <c r="AN617" s="1"/>
      <c r="AV617" s="1"/>
    </row>
    <row r="618" spans="19:48" s="21" customFormat="1" ht="22.5" customHeight="1" x14ac:dyDescent="0.25">
      <c r="S618" s="1"/>
      <c r="V618" s="141"/>
      <c r="W618" s="141"/>
      <c r="AF618" s="1"/>
      <c r="AN618" s="1"/>
      <c r="AV618" s="1"/>
    </row>
  </sheetData>
  <sheetProtection algorithmName="SHA-512" hashValue="RIorJoWSBSfe8nDpzO2Y6Ir4KvOVRRcC1kRexnjz85J5pDae9Iwz/q+MllGiFYQf45FMoKO+MNxJ8EqRCqvdbw==" saltValue="hvaoe6t22ciu8sAbGwewJg==" spinCount="100000" sheet="1" objects="1" scenarios="1" selectLockedCells="1" selectUnlockedCells="1"/>
  <mergeCells count="659">
    <mergeCell ref="Y79:Z79"/>
    <mergeCell ref="AC79:AD79"/>
    <mergeCell ref="AG79:AH79"/>
    <mergeCell ref="AK79:AL79"/>
    <mergeCell ref="AO79:AP79"/>
    <mergeCell ref="AS79:AT79"/>
    <mergeCell ref="Y76:Z76"/>
    <mergeCell ref="AC76:AD76"/>
    <mergeCell ref="AG76:AH76"/>
    <mergeCell ref="AK76:AL76"/>
    <mergeCell ref="AO76:AP76"/>
    <mergeCell ref="AS76:AT76"/>
    <mergeCell ref="Q74:U74"/>
    <mergeCell ref="AC74:AF74"/>
    <mergeCell ref="AK74:AN74"/>
    <mergeCell ref="AS74:AV74"/>
    <mergeCell ref="Q75:U75"/>
    <mergeCell ref="AC75:AF75"/>
    <mergeCell ref="AK75:AN75"/>
    <mergeCell ref="AS75:AV75"/>
    <mergeCell ref="Y73:Z73"/>
    <mergeCell ref="AC73:AD73"/>
    <mergeCell ref="AG73:AH73"/>
    <mergeCell ref="AK73:AL73"/>
    <mergeCell ref="AO73:AP73"/>
    <mergeCell ref="AS73:AT73"/>
    <mergeCell ref="Q71:U71"/>
    <mergeCell ref="AC71:AF71"/>
    <mergeCell ref="AK71:AN71"/>
    <mergeCell ref="AS71:AV71"/>
    <mergeCell ref="Q72:U72"/>
    <mergeCell ref="AC72:AF72"/>
    <mergeCell ref="AK72:AN72"/>
    <mergeCell ref="AS72:AV72"/>
    <mergeCell ref="Q69:U69"/>
    <mergeCell ref="AC69:AF69"/>
    <mergeCell ref="AK69:AN69"/>
    <mergeCell ref="AS69:AV69"/>
    <mergeCell ref="Q70:U70"/>
    <mergeCell ref="AC70:AF70"/>
    <mergeCell ref="AK70:AN70"/>
    <mergeCell ref="AS70:AV70"/>
    <mergeCell ref="Q67:U67"/>
    <mergeCell ref="AC67:AF67"/>
    <mergeCell ref="AK67:AN67"/>
    <mergeCell ref="AS67:AV67"/>
    <mergeCell ref="Q68:U68"/>
    <mergeCell ref="AC68:AF68"/>
    <mergeCell ref="AK68:AN68"/>
    <mergeCell ref="AS68:AV68"/>
    <mergeCell ref="Y66:Z66"/>
    <mergeCell ref="AC66:AD66"/>
    <mergeCell ref="AG66:AH66"/>
    <mergeCell ref="AK66:AL66"/>
    <mergeCell ref="AO66:AP66"/>
    <mergeCell ref="AS66:AT66"/>
    <mergeCell ref="Q64:U64"/>
    <mergeCell ref="AC64:AF64"/>
    <mergeCell ref="AK64:AN64"/>
    <mergeCell ref="AS64:AV64"/>
    <mergeCell ref="Q65:U65"/>
    <mergeCell ref="AC65:AF65"/>
    <mergeCell ref="AK65:AN65"/>
    <mergeCell ref="AS65:AV65"/>
    <mergeCell ref="Q62:U62"/>
    <mergeCell ref="AC62:AF62"/>
    <mergeCell ref="AK62:AN62"/>
    <mergeCell ref="AS62:AV62"/>
    <mergeCell ref="Q63:U63"/>
    <mergeCell ref="AC63:AF63"/>
    <mergeCell ref="AK63:AN63"/>
    <mergeCell ref="AS63:AV63"/>
    <mergeCell ref="W58:W60"/>
    <mergeCell ref="Q59:U59"/>
    <mergeCell ref="AC59:AF59"/>
    <mergeCell ref="AK59:AN59"/>
    <mergeCell ref="AS59:AV59"/>
    <mergeCell ref="Q60:U60"/>
    <mergeCell ref="AC60:AF60"/>
    <mergeCell ref="AK60:AN60"/>
    <mergeCell ref="AS60:AV60"/>
    <mergeCell ref="Y57:Z57"/>
    <mergeCell ref="AC57:AD57"/>
    <mergeCell ref="AG57:AH57"/>
    <mergeCell ref="AK57:AL57"/>
    <mergeCell ref="AO57:AP57"/>
    <mergeCell ref="AS57:AT57"/>
    <mergeCell ref="Y61:Z61"/>
    <mergeCell ref="AC61:AD61"/>
    <mergeCell ref="AG61:AH61"/>
    <mergeCell ref="AK61:AL61"/>
    <mergeCell ref="AO61:AP61"/>
    <mergeCell ref="AS61:AT61"/>
    <mergeCell ref="AS53:AT53"/>
    <mergeCell ref="Q54:U54"/>
    <mergeCell ref="W54:W56"/>
    <mergeCell ref="AC54:AF54"/>
    <mergeCell ref="AK54:AN54"/>
    <mergeCell ref="AS54:AV54"/>
    <mergeCell ref="Q55:U55"/>
    <mergeCell ref="AC55:AF55"/>
    <mergeCell ref="AK55:AN55"/>
    <mergeCell ref="AS55:AV55"/>
    <mergeCell ref="Q56:U56"/>
    <mergeCell ref="AC56:AF56"/>
    <mergeCell ref="AK56:AN56"/>
    <mergeCell ref="AS56:AV56"/>
    <mergeCell ref="AP50:AP52"/>
    <mergeCell ref="AQ50:AQ52"/>
    <mergeCell ref="AR50:AR52"/>
    <mergeCell ref="Y53:Z53"/>
    <mergeCell ref="AC53:AD53"/>
    <mergeCell ref="AG53:AH53"/>
    <mergeCell ref="AK53:AL53"/>
    <mergeCell ref="AO53:AP53"/>
    <mergeCell ref="AB50:AB52"/>
    <mergeCell ref="AG50:AG52"/>
    <mergeCell ref="AH50:AH52"/>
    <mergeCell ref="AI50:AI52"/>
    <mergeCell ref="AJ50:AJ52"/>
    <mergeCell ref="AO50:AO52"/>
    <mergeCell ref="AP48:AP49"/>
    <mergeCell ref="AQ48:AQ49"/>
    <mergeCell ref="AR48:AR49"/>
    <mergeCell ref="A50:A52"/>
    <mergeCell ref="B50:B52"/>
    <mergeCell ref="C50:C52"/>
    <mergeCell ref="D50:D52"/>
    <mergeCell ref="E50:E52"/>
    <mergeCell ref="F50:F52"/>
    <mergeCell ref="G50:G52"/>
    <mergeCell ref="AB48:AB49"/>
    <mergeCell ref="AG48:AG49"/>
    <mergeCell ref="AH48:AH49"/>
    <mergeCell ref="AI48:AI49"/>
    <mergeCell ref="AJ48:AJ49"/>
    <mergeCell ref="AO48:AO49"/>
    <mergeCell ref="N48:N49"/>
    <mergeCell ref="O48:O49"/>
    <mergeCell ref="P48:P49"/>
    <mergeCell ref="V48:V49"/>
    <mergeCell ref="Y48:Y49"/>
    <mergeCell ref="Z48:Z49"/>
    <mergeCell ref="H48:H49"/>
    <mergeCell ref="I48:I49"/>
    <mergeCell ref="A48:A49"/>
    <mergeCell ref="B48:B49"/>
    <mergeCell ref="C48:C49"/>
    <mergeCell ref="D48:D49"/>
    <mergeCell ref="E48:E49"/>
    <mergeCell ref="F48:F49"/>
    <mergeCell ref="G48:G49"/>
    <mergeCell ref="AB46:AB47"/>
    <mergeCell ref="AG46:AG47"/>
    <mergeCell ref="P46:P47"/>
    <mergeCell ref="V46:V47"/>
    <mergeCell ref="W46:W52"/>
    <mergeCell ref="Y46:Y47"/>
    <mergeCell ref="N50:N52"/>
    <mergeCell ref="O50:O52"/>
    <mergeCell ref="P50:P52"/>
    <mergeCell ref="V50:V52"/>
    <mergeCell ref="Y50:Y52"/>
    <mergeCell ref="Z50:Z52"/>
    <mergeCell ref="H50:H52"/>
    <mergeCell ref="I50:I52"/>
    <mergeCell ref="J50:J52"/>
    <mergeCell ref="K50:K52"/>
    <mergeCell ref="L50:L52"/>
    <mergeCell ref="AA48:AA49"/>
    <mergeCell ref="AA50:AA52"/>
    <mergeCell ref="J46:J47"/>
    <mergeCell ref="K46:K47"/>
    <mergeCell ref="L46:L47"/>
    <mergeCell ref="M46:M47"/>
    <mergeCell ref="N46:N47"/>
    <mergeCell ref="O46:O47"/>
    <mergeCell ref="J48:J49"/>
    <mergeCell ref="K48:K49"/>
    <mergeCell ref="L48:L49"/>
    <mergeCell ref="M48:M49"/>
    <mergeCell ref="M50:M52"/>
    <mergeCell ref="AS45:AT45"/>
    <mergeCell ref="A46:A47"/>
    <mergeCell ref="B46:B47"/>
    <mergeCell ref="C46:C47"/>
    <mergeCell ref="D46:D47"/>
    <mergeCell ref="E46:E47"/>
    <mergeCell ref="F46:F47"/>
    <mergeCell ref="G46:G47"/>
    <mergeCell ref="H46:H47"/>
    <mergeCell ref="I46:I47"/>
    <mergeCell ref="Z46:Z47"/>
    <mergeCell ref="AA46:AA47"/>
    <mergeCell ref="AP46:AP47"/>
    <mergeCell ref="AQ46:AQ47"/>
    <mergeCell ref="AR46:AR47"/>
    <mergeCell ref="AH46:AH47"/>
    <mergeCell ref="AI46:AI47"/>
    <mergeCell ref="AJ46:AJ47"/>
    <mergeCell ref="AO46:AO47"/>
    <mergeCell ref="AP42:AP44"/>
    <mergeCell ref="AQ42:AQ44"/>
    <mergeCell ref="AR42:AR44"/>
    <mergeCell ref="Y45:Z45"/>
    <mergeCell ref="AC45:AD45"/>
    <mergeCell ref="AG45:AH45"/>
    <mergeCell ref="AK45:AL45"/>
    <mergeCell ref="AO45:AP45"/>
    <mergeCell ref="AB42:AB44"/>
    <mergeCell ref="AG42:AG44"/>
    <mergeCell ref="AH42:AH44"/>
    <mergeCell ref="AI42:AI44"/>
    <mergeCell ref="AJ42:AJ44"/>
    <mergeCell ref="AO42:AO44"/>
    <mergeCell ref="AP40:AP41"/>
    <mergeCell ref="AQ40:AQ41"/>
    <mergeCell ref="AR40:AR41"/>
    <mergeCell ref="A42:A44"/>
    <mergeCell ref="B42:B44"/>
    <mergeCell ref="C42:C44"/>
    <mergeCell ref="D42:D44"/>
    <mergeCell ref="E42:E44"/>
    <mergeCell ref="F42:F44"/>
    <mergeCell ref="G42:G44"/>
    <mergeCell ref="AB40:AB41"/>
    <mergeCell ref="AG40:AG41"/>
    <mergeCell ref="AH40:AH41"/>
    <mergeCell ref="AI40:AI41"/>
    <mergeCell ref="AJ40:AJ41"/>
    <mergeCell ref="AO40:AO41"/>
    <mergeCell ref="N40:N41"/>
    <mergeCell ref="O40:O41"/>
    <mergeCell ref="P40:P41"/>
    <mergeCell ref="V40:V41"/>
    <mergeCell ref="Y40:Y41"/>
    <mergeCell ref="Z40:Z41"/>
    <mergeCell ref="H40:H41"/>
    <mergeCell ref="I40:I41"/>
    <mergeCell ref="A40:A41"/>
    <mergeCell ref="B40:B41"/>
    <mergeCell ref="C40:C41"/>
    <mergeCell ref="D40:D41"/>
    <mergeCell ref="E40:E41"/>
    <mergeCell ref="F40:F41"/>
    <mergeCell ref="G40:G41"/>
    <mergeCell ref="AB38:AB39"/>
    <mergeCell ref="AG38:AG39"/>
    <mergeCell ref="P38:P39"/>
    <mergeCell ref="V38:V39"/>
    <mergeCell ref="W38:W44"/>
    <mergeCell ref="Y38:Y39"/>
    <mergeCell ref="N42:N44"/>
    <mergeCell ref="O42:O44"/>
    <mergeCell ref="P42:P44"/>
    <mergeCell ref="V42:V44"/>
    <mergeCell ref="Y42:Y44"/>
    <mergeCell ref="Z42:Z44"/>
    <mergeCell ref="H42:H44"/>
    <mergeCell ref="I42:I44"/>
    <mergeCell ref="J42:J44"/>
    <mergeCell ref="K42:K44"/>
    <mergeCell ref="L42:L44"/>
    <mergeCell ref="AA40:AA41"/>
    <mergeCell ref="AA42:AA44"/>
    <mergeCell ref="J38:J39"/>
    <mergeCell ref="K38:K39"/>
    <mergeCell ref="L38:L39"/>
    <mergeCell ref="M38:M39"/>
    <mergeCell ref="N38:N39"/>
    <mergeCell ref="O38:O39"/>
    <mergeCell ref="J40:J41"/>
    <mergeCell ref="K40:K41"/>
    <mergeCell ref="L40:L41"/>
    <mergeCell ref="M40:M41"/>
    <mergeCell ref="M42:M44"/>
    <mergeCell ref="AS37:AT37"/>
    <mergeCell ref="A38:A39"/>
    <mergeCell ref="B38:B39"/>
    <mergeCell ref="C38:C39"/>
    <mergeCell ref="D38:D39"/>
    <mergeCell ref="E38:E39"/>
    <mergeCell ref="F38:F39"/>
    <mergeCell ref="G38:G39"/>
    <mergeCell ref="H38:H39"/>
    <mergeCell ref="I38:I39"/>
    <mergeCell ref="Z38:Z39"/>
    <mergeCell ref="AA38:AA39"/>
    <mergeCell ref="AP38:AP39"/>
    <mergeCell ref="AQ38:AQ39"/>
    <mergeCell ref="AR38:AR39"/>
    <mergeCell ref="AH38:AH39"/>
    <mergeCell ref="AI38:AI39"/>
    <mergeCell ref="AJ38:AJ39"/>
    <mergeCell ref="AO38:AO39"/>
    <mergeCell ref="AP34:AP36"/>
    <mergeCell ref="AQ34:AQ36"/>
    <mergeCell ref="AR34:AR36"/>
    <mergeCell ref="Y37:Z37"/>
    <mergeCell ref="AC37:AD37"/>
    <mergeCell ref="AG37:AH37"/>
    <mergeCell ref="AK37:AL37"/>
    <mergeCell ref="AO37:AP37"/>
    <mergeCell ref="AB34:AB36"/>
    <mergeCell ref="AG34:AG36"/>
    <mergeCell ref="AH34:AH36"/>
    <mergeCell ref="AI34:AI36"/>
    <mergeCell ref="AJ34:AJ36"/>
    <mergeCell ref="AO34:AO36"/>
    <mergeCell ref="AP32:AP33"/>
    <mergeCell ref="AQ32:AQ33"/>
    <mergeCell ref="AR32:AR33"/>
    <mergeCell ref="A34:A36"/>
    <mergeCell ref="B34:B36"/>
    <mergeCell ref="C34:C36"/>
    <mergeCell ref="D34:D36"/>
    <mergeCell ref="E34:E36"/>
    <mergeCell ref="F34:F36"/>
    <mergeCell ref="G34:G36"/>
    <mergeCell ref="AB32:AB33"/>
    <mergeCell ref="AG32:AG33"/>
    <mergeCell ref="AH32:AH33"/>
    <mergeCell ref="AI32:AI33"/>
    <mergeCell ref="AJ32:AJ33"/>
    <mergeCell ref="AO32:AO33"/>
    <mergeCell ref="N32:N33"/>
    <mergeCell ref="O32:O33"/>
    <mergeCell ref="P32:P33"/>
    <mergeCell ref="V32:V33"/>
    <mergeCell ref="Y32:Y33"/>
    <mergeCell ref="Z32:Z33"/>
    <mergeCell ref="H32:H33"/>
    <mergeCell ref="I32:I33"/>
    <mergeCell ref="A32:A33"/>
    <mergeCell ref="B32:B33"/>
    <mergeCell ref="C32:C33"/>
    <mergeCell ref="D32:D33"/>
    <mergeCell ref="E32:E33"/>
    <mergeCell ref="F32:F33"/>
    <mergeCell ref="G32:G33"/>
    <mergeCell ref="AB30:AB31"/>
    <mergeCell ref="AG30:AG31"/>
    <mergeCell ref="P30:P31"/>
    <mergeCell ref="V30:V31"/>
    <mergeCell ref="W30:W36"/>
    <mergeCell ref="Y30:Y31"/>
    <mergeCell ref="N34:N36"/>
    <mergeCell ref="O34:O36"/>
    <mergeCell ref="P34:P36"/>
    <mergeCell ref="V34:V36"/>
    <mergeCell ref="Y34:Y36"/>
    <mergeCell ref="Z34:Z36"/>
    <mergeCell ref="H34:H36"/>
    <mergeCell ref="I34:I36"/>
    <mergeCell ref="J34:J36"/>
    <mergeCell ref="K34:K36"/>
    <mergeCell ref="L34:L36"/>
    <mergeCell ref="AA32:AA33"/>
    <mergeCell ref="AA34:AA36"/>
    <mergeCell ref="J30:J31"/>
    <mergeCell ref="K30:K31"/>
    <mergeCell ref="L30:L31"/>
    <mergeCell ref="M30:M31"/>
    <mergeCell ref="N30:N31"/>
    <mergeCell ref="O30:O31"/>
    <mergeCell ref="J32:J33"/>
    <mergeCell ref="K32:K33"/>
    <mergeCell ref="L32:L33"/>
    <mergeCell ref="M32:M33"/>
    <mergeCell ref="M34:M36"/>
    <mergeCell ref="AS29:AT29"/>
    <mergeCell ref="A30:A31"/>
    <mergeCell ref="B30:B31"/>
    <mergeCell ref="C30:C31"/>
    <mergeCell ref="D30:D31"/>
    <mergeCell ref="E30:E31"/>
    <mergeCell ref="F30:F31"/>
    <mergeCell ref="G30:G31"/>
    <mergeCell ref="H30:H31"/>
    <mergeCell ref="I30:I31"/>
    <mergeCell ref="Z30:Z31"/>
    <mergeCell ref="AA30:AA31"/>
    <mergeCell ref="AP30:AP31"/>
    <mergeCell ref="AQ30:AQ31"/>
    <mergeCell ref="AR30:AR31"/>
    <mergeCell ref="AH30:AH31"/>
    <mergeCell ref="AI30:AI31"/>
    <mergeCell ref="AJ30:AJ31"/>
    <mergeCell ref="AO30:AO31"/>
    <mergeCell ref="AP26:AP28"/>
    <mergeCell ref="AQ26:AQ28"/>
    <mergeCell ref="AR26:AR28"/>
    <mergeCell ref="Y29:Z29"/>
    <mergeCell ref="AC29:AD29"/>
    <mergeCell ref="AG29:AH29"/>
    <mergeCell ref="AK29:AL29"/>
    <mergeCell ref="AO29:AP29"/>
    <mergeCell ref="AB26:AB28"/>
    <mergeCell ref="AG26:AG28"/>
    <mergeCell ref="AH26:AH28"/>
    <mergeCell ref="AI26:AI28"/>
    <mergeCell ref="AJ26:AJ28"/>
    <mergeCell ref="AO26:AO28"/>
    <mergeCell ref="AP24:AP25"/>
    <mergeCell ref="AQ24:AQ25"/>
    <mergeCell ref="AR24:AR25"/>
    <mergeCell ref="A26:A28"/>
    <mergeCell ref="B26:B28"/>
    <mergeCell ref="C26:C28"/>
    <mergeCell ref="D26:D28"/>
    <mergeCell ref="E26:E28"/>
    <mergeCell ref="F26:F28"/>
    <mergeCell ref="G26:G28"/>
    <mergeCell ref="AB24:AB25"/>
    <mergeCell ref="AG24:AG25"/>
    <mergeCell ref="AH24:AH25"/>
    <mergeCell ref="AI24:AI25"/>
    <mergeCell ref="AJ24:AJ25"/>
    <mergeCell ref="AO24:AO25"/>
    <mergeCell ref="N24:N25"/>
    <mergeCell ref="O24:O25"/>
    <mergeCell ref="P24:P25"/>
    <mergeCell ref="V24:V25"/>
    <mergeCell ref="Y24:Y25"/>
    <mergeCell ref="Z24:Z25"/>
    <mergeCell ref="H24:H25"/>
    <mergeCell ref="I24:I25"/>
    <mergeCell ref="A24:A25"/>
    <mergeCell ref="B24:B25"/>
    <mergeCell ref="C24:C25"/>
    <mergeCell ref="D24:D25"/>
    <mergeCell ref="E24:E25"/>
    <mergeCell ref="F24:F25"/>
    <mergeCell ref="G24:G25"/>
    <mergeCell ref="AB22:AB23"/>
    <mergeCell ref="AG22:AG23"/>
    <mergeCell ref="P22:P23"/>
    <mergeCell ref="V22:V23"/>
    <mergeCell ref="W22:W28"/>
    <mergeCell ref="Y22:Y23"/>
    <mergeCell ref="N26:N28"/>
    <mergeCell ref="O26:O28"/>
    <mergeCell ref="P26:P28"/>
    <mergeCell ref="V26:V28"/>
    <mergeCell ref="Y26:Y28"/>
    <mergeCell ref="Z26:Z28"/>
    <mergeCell ref="H26:H28"/>
    <mergeCell ref="I26:I28"/>
    <mergeCell ref="J26:J28"/>
    <mergeCell ref="K26:K28"/>
    <mergeCell ref="L26:L28"/>
    <mergeCell ref="AA24:AA25"/>
    <mergeCell ref="AA26:AA28"/>
    <mergeCell ref="J22:J23"/>
    <mergeCell ref="K22:K23"/>
    <mergeCell ref="L22:L23"/>
    <mergeCell ref="M22:M23"/>
    <mergeCell ref="N22:N23"/>
    <mergeCell ref="O22:O23"/>
    <mergeCell ref="J24:J25"/>
    <mergeCell ref="K24:K25"/>
    <mergeCell ref="L24:L25"/>
    <mergeCell ref="M24:M25"/>
    <mergeCell ref="M26:M28"/>
    <mergeCell ref="AS21:AT21"/>
    <mergeCell ref="A22:A23"/>
    <mergeCell ref="B22:B23"/>
    <mergeCell ref="C22:C23"/>
    <mergeCell ref="D22:D23"/>
    <mergeCell ref="E22:E23"/>
    <mergeCell ref="F22:F23"/>
    <mergeCell ref="G22:G23"/>
    <mergeCell ref="H22:H23"/>
    <mergeCell ref="I22:I23"/>
    <mergeCell ref="Z22:Z23"/>
    <mergeCell ref="AA22:AA23"/>
    <mergeCell ref="AP22:AP23"/>
    <mergeCell ref="AQ22:AQ23"/>
    <mergeCell ref="AR22:AR23"/>
    <mergeCell ref="AH22:AH23"/>
    <mergeCell ref="AI22:AI23"/>
    <mergeCell ref="AJ22:AJ23"/>
    <mergeCell ref="AO22:AO23"/>
    <mergeCell ref="M18:M20"/>
    <mergeCell ref="AP18:AP20"/>
    <mergeCell ref="AQ18:AQ20"/>
    <mergeCell ref="AR18:AR20"/>
    <mergeCell ref="Y21:Z21"/>
    <mergeCell ref="AC21:AD21"/>
    <mergeCell ref="AG21:AH21"/>
    <mergeCell ref="AK21:AL21"/>
    <mergeCell ref="AO21:AP21"/>
    <mergeCell ref="AB18:AB20"/>
    <mergeCell ref="AG18:AG20"/>
    <mergeCell ref="AH18:AH20"/>
    <mergeCell ref="AI18:AI20"/>
    <mergeCell ref="AJ18:AJ20"/>
    <mergeCell ref="AO18:AO20"/>
    <mergeCell ref="AP16:AP17"/>
    <mergeCell ref="AQ16:AQ17"/>
    <mergeCell ref="AR16:AR17"/>
    <mergeCell ref="A18:A20"/>
    <mergeCell ref="B18:B20"/>
    <mergeCell ref="C18:C20"/>
    <mergeCell ref="D18:D20"/>
    <mergeCell ref="E18:E20"/>
    <mergeCell ref="F18:F20"/>
    <mergeCell ref="G18:G20"/>
    <mergeCell ref="AB16:AB17"/>
    <mergeCell ref="AG16:AG17"/>
    <mergeCell ref="AH16:AH17"/>
    <mergeCell ref="AI16:AI17"/>
    <mergeCell ref="AJ16:AJ17"/>
    <mergeCell ref="AO16:AO17"/>
    <mergeCell ref="N16:N17"/>
    <mergeCell ref="O16:O17"/>
    <mergeCell ref="P16:P17"/>
    <mergeCell ref="V16:V17"/>
    <mergeCell ref="Y16:Y17"/>
    <mergeCell ref="Z16:Z17"/>
    <mergeCell ref="H16:H17"/>
    <mergeCell ref="I16:I17"/>
    <mergeCell ref="A16:A17"/>
    <mergeCell ref="B16:B17"/>
    <mergeCell ref="C16:C17"/>
    <mergeCell ref="D16:D17"/>
    <mergeCell ref="E16:E17"/>
    <mergeCell ref="F16:F17"/>
    <mergeCell ref="G16:G17"/>
    <mergeCell ref="AB14:AB15"/>
    <mergeCell ref="AG14:AG15"/>
    <mergeCell ref="P14:P15"/>
    <mergeCell ref="V14:V15"/>
    <mergeCell ref="W14:W20"/>
    <mergeCell ref="Y14:Y15"/>
    <mergeCell ref="N18:N20"/>
    <mergeCell ref="O18:O20"/>
    <mergeCell ref="P18:P20"/>
    <mergeCell ref="Y18:Y20"/>
    <mergeCell ref="Z18:Z20"/>
    <mergeCell ref="AA18:AA20"/>
    <mergeCell ref="H18:H20"/>
    <mergeCell ref="I18:I20"/>
    <mergeCell ref="J18:J20"/>
    <mergeCell ref="K18:K20"/>
    <mergeCell ref="L18:L20"/>
    <mergeCell ref="AA16:AA17"/>
    <mergeCell ref="J14:J15"/>
    <mergeCell ref="K14:K15"/>
    <mergeCell ref="L14:L15"/>
    <mergeCell ref="M14:M15"/>
    <mergeCell ref="N14:N15"/>
    <mergeCell ref="O14:O15"/>
    <mergeCell ref="J16:J17"/>
    <mergeCell ref="K16:K17"/>
    <mergeCell ref="L16:L17"/>
    <mergeCell ref="M16:M17"/>
    <mergeCell ref="AS13:AT13"/>
    <mergeCell ref="A14:A15"/>
    <mergeCell ref="B14:B15"/>
    <mergeCell ref="C14:C15"/>
    <mergeCell ref="D14:D15"/>
    <mergeCell ref="E14:E15"/>
    <mergeCell ref="F14:F15"/>
    <mergeCell ref="G14:G15"/>
    <mergeCell ref="H14:H15"/>
    <mergeCell ref="I14:I15"/>
    <mergeCell ref="Z14:Z15"/>
    <mergeCell ref="AA14:AA15"/>
    <mergeCell ref="AP14:AP15"/>
    <mergeCell ref="AQ14:AQ15"/>
    <mergeCell ref="AR14:AR15"/>
    <mergeCell ref="AH14:AH15"/>
    <mergeCell ref="AI14:AI15"/>
    <mergeCell ref="AJ14:AJ15"/>
    <mergeCell ref="AO14:AO15"/>
    <mergeCell ref="Y13:Z13"/>
    <mergeCell ref="AC13:AD13"/>
    <mergeCell ref="AG13:AH13"/>
    <mergeCell ref="AK13:AL13"/>
    <mergeCell ref="AO13:AP13"/>
    <mergeCell ref="Z10:Z12"/>
    <mergeCell ref="AA10:AA12"/>
    <mergeCell ref="AB10:AB12"/>
    <mergeCell ref="AG10:AG12"/>
    <mergeCell ref="AH10:AH12"/>
    <mergeCell ref="AI10:AI12"/>
    <mergeCell ref="AS9:AV9"/>
    <mergeCell ref="C10:C12"/>
    <mergeCell ref="D10:D12"/>
    <mergeCell ref="E10:E12"/>
    <mergeCell ref="F10:F12"/>
    <mergeCell ref="G10:G12"/>
    <mergeCell ref="H10:H12"/>
    <mergeCell ref="I10:I12"/>
    <mergeCell ref="J10:J12"/>
    <mergeCell ref="K10:K12"/>
    <mergeCell ref="AJ10:AJ12"/>
    <mergeCell ref="AO10:AO12"/>
    <mergeCell ref="AP10:AP12"/>
    <mergeCell ref="AQ10:AQ12"/>
    <mergeCell ref="AR10:AR12"/>
    <mergeCell ref="AJ7:AJ8"/>
    <mergeCell ref="AO7:AO8"/>
    <mergeCell ref="AP7:AP8"/>
    <mergeCell ref="AQ7:AQ8"/>
    <mergeCell ref="AR7:AR8"/>
    <mergeCell ref="AC9:AF9"/>
    <mergeCell ref="AK9:AN9"/>
    <mergeCell ref="Z7:Z8"/>
    <mergeCell ref="AA7:AA8"/>
    <mergeCell ref="AB7:AB8"/>
    <mergeCell ref="AG7:AG8"/>
    <mergeCell ref="AH7:AH8"/>
    <mergeCell ref="AI7:AI8"/>
    <mergeCell ref="P7:P8"/>
    <mergeCell ref="W7:W12"/>
    <mergeCell ref="Y7:Y8"/>
    <mergeCell ref="G7:G8"/>
    <mergeCell ref="H7:H8"/>
    <mergeCell ref="I7:I8"/>
    <mergeCell ref="J7:J8"/>
    <mergeCell ref="K7:K8"/>
    <mergeCell ref="L7:L8"/>
    <mergeCell ref="L10:L12"/>
    <mergeCell ref="M10:M12"/>
    <mergeCell ref="N10:N12"/>
    <mergeCell ref="O10:O12"/>
    <mergeCell ref="P10:P12"/>
    <mergeCell ref="Y10:Y12"/>
    <mergeCell ref="A7:A12"/>
    <mergeCell ref="B7:B12"/>
    <mergeCell ref="C7:C8"/>
    <mergeCell ref="D7:D8"/>
    <mergeCell ref="E7:E8"/>
    <mergeCell ref="F7:F8"/>
    <mergeCell ref="M7:M8"/>
    <mergeCell ref="N7:N8"/>
    <mergeCell ref="O7:O8"/>
    <mergeCell ref="C1:X3"/>
    <mergeCell ref="A4:K4"/>
    <mergeCell ref="L4:P5"/>
    <mergeCell ref="Q4:U5"/>
    <mergeCell ref="V4:W5"/>
    <mergeCell ref="X4:X5"/>
    <mergeCell ref="Y4:AF4"/>
    <mergeCell ref="AG4:AN4"/>
    <mergeCell ref="AO4:AV4"/>
    <mergeCell ref="A5:C5"/>
    <mergeCell ref="E5:F5"/>
    <mergeCell ref="G5:I5"/>
    <mergeCell ref="J5:J6"/>
    <mergeCell ref="K5:K6"/>
    <mergeCell ref="Y5:AB5"/>
    <mergeCell ref="AC5:AF5"/>
    <mergeCell ref="AG5:AJ5"/>
    <mergeCell ref="AK5:AN5"/>
    <mergeCell ref="AO5:AR5"/>
    <mergeCell ref="AS5:AV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AAD4-E3BA-47BE-B57D-EA186E6CF567}">
  <sheetPr>
    <tabColor theme="9" tint="-0.249977111117893"/>
  </sheetPr>
  <dimension ref="A1:BZ27"/>
  <sheetViews>
    <sheetView topLeftCell="AO25" workbookViewId="0">
      <selection activeCell="A3" sqref="A3"/>
    </sheetView>
  </sheetViews>
  <sheetFormatPr baseColWidth="10" defaultColWidth="11.42578125" defaultRowHeight="22.5" customHeight="1" x14ac:dyDescent="0.25"/>
  <cols>
    <col min="1" max="1" width="22.42578125" style="94" customWidth="1"/>
    <col min="2" max="2" width="27.140625" style="94" customWidth="1"/>
    <col min="3" max="3" width="30.7109375" style="94" customWidth="1"/>
    <col min="4" max="4" width="27.140625" style="94" customWidth="1"/>
    <col min="5" max="5" width="43.42578125" style="94" customWidth="1"/>
    <col min="6" max="6" width="29.28515625" style="94" customWidth="1"/>
    <col min="7" max="7" width="21.140625" style="94" customWidth="1"/>
    <col min="8" max="8" width="18.7109375" style="94" customWidth="1"/>
    <col min="9" max="9" width="17.28515625" style="142" customWidth="1"/>
    <col min="10" max="10" width="16.85546875" style="94" customWidth="1"/>
    <col min="11" max="11" width="31.28515625" style="94" customWidth="1"/>
    <col min="12" max="12" width="58.42578125" style="94" customWidth="1"/>
    <col min="13" max="13" width="53.42578125" style="94" customWidth="1"/>
    <col min="14" max="14" width="15.85546875" style="94" customWidth="1"/>
    <col min="15" max="15" width="9.28515625" style="94" customWidth="1"/>
    <col min="16" max="16" width="16.28515625" style="94" customWidth="1"/>
    <col min="17" max="17" width="49.140625" style="94" customWidth="1"/>
    <col min="18" max="18" width="50.28515625" style="202" customWidth="1"/>
    <col min="19" max="19" width="17.140625" style="94" customWidth="1"/>
    <col min="20" max="20" width="10.28515625" style="94" customWidth="1"/>
    <col min="21" max="21" width="14.42578125" style="94" bestFit="1" customWidth="1"/>
    <col min="22" max="22" width="19.85546875" style="94" customWidth="1"/>
    <col min="23" max="23" width="21" style="94" customWidth="1"/>
    <col min="24" max="24" width="20.28515625" style="94" customWidth="1"/>
    <col min="25" max="26" width="11.42578125" style="94" customWidth="1"/>
    <col min="27" max="27" width="16.7109375" style="94" customWidth="1"/>
    <col min="28" max="28" width="50.140625" style="94" customWidth="1"/>
    <col min="29" max="30" width="11.42578125" style="94" customWidth="1"/>
    <col min="31" max="31" width="20" style="94" customWidth="1"/>
    <col min="32" max="32" width="44.85546875" style="94" customWidth="1"/>
    <col min="33" max="35" width="11.42578125" style="94" customWidth="1"/>
    <col min="36" max="36" width="87.140625" style="94" customWidth="1"/>
    <col min="37" max="39" width="11.42578125" style="94" customWidth="1"/>
    <col min="40" max="40" width="78.140625" style="94" customWidth="1"/>
    <col min="41" max="43" width="11.42578125" style="94"/>
    <col min="44" max="44" width="87.140625" style="94" customWidth="1"/>
    <col min="45" max="47" width="11.42578125" style="94"/>
    <col min="48" max="48" width="78.140625" style="94" customWidth="1"/>
    <col min="49" max="16384" width="11.42578125" style="94"/>
  </cols>
  <sheetData>
    <row r="1" spans="1:78"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78"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78"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78" s="7" customFormat="1" ht="15" x14ac:dyDescent="0.25">
      <c r="A4" s="453" t="s">
        <v>5</v>
      </c>
      <c r="B4" s="454"/>
      <c r="C4" s="454"/>
      <c r="D4" s="454"/>
      <c r="E4" s="454"/>
      <c r="F4" s="454"/>
      <c r="G4" s="454"/>
      <c r="H4" s="454"/>
      <c r="I4" s="454"/>
      <c r="J4" s="454"/>
      <c r="K4" s="455"/>
      <c r="L4" s="456" t="s">
        <v>6</v>
      </c>
      <c r="M4" s="457"/>
      <c r="N4" s="457"/>
      <c r="O4" s="457"/>
      <c r="P4" s="458"/>
      <c r="Q4" s="456" t="s">
        <v>7</v>
      </c>
      <c r="R4" s="457"/>
      <c r="S4" s="457"/>
      <c r="T4" s="457"/>
      <c r="U4" s="458"/>
      <c r="V4" s="462" t="s">
        <v>8</v>
      </c>
      <c r="W4" s="463"/>
      <c r="X4" s="466" t="s">
        <v>9</v>
      </c>
      <c r="Y4" s="459" t="s">
        <v>10</v>
      </c>
      <c r="Z4" s="460"/>
      <c r="AA4" s="460"/>
      <c r="AB4" s="460"/>
      <c r="AC4" s="460"/>
      <c r="AD4" s="460"/>
      <c r="AE4" s="460"/>
      <c r="AF4" s="461"/>
      <c r="AG4" s="459" t="s">
        <v>11</v>
      </c>
      <c r="AH4" s="460"/>
      <c r="AI4" s="460"/>
      <c r="AJ4" s="460"/>
      <c r="AK4" s="460"/>
      <c r="AL4" s="460"/>
      <c r="AM4" s="460"/>
      <c r="AN4" s="461"/>
      <c r="AO4" s="459" t="s">
        <v>12</v>
      </c>
      <c r="AP4" s="460"/>
      <c r="AQ4" s="460"/>
      <c r="AR4" s="460"/>
      <c r="AS4" s="460"/>
      <c r="AT4" s="460"/>
      <c r="AU4" s="460"/>
      <c r="AV4" s="461"/>
      <c r="AW4" s="148"/>
      <c r="AX4" s="148"/>
      <c r="AY4" s="148"/>
      <c r="AZ4" s="148"/>
      <c r="BA4" s="148"/>
      <c r="BB4" s="148"/>
      <c r="BC4" s="148"/>
      <c r="BD4" s="148"/>
      <c r="BE4" s="148"/>
      <c r="BF4" s="148"/>
      <c r="BG4" s="148"/>
      <c r="BH4" s="148"/>
      <c r="BI4" s="148"/>
      <c r="BJ4" s="148"/>
      <c r="BK4" s="148"/>
      <c r="BL4" s="148"/>
      <c r="BM4" s="148"/>
      <c r="BN4" s="148"/>
      <c r="BO4" s="148"/>
      <c r="BP4" s="148"/>
    </row>
    <row r="5" spans="1:78" s="9" customFormat="1" ht="15" x14ac:dyDescent="0.25">
      <c r="A5" s="468" t="s">
        <v>13</v>
      </c>
      <c r="B5" s="469"/>
      <c r="C5" s="470"/>
      <c r="D5" s="8" t="s">
        <v>14</v>
      </c>
      <c r="E5" s="468" t="s">
        <v>15</v>
      </c>
      <c r="F5" s="470"/>
      <c r="G5" s="468" t="s">
        <v>16</v>
      </c>
      <c r="H5" s="469"/>
      <c r="I5" s="470"/>
      <c r="J5" s="471" t="s">
        <v>17</v>
      </c>
      <c r="K5" s="471" t="s">
        <v>18</v>
      </c>
      <c r="L5" s="459"/>
      <c r="M5" s="460"/>
      <c r="N5" s="460"/>
      <c r="O5" s="460"/>
      <c r="P5" s="461"/>
      <c r="Q5" s="459"/>
      <c r="R5" s="460"/>
      <c r="S5" s="460"/>
      <c r="T5" s="460"/>
      <c r="U5" s="461"/>
      <c r="V5" s="464"/>
      <c r="W5" s="465"/>
      <c r="X5" s="467"/>
      <c r="Y5" s="468" t="s">
        <v>19</v>
      </c>
      <c r="Z5" s="469"/>
      <c r="AA5" s="469"/>
      <c r="AB5" s="473"/>
      <c r="AC5" s="474" t="s">
        <v>20</v>
      </c>
      <c r="AD5" s="469"/>
      <c r="AE5" s="469"/>
      <c r="AF5" s="470"/>
      <c r="AG5" s="468" t="s">
        <v>19</v>
      </c>
      <c r="AH5" s="469"/>
      <c r="AI5" s="469"/>
      <c r="AJ5" s="473"/>
      <c r="AK5" s="474" t="s">
        <v>20</v>
      </c>
      <c r="AL5" s="469"/>
      <c r="AM5" s="469"/>
      <c r="AN5" s="470"/>
      <c r="AO5" s="468" t="s">
        <v>19</v>
      </c>
      <c r="AP5" s="469"/>
      <c r="AQ5" s="469"/>
      <c r="AR5" s="473"/>
      <c r="AS5" s="474" t="s">
        <v>20</v>
      </c>
      <c r="AT5" s="469"/>
      <c r="AU5" s="469"/>
      <c r="AV5" s="470"/>
      <c r="AW5" s="148"/>
      <c r="AX5" s="148"/>
      <c r="AY5" s="148"/>
      <c r="AZ5" s="148"/>
      <c r="BA5" s="148"/>
      <c r="BB5" s="148"/>
      <c r="BC5" s="148"/>
      <c r="BD5" s="148"/>
      <c r="BE5" s="148"/>
      <c r="BF5" s="148"/>
      <c r="BG5" s="148"/>
      <c r="BH5" s="148"/>
      <c r="BI5" s="148"/>
      <c r="BJ5" s="148"/>
      <c r="BK5" s="148"/>
      <c r="BL5" s="148"/>
      <c r="BM5" s="148"/>
      <c r="BN5" s="148"/>
      <c r="BO5" s="148"/>
      <c r="BP5" s="148"/>
    </row>
    <row r="6" spans="1:78" s="7" customFormat="1" ht="15" x14ac:dyDescent="0.25">
      <c r="A6" s="10" t="s">
        <v>21</v>
      </c>
      <c r="B6" s="10" t="s">
        <v>22</v>
      </c>
      <c r="C6" s="10" t="s">
        <v>23</v>
      </c>
      <c r="D6" s="10" t="s">
        <v>24</v>
      </c>
      <c r="E6" s="10" t="s">
        <v>25</v>
      </c>
      <c r="F6" s="10" t="s">
        <v>26</v>
      </c>
      <c r="G6" s="10" t="s">
        <v>27</v>
      </c>
      <c r="H6" s="10" t="s">
        <v>28</v>
      </c>
      <c r="I6" s="10" t="s">
        <v>29</v>
      </c>
      <c r="J6" s="472"/>
      <c r="K6" s="472"/>
      <c r="L6" s="10" t="s">
        <v>6</v>
      </c>
      <c r="M6" s="10" t="s">
        <v>30</v>
      </c>
      <c r="N6" s="10" t="s">
        <v>31</v>
      </c>
      <c r="O6" s="10" t="s">
        <v>32</v>
      </c>
      <c r="P6" s="10" t="s">
        <v>33</v>
      </c>
      <c r="Q6" s="10" t="s">
        <v>7</v>
      </c>
      <c r="R6" s="10" t="s">
        <v>34</v>
      </c>
      <c r="S6" s="10" t="s">
        <v>31</v>
      </c>
      <c r="T6" s="10" t="s">
        <v>32</v>
      </c>
      <c r="U6" s="10" t="s">
        <v>35</v>
      </c>
      <c r="V6" s="149" t="s">
        <v>36</v>
      </c>
      <c r="W6" s="149" t="s">
        <v>37</v>
      </c>
      <c r="X6" s="10" t="s">
        <v>38</v>
      </c>
      <c r="Y6" s="10" t="s">
        <v>39</v>
      </c>
      <c r="Z6" s="10" t="s">
        <v>40</v>
      </c>
      <c r="AA6" s="10" t="s">
        <v>41</v>
      </c>
      <c r="AB6" s="10" t="s">
        <v>42</v>
      </c>
      <c r="AC6" s="10" t="s">
        <v>39</v>
      </c>
      <c r="AD6" s="10" t="s">
        <v>40</v>
      </c>
      <c r="AE6" s="10" t="s">
        <v>41</v>
      </c>
      <c r="AF6" s="10" t="s">
        <v>42</v>
      </c>
      <c r="AG6" s="10" t="s">
        <v>39</v>
      </c>
      <c r="AH6" s="10" t="s">
        <v>40</v>
      </c>
      <c r="AI6" s="10" t="s">
        <v>41</v>
      </c>
      <c r="AJ6" s="10" t="s">
        <v>42</v>
      </c>
      <c r="AK6" s="10" t="s">
        <v>39</v>
      </c>
      <c r="AL6" s="10" t="s">
        <v>40</v>
      </c>
      <c r="AM6" s="10" t="s">
        <v>41</v>
      </c>
      <c r="AN6" s="10"/>
      <c r="AO6" s="10" t="s">
        <v>39</v>
      </c>
      <c r="AP6" s="10" t="s">
        <v>40</v>
      </c>
      <c r="AQ6" s="10" t="s">
        <v>41</v>
      </c>
      <c r="AR6" s="10" t="s">
        <v>42</v>
      </c>
      <c r="AS6" s="10" t="s">
        <v>39</v>
      </c>
      <c r="AT6" s="10" t="s">
        <v>40</v>
      </c>
      <c r="AU6" s="10" t="s">
        <v>41</v>
      </c>
      <c r="AV6" s="10" t="s">
        <v>42</v>
      </c>
      <c r="AW6" s="148"/>
      <c r="AX6" s="148"/>
      <c r="AY6" s="148"/>
      <c r="AZ6" s="148"/>
      <c r="BA6" s="148"/>
      <c r="BB6" s="148"/>
      <c r="BC6" s="148"/>
      <c r="BD6" s="148"/>
      <c r="BE6" s="148"/>
      <c r="BF6" s="148"/>
      <c r="BG6" s="148"/>
      <c r="BH6" s="148"/>
      <c r="BI6" s="148"/>
      <c r="BJ6" s="148"/>
      <c r="BK6" s="148"/>
      <c r="BL6" s="148"/>
      <c r="BM6" s="148"/>
      <c r="BN6" s="148"/>
      <c r="BO6" s="148"/>
      <c r="BP6" s="148"/>
    </row>
    <row r="7" spans="1:78" s="22" customFormat="1" ht="120" x14ac:dyDescent="0.25">
      <c r="A7" s="490" t="s">
        <v>43</v>
      </c>
      <c r="B7" s="490" t="s">
        <v>44</v>
      </c>
      <c r="C7" s="490" t="s">
        <v>45</v>
      </c>
      <c r="D7" s="490" t="s">
        <v>46</v>
      </c>
      <c r="E7" s="484" t="s">
        <v>435</v>
      </c>
      <c r="F7" s="490" t="s">
        <v>48</v>
      </c>
      <c r="G7" s="612" t="s">
        <v>49</v>
      </c>
      <c r="H7" s="614" t="s">
        <v>436</v>
      </c>
      <c r="I7" s="490" t="s">
        <v>51</v>
      </c>
      <c r="J7" s="505" t="s">
        <v>437</v>
      </c>
      <c r="K7" s="490" t="s">
        <v>438</v>
      </c>
      <c r="L7" s="490" t="s">
        <v>439</v>
      </c>
      <c r="M7" s="490" t="s">
        <v>440</v>
      </c>
      <c r="N7" s="484" t="s">
        <v>56</v>
      </c>
      <c r="O7" s="484">
        <v>0</v>
      </c>
      <c r="P7" s="484">
        <v>21422</v>
      </c>
      <c r="Q7" s="79" t="s">
        <v>441</v>
      </c>
      <c r="R7" s="107" t="s">
        <v>442</v>
      </c>
      <c r="S7" s="165" t="s">
        <v>56</v>
      </c>
      <c r="T7" s="165">
        <v>0</v>
      </c>
      <c r="U7" s="165">
        <v>2700</v>
      </c>
      <c r="V7" s="475">
        <v>5547112474</v>
      </c>
      <c r="W7" s="625">
        <v>12419404538</v>
      </c>
      <c r="X7" s="503" t="s">
        <v>443</v>
      </c>
      <c r="Y7" s="619">
        <v>1752</v>
      </c>
      <c r="Z7" s="619">
        <v>21422</v>
      </c>
      <c r="AA7" s="620">
        <f>Y7/Z7</f>
        <v>8.1785080758099149E-2</v>
      </c>
      <c r="AB7" s="621" t="s">
        <v>444</v>
      </c>
      <c r="AC7" s="166">
        <v>140</v>
      </c>
      <c r="AD7" s="167">
        <v>2700</v>
      </c>
      <c r="AE7" s="168">
        <f>AC7/AD7</f>
        <v>5.185185185185185E-2</v>
      </c>
      <c r="AF7" s="169" t="s">
        <v>445</v>
      </c>
      <c r="AG7" s="619">
        <v>3515</v>
      </c>
      <c r="AH7" s="619">
        <v>21422</v>
      </c>
      <c r="AI7" s="620">
        <f>AG7/AH7</f>
        <v>0.16408365232004482</v>
      </c>
      <c r="AJ7" s="621" t="s">
        <v>446</v>
      </c>
      <c r="AK7" s="167">
        <v>394</v>
      </c>
      <c r="AL7" s="167">
        <v>2700</v>
      </c>
      <c r="AM7" s="168">
        <f>AK7/AL7</f>
        <v>0.14592592592592593</v>
      </c>
      <c r="AN7" s="169" t="s">
        <v>447</v>
      </c>
      <c r="AO7" s="619">
        <v>5007</v>
      </c>
      <c r="AP7" s="619">
        <v>21422</v>
      </c>
      <c r="AQ7" s="620">
        <f>AO7/AP7</f>
        <v>0.23373167771449913</v>
      </c>
      <c r="AR7" s="621" t="s">
        <v>448</v>
      </c>
      <c r="AS7" s="167">
        <v>647</v>
      </c>
      <c r="AT7" s="167">
        <v>2700</v>
      </c>
      <c r="AU7" s="168">
        <f>AS7/AT7</f>
        <v>0.23962962962962964</v>
      </c>
      <c r="AV7" s="169" t="s">
        <v>449</v>
      </c>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row>
    <row r="8" spans="1:78" s="33" customFormat="1" ht="24" x14ac:dyDescent="0.25">
      <c r="A8" s="491"/>
      <c r="B8" s="491"/>
      <c r="C8" s="491"/>
      <c r="D8" s="491"/>
      <c r="E8" s="485"/>
      <c r="F8" s="491"/>
      <c r="G8" s="613"/>
      <c r="H8" s="615"/>
      <c r="I8" s="491"/>
      <c r="J8" s="506"/>
      <c r="K8" s="491"/>
      <c r="L8" s="611"/>
      <c r="M8" s="611"/>
      <c r="N8" s="486"/>
      <c r="O8" s="486"/>
      <c r="P8" s="486"/>
      <c r="Q8" s="155" t="s">
        <v>450</v>
      </c>
      <c r="R8" s="156" t="s">
        <v>451</v>
      </c>
      <c r="S8" s="157" t="s">
        <v>56</v>
      </c>
      <c r="T8" s="157">
        <v>0</v>
      </c>
      <c r="U8" s="170">
        <v>44</v>
      </c>
      <c r="V8" s="476"/>
      <c r="W8" s="626"/>
      <c r="X8" s="504"/>
      <c r="Y8" s="619"/>
      <c r="Z8" s="619"/>
      <c r="AA8" s="620"/>
      <c r="AB8" s="621"/>
      <c r="AC8" s="171">
        <v>3</v>
      </c>
      <c r="AD8" s="171">
        <v>44</v>
      </c>
      <c r="AE8" s="172">
        <f>AC8/AD8</f>
        <v>6.8181818181818177E-2</v>
      </c>
      <c r="AF8" s="171" t="s">
        <v>452</v>
      </c>
      <c r="AG8" s="619"/>
      <c r="AH8" s="619"/>
      <c r="AI8" s="620"/>
      <c r="AJ8" s="621"/>
      <c r="AK8" s="171">
        <v>6</v>
      </c>
      <c r="AL8" s="171">
        <v>44</v>
      </c>
      <c r="AM8" s="172">
        <f>AK8/AL8</f>
        <v>0.13636363636363635</v>
      </c>
      <c r="AN8" s="26" t="s">
        <v>453</v>
      </c>
      <c r="AO8" s="619"/>
      <c r="AP8" s="619"/>
      <c r="AQ8" s="620"/>
      <c r="AR8" s="621"/>
      <c r="AS8" s="171">
        <v>8</v>
      </c>
      <c r="AT8" s="171">
        <v>44</v>
      </c>
      <c r="AU8" s="172">
        <f>AS8/AT8</f>
        <v>0.18181818181818182</v>
      </c>
      <c r="AV8" s="26" t="s">
        <v>454</v>
      </c>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row>
    <row r="9" spans="1:78" s="22" customFormat="1" ht="96" x14ac:dyDescent="0.25">
      <c r="A9" s="491"/>
      <c r="B9" s="491"/>
      <c r="C9" s="491"/>
      <c r="D9" s="491"/>
      <c r="E9" s="485"/>
      <c r="F9" s="491"/>
      <c r="G9" s="613"/>
      <c r="H9" s="615"/>
      <c r="I9" s="491" t="s">
        <v>78</v>
      </c>
      <c r="J9" s="506"/>
      <c r="K9" s="491"/>
      <c r="L9" s="490" t="s">
        <v>455</v>
      </c>
      <c r="M9" s="490" t="s">
        <v>456</v>
      </c>
      <c r="N9" s="484" t="s">
        <v>56</v>
      </c>
      <c r="O9" s="484">
        <v>0</v>
      </c>
      <c r="P9" s="484">
        <v>816</v>
      </c>
      <c r="Q9" s="150" t="s">
        <v>457</v>
      </c>
      <c r="R9" s="150" t="s">
        <v>458</v>
      </c>
      <c r="S9" s="152" t="s">
        <v>56</v>
      </c>
      <c r="T9" s="152">
        <v>0</v>
      </c>
      <c r="U9" s="173">
        <v>816</v>
      </c>
      <c r="V9" s="476"/>
      <c r="W9" s="626"/>
      <c r="X9" s="504"/>
      <c r="Y9" s="171">
        <v>14</v>
      </c>
      <c r="Z9" s="171">
        <v>816</v>
      </c>
      <c r="AA9" s="172">
        <f>Y9/Z9</f>
        <v>1.7156862745098041E-2</v>
      </c>
      <c r="AB9" s="174" t="s">
        <v>459</v>
      </c>
      <c r="AC9" s="167">
        <v>27</v>
      </c>
      <c r="AD9" s="167">
        <v>816</v>
      </c>
      <c r="AE9" s="175">
        <f>AC9/AD9</f>
        <v>3.3088235294117647E-2</v>
      </c>
      <c r="AF9" s="169" t="s">
        <v>460</v>
      </c>
      <c r="AG9" s="623">
        <v>40</v>
      </c>
      <c r="AH9" s="623">
        <v>816</v>
      </c>
      <c r="AI9" s="632">
        <f>AG9/AH9</f>
        <v>4.9019607843137254E-2</v>
      </c>
      <c r="AJ9" s="629" t="s">
        <v>461</v>
      </c>
      <c r="AK9" s="167">
        <v>59</v>
      </c>
      <c r="AL9" s="167">
        <v>816</v>
      </c>
      <c r="AM9" s="175">
        <f>AK9/AL9</f>
        <v>7.2303921568627458E-2</v>
      </c>
      <c r="AN9" s="169" t="s">
        <v>462</v>
      </c>
      <c r="AO9" s="623">
        <v>93</v>
      </c>
      <c r="AP9" s="623">
        <v>816</v>
      </c>
      <c r="AQ9" s="632">
        <f>AO9/AP9</f>
        <v>0.11397058823529412</v>
      </c>
      <c r="AR9" s="629" t="s">
        <v>463</v>
      </c>
      <c r="AS9" s="167">
        <v>123</v>
      </c>
      <c r="AT9" s="167">
        <v>816</v>
      </c>
      <c r="AU9" s="175">
        <f>AS9/AT9</f>
        <v>0.15073529411764705</v>
      </c>
      <c r="AV9" s="169" t="s">
        <v>464</v>
      </c>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row>
    <row r="10" spans="1:78" s="22" customFormat="1" ht="84" x14ac:dyDescent="0.25">
      <c r="A10" s="491"/>
      <c r="B10" s="491"/>
      <c r="C10" s="491"/>
      <c r="D10" s="491"/>
      <c r="E10" s="485"/>
      <c r="F10" s="491"/>
      <c r="G10" s="613"/>
      <c r="H10" s="615"/>
      <c r="I10" s="611"/>
      <c r="J10" s="506"/>
      <c r="K10" s="491"/>
      <c r="L10" s="611"/>
      <c r="M10" s="611"/>
      <c r="N10" s="486"/>
      <c r="O10" s="486"/>
      <c r="P10" s="486"/>
      <c r="Q10" s="155" t="s">
        <v>465</v>
      </c>
      <c r="R10" s="156" t="s">
        <v>466</v>
      </c>
      <c r="S10" s="157" t="s">
        <v>56</v>
      </c>
      <c r="T10" s="157">
        <v>0</v>
      </c>
      <c r="U10" s="170">
        <v>359</v>
      </c>
      <c r="V10" s="476"/>
      <c r="W10" s="626"/>
      <c r="X10" s="504"/>
      <c r="Y10" s="167"/>
      <c r="Z10" s="167"/>
      <c r="AA10" s="168"/>
      <c r="AB10" s="176"/>
      <c r="AC10" s="167">
        <v>3</v>
      </c>
      <c r="AD10" s="167">
        <v>359</v>
      </c>
      <c r="AE10" s="172">
        <f>AC10/AD10</f>
        <v>8.356545961002786E-3</v>
      </c>
      <c r="AF10" s="169" t="s">
        <v>467</v>
      </c>
      <c r="AG10" s="623"/>
      <c r="AH10" s="623"/>
      <c r="AI10" s="632"/>
      <c r="AJ10" s="629"/>
      <c r="AK10" s="167">
        <v>24</v>
      </c>
      <c r="AL10" s="167">
        <v>359</v>
      </c>
      <c r="AM10" s="172">
        <f>AK10/AL10</f>
        <v>6.6852367688022288E-2</v>
      </c>
      <c r="AN10" s="169" t="s">
        <v>468</v>
      </c>
      <c r="AO10" s="623"/>
      <c r="AP10" s="623"/>
      <c r="AQ10" s="632"/>
      <c r="AR10" s="629"/>
      <c r="AS10" s="167">
        <v>83</v>
      </c>
      <c r="AT10" s="167">
        <v>359</v>
      </c>
      <c r="AU10" s="172">
        <f>AS10/AT10</f>
        <v>0.23119777158774374</v>
      </c>
      <c r="AV10" s="169" t="s">
        <v>469</v>
      </c>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row>
    <row r="11" spans="1:78" s="33" customFormat="1" ht="288" x14ac:dyDescent="0.25">
      <c r="A11" s="491"/>
      <c r="B11" s="491"/>
      <c r="C11" s="491"/>
      <c r="D11" s="491"/>
      <c r="E11" s="485"/>
      <c r="F11" s="491"/>
      <c r="G11" s="613"/>
      <c r="H11" s="615"/>
      <c r="I11" s="630" t="s">
        <v>51</v>
      </c>
      <c r="J11" s="506"/>
      <c r="K11" s="491"/>
      <c r="L11" s="159" t="s">
        <v>470</v>
      </c>
      <c r="M11" s="159" t="s">
        <v>471</v>
      </c>
      <c r="N11" s="161" t="s">
        <v>74</v>
      </c>
      <c r="O11" s="162">
        <v>0.83</v>
      </c>
      <c r="P11" s="161" t="s">
        <v>472</v>
      </c>
      <c r="Q11" s="177"/>
      <c r="R11" s="156"/>
      <c r="S11" s="155"/>
      <c r="T11" s="157"/>
      <c r="U11" s="157"/>
      <c r="V11" s="476"/>
      <c r="W11" s="626"/>
      <c r="X11" s="504"/>
      <c r="Y11" s="171"/>
      <c r="Z11" s="171"/>
      <c r="AA11" s="178"/>
      <c r="AB11" s="174"/>
      <c r="AC11" s="26"/>
      <c r="AD11" s="26"/>
      <c r="AE11" s="26"/>
      <c r="AF11" s="26"/>
      <c r="AG11" s="171"/>
      <c r="AH11" s="171"/>
      <c r="AI11" s="178"/>
      <c r="AJ11" s="174"/>
      <c r="AK11" s="26"/>
      <c r="AL11" s="26"/>
      <c r="AM11" s="26"/>
      <c r="AN11" s="26"/>
      <c r="AO11" s="171"/>
      <c r="AP11" s="171"/>
      <c r="AQ11" s="178"/>
      <c r="AR11" s="174"/>
      <c r="AS11" s="26"/>
      <c r="AT11" s="26"/>
      <c r="AU11" s="26"/>
      <c r="AV11" s="26"/>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row>
    <row r="12" spans="1:78" s="22" customFormat="1" ht="276" x14ac:dyDescent="0.25">
      <c r="A12" s="491"/>
      <c r="B12" s="491"/>
      <c r="C12" s="491"/>
      <c r="D12" s="491"/>
      <c r="E12" s="485"/>
      <c r="F12" s="491"/>
      <c r="G12" s="613"/>
      <c r="H12" s="615"/>
      <c r="I12" s="631"/>
      <c r="J12" s="506"/>
      <c r="K12" s="491"/>
      <c r="L12" s="179" t="s">
        <v>473</v>
      </c>
      <c r="M12" s="180" t="s">
        <v>474</v>
      </c>
      <c r="N12" s="181" t="s">
        <v>74</v>
      </c>
      <c r="O12" s="182">
        <v>0.79</v>
      </c>
      <c r="P12" s="182" t="s">
        <v>472</v>
      </c>
      <c r="Q12" s="151"/>
      <c r="R12" s="150"/>
      <c r="S12" s="151"/>
      <c r="T12" s="152"/>
      <c r="U12" s="183"/>
      <c r="V12" s="476"/>
      <c r="W12" s="626"/>
      <c r="X12" s="504"/>
      <c r="Y12" s="167"/>
      <c r="Z12" s="184"/>
      <c r="AA12" s="168"/>
      <c r="AB12" s="176"/>
      <c r="AC12" s="167"/>
      <c r="AD12" s="167"/>
      <c r="AE12" s="167"/>
      <c r="AF12" s="167"/>
      <c r="AG12" s="167"/>
      <c r="AH12" s="184"/>
      <c r="AI12" s="168"/>
      <c r="AJ12" s="176"/>
      <c r="AK12" s="167"/>
      <c r="AL12" s="167"/>
      <c r="AM12" s="167"/>
      <c r="AN12" s="167"/>
      <c r="AO12" s="167"/>
      <c r="AP12" s="184"/>
      <c r="AQ12" s="168"/>
      <c r="AR12" s="176"/>
      <c r="AS12" s="167"/>
      <c r="AT12" s="167"/>
      <c r="AU12" s="167"/>
      <c r="AV12" s="167"/>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row>
    <row r="13" spans="1:78" s="33" customFormat="1" ht="24" x14ac:dyDescent="0.25">
      <c r="A13" s="491"/>
      <c r="B13" s="491"/>
      <c r="C13" s="491"/>
      <c r="D13" s="491"/>
      <c r="E13" s="485"/>
      <c r="F13" s="491"/>
      <c r="G13" s="613"/>
      <c r="H13" s="615"/>
      <c r="I13" s="633" t="s">
        <v>78</v>
      </c>
      <c r="J13" s="506"/>
      <c r="K13" s="491"/>
      <c r="L13" s="156" t="s">
        <v>475</v>
      </c>
      <c r="M13" s="163" t="s">
        <v>476</v>
      </c>
      <c r="N13" s="157" t="s">
        <v>56</v>
      </c>
      <c r="O13" s="157">
        <v>0</v>
      </c>
      <c r="P13" s="158">
        <v>1</v>
      </c>
      <c r="Q13" s="155"/>
      <c r="R13" s="156"/>
      <c r="S13" s="155"/>
      <c r="T13" s="157"/>
      <c r="U13" s="160"/>
      <c r="V13" s="476"/>
      <c r="W13" s="626"/>
      <c r="X13" s="504"/>
      <c r="Y13" s="171"/>
      <c r="Z13" s="185"/>
      <c r="AA13" s="178"/>
      <c r="AB13" s="186"/>
      <c r="AC13" s="171"/>
      <c r="AD13" s="171"/>
      <c r="AE13" s="171"/>
      <c r="AF13" s="171"/>
      <c r="AG13" s="171"/>
      <c r="AH13" s="185"/>
      <c r="AI13" s="178"/>
      <c r="AJ13" s="186"/>
      <c r="AK13" s="171"/>
      <c r="AL13" s="171"/>
      <c r="AM13" s="171"/>
      <c r="AN13" s="171"/>
      <c r="AO13" s="171"/>
      <c r="AP13" s="185"/>
      <c r="AQ13" s="178"/>
      <c r="AR13" s="186"/>
      <c r="AS13" s="171"/>
      <c r="AT13" s="171"/>
      <c r="AU13" s="171"/>
      <c r="AV13" s="171"/>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row>
    <row r="14" spans="1:78" s="22" customFormat="1" ht="24" x14ac:dyDescent="0.25">
      <c r="A14" s="491"/>
      <c r="B14" s="491"/>
      <c r="C14" s="491"/>
      <c r="D14" s="491"/>
      <c r="E14" s="485"/>
      <c r="F14" s="491"/>
      <c r="G14" s="613"/>
      <c r="H14" s="615"/>
      <c r="I14" s="616"/>
      <c r="J14" s="506"/>
      <c r="K14" s="491"/>
      <c r="L14" s="150" t="s">
        <v>477</v>
      </c>
      <c r="M14" s="150" t="s">
        <v>478</v>
      </c>
      <c r="N14" s="152" t="s">
        <v>74</v>
      </c>
      <c r="O14" s="187">
        <v>0</v>
      </c>
      <c r="P14" s="188">
        <v>1</v>
      </c>
      <c r="Q14" s="151"/>
      <c r="R14" s="150"/>
      <c r="S14" s="151"/>
      <c r="T14" s="152"/>
      <c r="U14" s="183"/>
      <c r="V14" s="476"/>
      <c r="W14" s="626"/>
      <c r="X14" s="504"/>
      <c r="Y14" s="167"/>
      <c r="Z14" s="168"/>
      <c r="AA14" s="168"/>
      <c r="AB14" s="176"/>
      <c r="AC14" s="167"/>
      <c r="AD14" s="167"/>
      <c r="AE14" s="167"/>
      <c r="AF14" s="167"/>
      <c r="AG14" s="167"/>
      <c r="AH14" s="168"/>
      <c r="AI14" s="168"/>
      <c r="AJ14" s="176"/>
      <c r="AK14" s="167"/>
      <c r="AL14" s="167"/>
      <c r="AM14" s="167"/>
      <c r="AN14" s="167"/>
      <c r="AO14" s="167"/>
      <c r="AP14" s="168"/>
      <c r="AQ14" s="168"/>
      <c r="AR14" s="176"/>
      <c r="AS14" s="167"/>
      <c r="AT14" s="167"/>
      <c r="AU14" s="167"/>
      <c r="AV14" s="167"/>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row>
    <row r="15" spans="1:78" s="33" customFormat="1" ht="24" x14ac:dyDescent="0.25">
      <c r="A15" s="491"/>
      <c r="B15" s="491"/>
      <c r="C15" s="491"/>
      <c r="D15" s="491"/>
      <c r="E15" s="485"/>
      <c r="F15" s="491"/>
      <c r="G15" s="613"/>
      <c r="H15" s="615"/>
      <c r="I15" s="616"/>
      <c r="J15" s="506"/>
      <c r="K15" s="491"/>
      <c r="L15" s="156" t="s">
        <v>479</v>
      </c>
      <c r="M15" s="163" t="s">
        <v>480</v>
      </c>
      <c r="N15" s="157" t="s">
        <v>74</v>
      </c>
      <c r="O15" s="161">
        <v>0</v>
      </c>
      <c r="P15" s="162">
        <v>1</v>
      </c>
      <c r="Q15" s="155"/>
      <c r="R15" s="156"/>
      <c r="S15" s="155"/>
      <c r="T15" s="157"/>
      <c r="U15" s="160"/>
      <c r="V15" s="476"/>
      <c r="W15" s="626"/>
      <c r="X15" s="504"/>
      <c r="Y15" s="171"/>
      <c r="Z15" s="178"/>
      <c r="AA15" s="178"/>
      <c r="AB15" s="186"/>
      <c r="AC15" s="171"/>
      <c r="AD15" s="171"/>
      <c r="AE15" s="171"/>
      <c r="AF15" s="171"/>
      <c r="AG15" s="171"/>
      <c r="AH15" s="178"/>
      <c r="AI15" s="178"/>
      <c r="AJ15" s="186"/>
      <c r="AK15" s="171"/>
      <c r="AL15" s="171"/>
      <c r="AM15" s="171"/>
      <c r="AN15" s="171"/>
      <c r="AO15" s="171"/>
      <c r="AP15" s="178"/>
      <c r="AQ15" s="178"/>
      <c r="AR15" s="186"/>
      <c r="AS15" s="171"/>
      <c r="AT15" s="171"/>
      <c r="AU15" s="171"/>
      <c r="AV15" s="171"/>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row>
    <row r="16" spans="1:78" s="33" customFormat="1" ht="24" x14ac:dyDescent="0.25">
      <c r="A16" s="491"/>
      <c r="B16" s="491"/>
      <c r="C16" s="491"/>
      <c r="D16" s="491"/>
      <c r="E16" s="485"/>
      <c r="F16" s="491"/>
      <c r="G16" s="613"/>
      <c r="H16" s="615"/>
      <c r="I16" s="616"/>
      <c r="J16" s="506"/>
      <c r="K16" s="491"/>
      <c r="L16" s="150" t="s">
        <v>481</v>
      </c>
      <c r="M16" s="164" t="s">
        <v>482</v>
      </c>
      <c r="N16" s="152" t="s">
        <v>74</v>
      </c>
      <c r="O16" s="187">
        <v>0</v>
      </c>
      <c r="P16" s="188">
        <v>1</v>
      </c>
      <c r="Q16" s="151"/>
      <c r="R16" s="150"/>
      <c r="S16" s="151"/>
      <c r="T16" s="152"/>
      <c r="U16" s="183"/>
      <c r="V16" s="476"/>
      <c r="W16" s="626"/>
      <c r="X16" s="504"/>
      <c r="Y16" s="167"/>
      <c r="Z16" s="168"/>
      <c r="AA16" s="168"/>
      <c r="AB16" s="176"/>
      <c r="AC16" s="167"/>
      <c r="AD16" s="167"/>
      <c r="AE16" s="167"/>
      <c r="AF16" s="167"/>
      <c r="AG16" s="167"/>
      <c r="AH16" s="168"/>
      <c r="AI16" s="168"/>
      <c r="AJ16" s="176"/>
      <c r="AK16" s="167"/>
      <c r="AL16" s="167"/>
      <c r="AM16" s="167"/>
      <c r="AN16" s="167"/>
      <c r="AO16" s="167"/>
      <c r="AP16" s="168"/>
      <c r="AQ16" s="168"/>
      <c r="AR16" s="176"/>
      <c r="AS16" s="167"/>
      <c r="AT16" s="167"/>
      <c r="AU16" s="167"/>
      <c r="AV16" s="167"/>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row>
    <row r="17" spans="1:78" s="33" customFormat="1" ht="36" x14ac:dyDescent="0.25">
      <c r="A17" s="491"/>
      <c r="B17" s="491"/>
      <c r="C17" s="491"/>
      <c r="D17" s="491"/>
      <c r="E17" s="486"/>
      <c r="F17" s="611"/>
      <c r="G17" s="613"/>
      <c r="H17" s="615"/>
      <c r="I17" s="634"/>
      <c r="J17" s="506"/>
      <c r="K17" s="491"/>
      <c r="L17" s="156" t="s">
        <v>483</v>
      </c>
      <c r="M17" s="163" t="s">
        <v>484</v>
      </c>
      <c r="N17" s="157" t="s">
        <v>74</v>
      </c>
      <c r="O17" s="161">
        <v>0</v>
      </c>
      <c r="P17" s="162">
        <v>1</v>
      </c>
      <c r="Q17" s="155"/>
      <c r="R17" s="156"/>
      <c r="S17" s="155"/>
      <c r="T17" s="157"/>
      <c r="U17" s="157"/>
      <c r="V17" s="476"/>
      <c r="W17" s="626"/>
      <c r="X17" s="504"/>
      <c r="Y17" s="171"/>
      <c r="Z17" s="171"/>
      <c r="AA17" s="189"/>
      <c r="AB17" s="190"/>
      <c r="AC17" s="171"/>
      <c r="AD17" s="171"/>
      <c r="AE17" s="171"/>
      <c r="AF17" s="72"/>
      <c r="AG17" s="171"/>
      <c r="AH17" s="171"/>
      <c r="AI17" s="189"/>
      <c r="AJ17" s="190"/>
      <c r="AK17" s="171"/>
      <c r="AL17" s="171"/>
      <c r="AM17" s="171"/>
      <c r="AN17" s="72"/>
      <c r="AO17" s="171"/>
      <c r="AP17" s="171"/>
      <c r="AQ17" s="189"/>
      <c r="AR17" s="190"/>
      <c r="AS17" s="171"/>
      <c r="AT17" s="171"/>
      <c r="AU17" s="171"/>
      <c r="AV17" s="72"/>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row>
    <row r="18" spans="1:78" s="22" customFormat="1" ht="36" x14ac:dyDescent="0.25">
      <c r="A18" s="491"/>
      <c r="B18" s="491"/>
      <c r="C18" s="491"/>
      <c r="D18" s="491"/>
      <c r="E18" s="151" t="s">
        <v>485</v>
      </c>
      <c r="F18" s="150" t="s">
        <v>326</v>
      </c>
      <c r="G18" s="613"/>
      <c r="H18" s="615"/>
      <c r="I18" s="99" t="s">
        <v>78</v>
      </c>
      <c r="J18" s="506"/>
      <c r="K18" s="491"/>
      <c r="L18" s="151" t="s">
        <v>486</v>
      </c>
      <c r="M18" s="164" t="s">
        <v>487</v>
      </c>
      <c r="N18" s="152" t="s">
        <v>74</v>
      </c>
      <c r="O18" s="152">
        <v>50</v>
      </c>
      <c r="P18" s="154">
        <v>0.4</v>
      </c>
      <c r="Q18" s="151"/>
      <c r="R18" s="150"/>
      <c r="S18" s="151"/>
      <c r="T18" s="152"/>
      <c r="U18" s="152"/>
      <c r="V18" s="477"/>
      <c r="W18" s="626"/>
      <c r="X18" s="504"/>
      <c r="Y18" s="191">
        <v>8.0799999999999997E-2</v>
      </c>
      <c r="Z18" s="184">
        <v>0.4</v>
      </c>
      <c r="AA18" s="168"/>
      <c r="AB18" s="192" t="s">
        <v>488</v>
      </c>
      <c r="AF18" s="79"/>
      <c r="AG18" s="191">
        <v>7.3099999999999998E-2</v>
      </c>
      <c r="AH18" s="184">
        <v>0.4</v>
      </c>
      <c r="AI18" s="168"/>
      <c r="AJ18" s="192" t="s">
        <v>489</v>
      </c>
      <c r="AN18" s="79"/>
      <c r="AO18" s="191">
        <v>7.9000000000000001E-2</v>
      </c>
      <c r="AP18" s="184">
        <v>0.4</v>
      </c>
      <c r="AQ18" s="168"/>
      <c r="AR18" s="192" t="s">
        <v>490</v>
      </c>
      <c r="AV18" s="79"/>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row>
    <row r="19" spans="1:78" s="33" customFormat="1" ht="132" x14ac:dyDescent="0.25">
      <c r="A19" s="491"/>
      <c r="B19" s="491"/>
      <c r="C19" s="491"/>
      <c r="D19" s="491"/>
      <c r="E19" s="151" t="s">
        <v>485</v>
      </c>
      <c r="F19" s="150" t="s">
        <v>326</v>
      </c>
      <c r="G19" s="616"/>
      <c r="H19" s="617"/>
      <c r="I19" s="618"/>
      <c r="J19" s="506"/>
      <c r="K19" s="635" t="s">
        <v>491</v>
      </c>
      <c r="L19" s="640" t="s">
        <v>492</v>
      </c>
      <c r="M19" s="490" t="s">
        <v>492</v>
      </c>
      <c r="N19" s="484" t="s">
        <v>74</v>
      </c>
      <c r="O19" s="484">
        <v>0</v>
      </c>
      <c r="P19" s="487">
        <v>1</v>
      </c>
      <c r="Q19" s="150" t="s">
        <v>493</v>
      </c>
      <c r="R19" s="150" t="s">
        <v>494</v>
      </c>
      <c r="S19" s="151" t="s">
        <v>74</v>
      </c>
      <c r="T19" s="152">
        <v>0</v>
      </c>
      <c r="U19" s="154">
        <v>1</v>
      </c>
      <c r="V19" s="627">
        <v>2431029991</v>
      </c>
      <c r="W19" s="626"/>
      <c r="X19" s="504"/>
      <c r="Y19" s="622">
        <v>9</v>
      </c>
      <c r="Z19" s="623">
        <v>100</v>
      </c>
      <c r="AA19" s="624">
        <f>Y19/Z19</f>
        <v>0.09</v>
      </c>
      <c r="AB19" s="504" t="s">
        <v>495</v>
      </c>
      <c r="AC19" s="193">
        <v>32</v>
      </c>
      <c r="AD19" s="185">
        <v>1</v>
      </c>
      <c r="AE19" s="185">
        <v>0.32</v>
      </c>
      <c r="AF19" s="190" t="s">
        <v>496</v>
      </c>
      <c r="AG19" s="622">
        <v>14</v>
      </c>
      <c r="AH19" s="623">
        <v>100</v>
      </c>
      <c r="AI19" s="624">
        <f>AG19/AH19</f>
        <v>0.14000000000000001</v>
      </c>
      <c r="AJ19" s="504" t="s">
        <v>497</v>
      </c>
      <c r="AK19" s="194"/>
      <c r="AL19" s="185">
        <v>1</v>
      </c>
      <c r="AM19" s="185"/>
      <c r="AN19" s="190"/>
      <c r="AO19" s="622">
        <v>22</v>
      </c>
      <c r="AP19" s="623">
        <v>100</v>
      </c>
      <c r="AQ19" s="624">
        <v>0.22</v>
      </c>
      <c r="AR19" s="504" t="s">
        <v>498</v>
      </c>
      <c r="AS19" s="195">
        <v>0.42</v>
      </c>
      <c r="AT19" s="185">
        <v>1</v>
      </c>
      <c r="AU19" s="185">
        <v>0.42</v>
      </c>
      <c r="AV19" s="190" t="s">
        <v>499</v>
      </c>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row>
    <row r="20" spans="1:78" s="33" customFormat="1" ht="120" x14ac:dyDescent="0.25">
      <c r="A20" s="491"/>
      <c r="B20" s="491"/>
      <c r="C20" s="491"/>
      <c r="D20" s="491"/>
      <c r="E20" s="177" t="s">
        <v>485</v>
      </c>
      <c r="F20" s="177" t="s">
        <v>326</v>
      </c>
      <c r="G20" s="616"/>
      <c r="H20" s="617"/>
      <c r="I20" s="618"/>
      <c r="J20" s="506"/>
      <c r="K20" s="635"/>
      <c r="L20" s="641"/>
      <c r="M20" s="611"/>
      <c r="N20" s="486"/>
      <c r="O20" s="486"/>
      <c r="P20" s="489"/>
      <c r="Q20" s="177" t="s">
        <v>500</v>
      </c>
      <c r="R20" s="159" t="s">
        <v>501</v>
      </c>
      <c r="S20" s="196" t="s">
        <v>74</v>
      </c>
      <c r="T20" s="161">
        <v>0</v>
      </c>
      <c r="U20" s="162">
        <v>1</v>
      </c>
      <c r="V20" s="628"/>
      <c r="W20" s="626"/>
      <c r="X20" s="504"/>
      <c r="Y20" s="622"/>
      <c r="Z20" s="623"/>
      <c r="AA20" s="624"/>
      <c r="AB20" s="504"/>
      <c r="AC20" s="171">
        <v>0</v>
      </c>
      <c r="AD20" s="171">
        <v>100</v>
      </c>
      <c r="AE20" s="171">
        <f>+AC20/AD20</f>
        <v>0</v>
      </c>
      <c r="AF20" s="26" t="s">
        <v>502</v>
      </c>
      <c r="AG20" s="622"/>
      <c r="AH20" s="623"/>
      <c r="AI20" s="624"/>
      <c r="AJ20" s="504"/>
      <c r="AK20" s="194"/>
      <c r="AL20" s="171">
        <v>100</v>
      </c>
      <c r="AM20" s="194">
        <v>0</v>
      </c>
      <c r="AN20" s="197"/>
      <c r="AO20" s="622"/>
      <c r="AP20" s="623"/>
      <c r="AQ20" s="624"/>
      <c r="AR20" s="504"/>
      <c r="AS20" s="195">
        <v>0</v>
      </c>
      <c r="AT20" s="171">
        <v>100</v>
      </c>
      <c r="AU20" s="194">
        <v>0</v>
      </c>
      <c r="AV20" s="197" t="s">
        <v>503</v>
      </c>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row>
    <row r="21" spans="1:78" s="33" customFormat="1" ht="216" x14ac:dyDescent="0.25">
      <c r="A21" s="491"/>
      <c r="B21" s="491"/>
      <c r="C21" s="491"/>
      <c r="D21" s="491"/>
      <c r="E21" s="177" t="s">
        <v>47</v>
      </c>
      <c r="F21" s="177" t="s">
        <v>504</v>
      </c>
      <c r="G21" s="616"/>
      <c r="H21" s="617"/>
      <c r="I21" s="618"/>
      <c r="J21" s="506"/>
      <c r="K21" s="635"/>
      <c r="L21" s="177" t="s">
        <v>505</v>
      </c>
      <c r="M21" s="159" t="s">
        <v>506</v>
      </c>
      <c r="N21" s="196" t="s">
        <v>56</v>
      </c>
      <c r="O21" s="161">
        <v>0</v>
      </c>
      <c r="P21" s="162">
        <v>1</v>
      </c>
      <c r="Q21" s="155"/>
      <c r="R21" s="156"/>
      <c r="S21" s="156"/>
      <c r="T21" s="157"/>
      <c r="U21" s="157"/>
      <c r="V21" s="628"/>
      <c r="W21" s="626"/>
      <c r="X21" s="504"/>
      <c r="Y21" s="185">
        <v>0.08</v>
      </c>
      <c r="Z21" s="185">
        <v>1</v>
      </c>
      <c r="AA21" s="189">
        <v>0.08</v>
      </c>
      <c r="AB21" s="190" t="s">
        <v>507</v>
      </c>
      <c r="AC21" s="171"/>
      <c r="AD21" s="171"/>
      <c r="AE21" s="171"/>
      <c r="AF21" s="72"/>
      <c r="AG21" s="185">
        <v>0.15</v>
      </c>
      <c r="AH21" s="185">
        <v>1</v>
      </c>
      <c r="AI21" s="189">
        <v>0.15</v>
      </c>
      <c r="AJ21" s="190" t="s">
        <v>508</v>
      </c>
      <c r="AK21" s="171"/>
      <c r="AL21" s="171"/>
      <c r="AM21" s="171"/>
      <c r="AN21" s="72"/>
      <c r="AO21" s="185">
        <v>0.31</v>
      </c>
      <c r="AP21" s="185">
        <v>1</v>
      </c>
      <c r="AQ21" s="189">
        <v>0.31</v>
      </c>
      <c r="AR21" s="190" t="s">
        <v>509</v>
      </c>
      <c r="AS21" s="171"/>
      <c r="AT21" s="171"/>
      <c r="AU21" s="171"/>
      <c r="AV21" s="72"/>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row>
    <row r="22" spans="1:78" s="33" customFormat="1" ht="120" x14ac:dyDescent="0.25">
      <c r="A22" s="491"/>
      <c r="B22" s="491"/>
      <c r="C22" s="491"/>
      <c r="D22" s="491"/>
      <c r="E22" s="151" t="s">
        <v>47</v>
      </c>
      <c r="F22" s="150" t="s">
        <v>326</v>
      </c>
      <c r="G22" s="616"/>
      <c r="H22" s="617"/>
      <c r="I22" s="618"/>
      <c r="J22" s="506"/>
      <c r="K22" s="635"/>
      <c r="L22" s="150" t="s">
        <v>510</v>
      </c>
      <c r="M22" s="150" t="s">
        <v>511</v>
      </c>
      <c r="N22" s="151" t="s">
        <v>74</v>
      </c>
      <c r="O22" s="152">
        <v>0</v>
      </c>
      <c r="P22" s="154">
        <v>1</v>
      </c>
      <c r="Q22" s="150"/>
      <c r="R22" s="150"/>
      <c r="S22" s="150"/>
      <c r="T22" s="150"/>
      <c r="U22" s="150"/>
      <c r="V22" s="628"/>
      <c r="W22" s="626"/>
      <c r="X22" s="504"/>
      <c r="Y22" s="184">
        <v>0</v>
      </c>
      <c r="Z22" s="184">
        <v>1</v>
      </c>
      <c r="AA22" s="198">
        <v>0</v>
      </c>
      <c r="AB22" s="192" t="s">
        <v>512</v>
      </c>
      <c r="AC22" s="22"/>
      <c r="AD22" s="22"/>
      <c r="AE22" s="22"/>
      <c r="AF22" s="79"/>
      <c r="AG22" s="184">
        <v>0.33</v>
      </c>
      <c r="AH22" s="184">
        <v>1</v>
      </c>
      <c r="AI22" s="198">
        <v>0.33</v>
      </c>
      <c r="AJ22" s="192" t="s">
        <v>513</v>
      </c>
      <c r="AK22" s="22"/>
      <c r="AL22" s="22"/>
      <c r="AM22" s="22"/>
      <c r="AN22" s="79"/>
      <c r="AO22" s="184">
        <v>0.67</v>
      </c>
      <c r="AP22" s="184">
        <v>1</v>
      </c>
      <c r="AQ22" s="198">
        <v>0.67</v>
      </c>
      <c r="AR22" s="192" t="s">
        <v>514</v>
      </c>
      <c r="AS22" s="22"/>
      <c r="AT22" s="22"/>
      <c r="AU22" s="22"/>
      <c r="AV22" s="79"/>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row>
    <row r="23" spans="1:78" s="33" customFormat="1" ht="24" x14ac:dyDescent="0.25">
      <c r="A23" s="491"/>
      <c r="B23" s="491"/>
      <c r="C23" s="491"/>
      <c r="D23" s="611"/>
      <c r="E23" s="177" t="s">
        <v>71</v>
      </c>
      <c r="F23" s="177" t="s">
        <v>48</v>
      </c>
      <c r="G23" s="616"/>
      <c r="H23" s="617"/>
      <c r="I23" s="618"/>
      <c r="J23" s="506"/>
      <c r="K23" s="635"/>
      <c r="L23" s="636" t="s">
        <v>515</v>
      </c>
      <c r="M23" s="503" t="s">
        <v>516</v>
      </c>
      <c r="N23" s="637" t="s">
        <v>56</v>
      </c>
      <c r="O23" s="637">
        <v>0</v>
      </c>
      <c r="P23" s="638">
        <v>3</v>
      </c>
      <c r="Q23" s="150" t="s">
        <v>517</v>
      </c>
      <c r="R23" s="150" t="s">
        <v>518</v>
      </c>
      <c r="S23" s="151" t="s">
        <v>56</v>
      </c>
      <c r="T23" s="152">
        <v>0</v>
      </c>
      <c r="U23" s="153">
        <v>5</v>
      </c>
      <c r="V23" s="628"/>
      <c r="W23" s="626"/>
      <c r="X23" s="504"/>
      <c r="Y23" s="623">
        <v>0</v>
      </c>
      <c r="Z23" s="623">
        <v>3</v>
      </c>
      <c r="AA23" s="624">
        <v>0</v>
      </c>
      <c r="AB23" s="629" t="s">
        <v>519</v>
      </c>
      <c r="AC23" s="171">
        <v>0</v>
      </c>
      <c r="AD23" s="171">
        <v>5</v>
      </c>
      <c r="AE23" s="171">
        <v>0</v>
      </c>
      <c r="AF23" s="72" t="s">
        <v>520</v>
      </c>
      <c r="AG23" s="623">
        <v>0</v>
      </c>
      <c r="AH23" s="623">
        <v>3</v>
      </c>
      <c r="AI23" s="624">
        <v>0</v>
      </c>
      <c r="AJ23" s="629" t="s">
        <v>521</v>
      </c>
      <c r="AK23" s="171">
        <v>0</v>
      </c>
      <c r="AL23" s="171">
        <v>5</v>
      </c>
      <c r="AM23" s="171">
        <v>0</v>
      </c>
      <c r="AN23" s="72" t="s">
        <v>522</v>
      </c>
      <c r="AO23" s="623">
        <v>0</v>
      </c>
      <c r="AP23" s="623">
        <v>3</v>
      </c>
      <c r="AQ23" s="624">
        <v>0</v>
      </c>
      <c r="AR23" s="629" t="s">
        <v>523</v>
      </c>
      <c r="AS23" s="171">
        <v>0</v>
      </c>
      <c r="AT23" s="171">
        <v>5</v>
      </c>
      <c r="AU23" s="171">
        <v>0</v>
      </c>
      <c r="AV23" s="72" t="s">
        <v>522</v>
      </c>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row>
    <row r="24" spans="1:78" s="22" customFormat="1" ht="360" x14ac:dyDescent="0.25">
      <c r="A24" s="491"/>
      <c r="B24" s="491"/>
      <c r="C24" s="491"/>
      <c r="D24" s="490" t="s">
        <v>306</v>
      </c>
      <c r="E24" s="151" t="s">
        <v>524</v>
      </c>
      <c r="F24" s="150" t="s">
        <v>525</v>
      </c>
      <c r="G24" s="616"/>
      <c r="H24" s="617"/>
      <c r="I24" s="618"/>
      <c r="J24" s="506"/>
      <c r="K24" s="635"/>
      <c r="L24" s="566"/>
      <c r="M24" s="504"/>
      <c r="N24" s="623"/>
      <c r="O24" s="623"/>
      <c r="P24" s="639"/>
      <c r="Q24" s="177" t="s">
        <v>526</v>
      </c>
      <c r="R24" s="159" t="s">
        <v>527</v>
      </c>
      <c r="S24" s="196" t="s">
        <v>56</v>
      </c>
      <c r="T24" s="161">
        <v>0</v>
      </c>
      <c r="U24" s="199">
        <v>3</v>
      </c>
      <c r="V24" s="628"/>
      <c r="W24" s="626"/>
      <c r="X24" s="504"/>
      <c r="Y24" s="623"/>
      <c r="Z24" s="623"/>
      <c r="AA24" s="624"/>
      <c r="AB24" s="629"/>
      <c r="AC24" s="167">
        <v>0</v>
      </c>
      <c r="AD24" s="167">
        <v>3</v>
      </c>
      <c r="AE24" s="167">
        <v>0</v>
      </c>
      <c r="AF24" s="79" t="s">
        <v>519</v>
      </c>
      <c r="AG24" s="623"/>
      <c r="AH24" s="623"/>
      <c r="AI24" s="624"/>
      <c r="AJ24" s="629"/>
      <c r="AK24" s="167">
        <v>0</v>
      </c>
      <c r="AL24" s="167">
        <v>3</v>
      </c>
      <c r="AM24" s="167">
        <v>0</v>
      </c>
      <c r="AN24" s="79" t="s">
        <v>521</v>
      </c>
      <c r="AO24" s="623"/>
      <c r="AP24" s="623"/>
      <c r="AQ24" s="624"/>
      <c r="AR24" s="629"/>
      <c r="AS24" s="167">
        <v>0</v>
      </c>
      <c r="AT24" s="167">
        <v>3</v>
      </c>
      <c r="AU24" s="167">
        <v>0</v>
      </c>
      <c r="AV24" s="79" t="s">
        <v>523</v>
      </c>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row>
    <row r="25" spans="1:78" s="33" customFormat="1" ht="288" x14ac:dyDescent="0.25">
      <c r="A25" s="491"/>
      <c r="B25" s="491"/>
      <c r="C25" s="491"/>
      <c r="D25" s="491"/>
      <c r="E25" s="177" t="s">
        <v>71</v>
      </c>
      <c r="F25" s="177" t="s">
        <v>48</v>
      </c>
      <c r="G25" s="616"/>
      <c r="H25" s="617"/>
      <c r="I25" s="618"/>
      <c r="J25" s="506"/>
      <c r="K25" s="635"/>
      <c r="L25" s="566"/>
      <c r="M25" s="504"/>
      <c r="N25" s="623"/>
      <c r="O25" s="623"/>
      <c r="P25" s="639"/>
      <c r="Q25" s="150" t="s">
        <v>528</v>
      </c>
      <c r="R25" s="150" t="s">
        <v>529</v>
      </c>
      <c r="S25" s="151" t="s">
        <v>56</v>
      </c>
      <c r="T25" s="152">
        <v>0</v>
      </c>
      <c r="U25" s="153">
        <v>3</v>
      </c>
      <c r="V25" s="628"/>
      <c r="W25" s="626"/>
      <c r="X25" s="504"/>
      <c r="Y25" s="623"/>
      <c r="Z25" s="623"/>
      <c r="AA25" s="624"/>
      <c r="AB25" s="629"/>
      <c r="AC25" s="33">
        <v>0</v>
      </c>
      <c r="AD25" s="200">
        <v>3</v>
      </c>
      <c r="AE25" s="33">
        <v>0</v>
      </c>
      <c r="AF25" s="72" t="s">
        <v>530</v>
      </c>
      <c r="AG25" s="623"/>
      <c r="AH25" s="623"/>
      <c r="AI25" s="624"/>
      <c r="AJ25" s="629"/>
      <c r="AK25" s="33">
        <v>0</v>
      </c>
      <c r="AL25" s="200">
        <v>3</v>
      </c>
      <c r="AM25" s="33">
        <v>0</v>
      </c>
      <c r="AN25" s="72" t="s">
        <v>531</v>
      </c>
      <c r="AO25" s="623"/>
      <c r="AP25" s="623"/>
      <c r="AQ25" s="624"/>
      <c r="AR25" s="629"/>
      <c r="AS25" s="33">
        <v>0</v>
      </c>
      <c r="AT25" s="200">
        <v>3</v>
      </c>
      <c r="AU25" s="33">
        <v>0</v>
      </c>
      <c r="AV25" s="72" t="s">
        <v>532</v>
      </c>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row>
    <row r="26" spans="1:78" ht="12" x14ac:dyDescent="0.25">
      <c r="P26" s="201"/>
    </row>
    <row r="27" spans="1:78" ht="51.75" customHeight="1" x14ac:dyDescent="0.25">
      <c r="AO27" s="388" t="s">
        <v>433</v>
      </c>
      <c r="AP27" s="388"/>
      <c r="AQ27" s="58">
        <v>0.24</v>
      </c>
      <c r="AS27" s="388" t="s">
        <v>434</v>
      </c>
      <c r="AT27" s="388"/>
      <c r="AU27" s="58">
        <v>0.13800000000000001</v>
      </c>
    </row>
  </sheetData>
  <sheetProtection algorithmName="SHA-512" hashValue="Pt4IA66Q8RFyrLvIjKp6oXuK/VXoZfA0K+oJzo4eNZGSrUbbIrrQItv1UvMw7Ffg078fL4X3IRiFy5FvX8PjMQ==" saltValue="A58nj6PbkXpXdpdzdYxy0w==" spinCount="100000" sheet="1" objects="1" scenarios="1" selectLockedCells="1" selectUnlockedCells="1"/>
  <mergeCells count="109">
    <mergeCell ref="L23:L25"/>
    <mergeCell ref="M23:M25"/>
    <mergeCell ref="N23:N25"/>
    <mergeCell ref="O23:O25"/>
    <mergeCell ref="P23:P25"/>
    <mergeCell ref="Y23:Y25"/>
    <mergeCell ref="Z23:Z25"/>
    <mergeCell ref="AA23:AA25"/>
    <mergeCell ref="AG19:AG20"/>
    <mergeCell ref="L19:L20"/>
    <mergeCell ref="M19:M20"/>
    <mergeCell ref="N19:N20"/>
    <mergeCell ref="AR23:AR25"/>
    <mergeCell ref="AJ9:AJ10"/>
    <mergeCell ref="AO9:AO10"/>
    <mergeCell ref="AP9:AP10"/>
    <mergeCell ref="AQ9:AQ10"/>
    <mergeCell ref="AR9:AR10"/>
    <mergeCell ref="AH23:AH25"/>
    <mergeCell ref="AI23:AI25"/>
    <mergeCell ref="AJ23:AJ25"/>
    <mergeCell ref="AO23:AO25"/>
    <mergeCell ref="AQ19:AQ20"/>
    <mergeCell ref="AR19:AR20"/>
    <mergeCell ref="AH19:AH20"/>
    <mergeCell ref="AI19:AI20"/>
    <mergeCell ref="AJ19:AJ20"/>
    <mergeCell ref="AO19:AO20"/>
    <mergeCell ref="AP19:AP20"/>
    <mergeCell ref="AR7:AR8"/>
    <mergeCell ref="I9:I10"/>
    <mergeCell ref="L9:L10"/>
    <mergeCell ref="M9:M10"/>
    <mergeCell ref="N9:N10"/>
    <mergeCell ref="O9:O10"/>
    <mergeCell ref="P9:P10"/>
    <mergeCell ref="AG9:AG10"/>
    <mergeCell ref="AH9:AH10"/>
    <mergeCell ref="AI9:AI10"/>
    <mergeCell ref="AH7:AH8"/>
    <mergeCell ref="AI7:AI8"/>
    <mergeCell ref="AJ7:AJ8"/>
    <mergeCell ref="AO7:AO8"/>
    <mergeCell ref="AP7:AP8"/>
    <mergeCell ref="AQ7:AQ8"/>
    <mergeCell ref="X7:X25"/>
    <mergeCell ref="Y7:Y8"/>
    <mergeCell ref="L7:L8"/>
    <mergeCell ref="I13:I17"/>
    <mergeCell ref="O19:O20"/>
    <mergeCell ref="P19:P20"/>
    <mergeCell ref="AP23:AP25"/>
    <mergeCell ref="AQ23:AQ25"/>
    <mergeCell ref="Z7:Z8"/>
    <mergeCell ref="AA7:AA8"/>
    <mergeCell ref="AB7:AB8"/>
    <mergeCell ref="AG7:AG8"/>
    <mergeCell ref="Y19:Y20"/>
    <mergeCell ref="Z19:Z20"/>
    <mergeCell ref="AA19:AA20"/>
    <mergeCell ref="AB19:AB20"/>
    <mergeCell ref="M7:M8"/>
    <mergeCell ref="N7:N8"/>
    <mergeCell ref="O7:O8"/>
    <mergeCell ref="P7:P8"/>
    <mergeCell ref="V7:V18"/>
    <mergeCell ref="W7:W25"/>
    <mergeCell ref="V19:V25"/>
    <mergeCell ref="AB23:AB25"/>
    <mergeCell ref="AG23:AG25"/>
    <mergeCell ref="C7:C25"/>
    <mergeCell ref="D7:D23"/>
    <mergeCell ref="E7:E17"/>
    <mergeCell ref="F7:F17"/>
    <mergeCell ref="G7:G18"/>
    <mergeCell ref="H7:H18"/>
    <mergeCell ref="I7:I8"/>
    <mergeCell ref="J7:J25"/>
    <mergeCell ref="K7:K18"/>
    <mergeCell ref="D24:D25"/>
    <mergeCell ref="G19:G25"/>
    <mergeCell ref="H19:H25"/>
    <mergeCell ref="I19:I25"/>
    <mergeCell ref="I11:I12"/>
    <mergeCell ref="K19:K25"/>
    <mergeCell ref="C1:X3"/>
    <mergeCell ref="A4:K4"/>
    <mergeCell ref="L4:P5"/>
    <mergeCell ref="Q4:U5"/>
    <mergeCell ref="V4:W5"/>
    <mergeCell ref="X4:X5"/>
    <mergeCell ref="AS27:AT27"/>
    <mergeCell ref="AO27:AP27"/>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A7:A25"/>
    <mergeCell ref="B7:B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D8BB-D26A-4523-9467-5230FC49F0E2}">
  <sheetPr>
    <tabColor theme="4"/>
  </sheetPr>
  <dimension ref="A1:BM117"/>
  <sheetViews>
    <sheetView topLeftCell="AN3" zoomScale="96" zoomScaleNormal="96" workbookViewId="0">
      <selection activeCell="AJ8" sqref="AJ8"/>
    </sheetView>
  </sheetViews>
  <sheetFormatPr baseColWidth="10" defaultRowHeight="15" x14ac:dyDescent="0.25"/>
  <cols>
    <col min="1" max="1" width="21.140625" style="260" customWidth="1"/>
    <col min="2" max="2" width="17.85546875" style="260" customWidth="1"/>
    <col min="3" max="3" width="24.140625" style="260" customWidth="1"/>
    <col min="4" max="4" width="26.42578125" style="260" customWidth="1"/>
    <col min="5" max="5" width="18.140625" style="260" customWidth="1"/>
    <col min="6" max="6" width="20.5703125" style="260" customWidth="1"/>
    <col min="7" max="7" width="14" style="260" customWidth="1"/>
    <col min="8" max="8" width="16.5703125" style="260" customWidth="1"/>
    <col min="9" max="9" width="15.140625" style="260" customWidth="1"/>
    <col min="10" max="10" width="15.85546875" style="260" customWidth="1"/>
    <col min="11" max="11" width="16.42578125" style="260" customWidth="1"/>
    <col min="12" max="12" width="21.85546875" style="260" customWidth="1"/>
    <col min="13" max="13" width="23" style="260" customWidth="1"/>
    <col min="14" max="14" width="11.42578125" style="260"/>
    <col min="15" max="15" width="13.5703125" style="260" customWidth="1"/>
    <col min="16" max="16" width="11.42578125" style="260"/>
    <col min="17" max="17" width="20.28515625" style="260" customWidth="1"/>
    <col min="18" max="18" width="20.140625" style="260" customWidth="1"/>
    <col min="19" max="19" width="12.28515625" style="260" customWidth="1"/>
    <col min="20" max="20" width="11.42578125" style="260"/>
    <col min="21" max="21" width="11.5703125" style="260" customWidth="1"/>
    <col min="22" max="22" width="17.42578125" style="261" bestFit="1" customWidth="1"/>
    <col min="23" max="23" width="16.7109375" style="261" customWidth="1"/>
    <col min="24" max="24" width="16.7109375" style="260" customWidth="1"/>
    <col min="25" max="25" width="16.28515625" style="260" customWidth="1"/>
    <col min="26" max="26" width="11.42578125" style="260"/>
    <col min="27" max="27" width="16" style="260" customWidth="1"/>
    <col min="28" max="28" width="40.5703125" style="260" customWidth="1"/>
    <col min="29" max="29" width="14.5703125" style="260" customWidth="1"/>
    <col min="30" max="30" width="11.42578125" style="260"/>
    <col min="31" max="31" width="13" style="260" customWidth="1"/>
    <col min="32" max="32" width="32.85546875" style="260" customWidth="1"/>
    <col min="33" max="33" width="18.140625" style="260" bestFit="1" customWidth="1"/>
    <col min="34" max="34" width="11.42578125" style="260"/>
    <col min="35" max="35" width="16" style="260" customWidth="1"/>
    <col min="36" max="36" width="40.5703125" style="260" customWidth="1"/>
    <col min="37" max="37" width="17.140625" style="260" bestFit="1" customWidth="1"/>
    <col min="38" max="38" width="11.42578125" style="260"/>
    <col min="39" max="39" width="13" style="260" customWidth="1"/>
    <col min="40" max="40" width="32.85546875" style="260" customWidth="1"/>
    <col min="41" max="41" width="18.140625" style="260" bestFit="1" customWidth="1"/>
    <col min="42" max="42" width="11.42578125" style="260"/>
    <col min="43" max="43" width="16" style="260" customWidth="1"/>
    <col min="44" max="44" width="40.5703125" style="260" customWidth="1"/>
    <col min="45" max="45" width="17.140625" style="260" bestFit="1" customWidth="1"/>
    <col min="46" max="46" width="11.42578125" style="260"/>
    <col min="47" max="47" width="13" style="260" customWidth="1"/>
    <col min="48" max="48" width="32.85546875" style="260" customWidth="1"/>
    <col min="49" max="65" width="11.42578125" style="285"/>
    <col min="66" max="16384" width="11.42578125" style="260"/>
  </cols>
  <sheetData>
    <row r="1" spans="1:65"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65"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65"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65" s="203" customFormat="1" x14ac:dyDescent="0.25">
      <c r="A4" s="414" t="s">
        <v>5</v>
      </c>
      <c r="B4" s="415"/>
      <c r="C4" s="415"/>
      <c r="D4" s="415"/>
      <c r="E4" s="415"/>
      <c r="F4" s="415"/>
      <c r="G4" s="415"/>
      <c r="H4" s="415"/>
      <c r="I4" s="415"/>
      <c r="J4" s="415"/>
      <c r="K4" s="416"/>
      <c r="L4" s="417" t="s">
        <v>6</v>
      </c>
      <c r="M4" s="418"/>
      <c r="N4" s="418"/>
      <c r="O4" s="418"/>
      <c r="P4" s="419"/>
      <c r="Q4" s="417" t="s">
        <v>7</v>
      </c>
      <c r="R4" s="418"/>
      <c r="S4" s="418"/>
      <c r="T4" s="418"/>
      <c r="U4" s="419"/>
      <c r="V4" s="420" t="s">
        <v>8</v>
      </c>
      <c r="W4" s="421"/>
      <c r="X4" s="424" t="s">
        <v>9</v>
      </c>
      <c r="Y4" s="403" t="s">
        <v>10</v>
      </c>
      <c r="Z4" s="404"/>
      <c r="AA4" s="404"/>
      <c r="AB4" s="404"/>
      <c r="AC4" s="404"/>
      <c r="AD4" s="404"/>
      <c r="AE4" s="404"/>
      <c r="AF4" s="405"/>
      <c r="AG4" s="403" t="s">
        <v>11</v>
      </c>
      <c r="AH4" s="404"/>
      <c r="AI4" s="404"/>
      <c r="AJ4" s="404"/>
      <c r="AK4" s="404"/>
      <c r="AL4" s="404"/>
      <c r="AM4" s="404"/>
      <c r="AN4" s="405"/>
      <c r="AO4" s="403" t="s">
        <v>12</v>
      </c>
      <c r="AP4" s="404"/>
      <c r="AQ4" s="404"/>
      <c r="AR4" s="404"/>
      <c r="AS4" s="404"/>
      <c r="AT4" s="404"/>
      <c r="AU4" s="404"/>
      <c r="AV4" s="405"/>
      <c r="AW4" s="277"/>
      <c r="AX4" s="277"/>
      <c r="AY4" s="277"/>
      <c r="AZ4" s="277"/>
      <c r="BA4" s="277"/>
      <c r="BB4" s="277"/>
      <c r="BC4" s="277"/>
      <c r="BD4" s="277"/>
      <c r="BE4" s="277"/>
      <c r="BF4" s="277"/>
      <c r="BG4" s="277"/>
      <c r="BH4" s="277"/>
      <c r="BI4" s="277"/>
      <c r="BJ4" s="277"/>
      <c r="BK4" s="277"/>
      <c r="BL4" s="277"/>
      <c r="BM4" s="277"/>
    </row>
    <row r="5" spans="1:65" s="203" customFormat="1" ht="30" x14ac:dyDescent="0.25">
      <c r="A5" s="406" t="s">
        <v>13</v>
      </c>
      <c r="B5" s="407"/>
      <c r="C5" s="408"/>
      <c r="D5" s="205" t="s">
        <v>14</v>
      </c>
      <c r="E5" s="406" t="s">
        <v>15</v>
      </c>
      <c r="F5" s="408"/>
      <c r="G5" s="406" t="s">
        <v>16</v>
      </c>
      <c r="H5" s="407"/>
      <c r="I5" s="408"/>
      <c r="J5" s="409" t="s">
        <v>17</v>
      </c>
      <c r="K5" s="409" t="s">
        <v>18</v>
      </c>
      <c r="L5" s="403"/>
      <c r="M5" s="404"/>
      <c r="N5" s="404"/>
      <c r="O5" s="404"/>
      <c r="P5" s="405"/>
      <c r="Q5" s="403"/>
      <c r="R5" s="404"/>
      <c r="S5" s="404"/>
      <c r="T5" s="404"/>
      <c r="U5" s="405"/>
      <c r="V5" s="422"/>
      <c r="W5" s="423"/>
      <c r="X5" s="425"/>
      <c r="Y5" s="406" t="s">
        <v>19</v>
      </c>
      <c r="Z5" s="407"/>
      <c r="AA5" s="407"/>
      <c r="AB5" s="411"/>
      <c r="AC5" s="412" t="s">
        <v>20</v>
      </c>
      <c r="AD5" s="407"/>
      <c r="AE5" s="407"/>
      <c r="AF5" s="408"/>
      <c r="AG5" s="406" t="s">
        <v>19</v>
      </c>
      <c r="AH5" s="407"/>
      <c r="AI5" s="407"/>
      <c r="AJ5" s="411"/>
      <c r="AK5" s="412" t="s">
        <v>20</v>
      </c>
      <c r="AL5" s="407"/>
      <c r="AM5" s="407"/>
      <c r="AN5" s="408"/>
      <c r="AO5" s="406" t="s">
        <v>19</v>
      </c>
      <c r="AP5" s="407"/>
      <c r="AQ5" s="407"/>
      <c r="AR5" s="411"/>
      <c r="AS5" s="412" t="s">
        <v>20</v>
      </c>
      <c r="AT5" s="407"/>
      <c r="AU5" s="407"/>
      <c r="AV5" s="408"/>
      <c r="AW5" s="277"/>
      <c r="AX5" s="277"/>
      <c r="AY5" s="277"/>
      <c r="AZ5" s="277"/>
      <c r="BA5" s="277"/>
      <c r="BB5" s="277"/>
      <c r="BC5" s="277"/>
      <c r="BD5" s="277"/>
      <c r="BE5" s="277"/>
      <c r="BF5" s="277"/>
      <c r="BG5" s="277"/>
      <c r="BH5" s="277"/>
      <c r="BI5" s="277"/>
      <c r="BJ5" s="277"/>
      <c r="BK5" s="277"/>
      <c r="BL5" s="277"/>
      <c r="BM5" s="277"/>
    </row>
    <row r="6" spans="1:65" s="203" customFormat="1" ht="45" x14ac:dyDescent="0.25">
      <c r="A6" s="247" t="s">
        <v>21</v>
      </c>
      <c r="B6" s="247" t="s">
        <v>22</v>
      </c>
      <c r="C6" s="247" t="s">
        <v>23</v>
      </c>
      <c r="D6" s="247" t="s">
        <v>24</v>
      </c>
      <c r="E6" s="247" t="s">
        <v>25</v>
      </c>
      <c r="F6" s="247" t="s">
        <v>26</v>
      </c>
      <c r="G6" s="247" t="s">
        <v>27</v>
      </c>
      <c r="H6" s="247" t="s">
        <v>28</v>
      </c>
      <c r="I6" s="247" t="s">
        <v>29</v>
      </c>
      <c r="J6" s="410"/>
      <c r="K6" s="410"/>
      <c r="L6" s="247" t="s">
        <v>6</v>
      </c>
      <c r="M6" s="247" t="s">
        <v>30</v>
      </c>
      <c r="N6" s="247" t="s">
        <v>31</v>
      </c>
      <c r="O6" s="247" t="s">
        <v>32</v>
      </c>
      <c r="P6" s="247" t="s">
        <v>33</v>
      </c>
      <c r="Q6" s="247" t="s">
        <v>7</v>
      </c>
      <c r="R6" s="247" t="s">
        <v>34</v>
      </c>
      <c r="S6" s="247" t="s">
        <v>31</v>
      </c>
      <c r="T6" s="247" t="s">
        <v>32</v>
      </c>
      <c r="U6" s="247" t="s">
        <v>35</v>
      </c>
      <c r="V6" s="259" t="s">
        <v>36</v>
      </c>
      <c r="W6" s="259" t="s">
        <v>37</v>
      </c>
      <c r="X6" s="247" t="s">
        <v>38</v>
      </c>
      <c r="Y6" s="247" t="s">
        <v>39</v>
      </c>
      <c r="Z6" s="247" t="s">
        <v>40</v>
      </c>
      <c r="AA6" s="247" t="s">
        <v>41</v>
      </c>
      <c r="AB6" s="247" t="s">
        <v>42</v>
      </c>
      <c r="AC6" s="247" t="s">
        <v>39</v>
      </c>
      <c r="AD6" s="247" t="s">
        <v>40</v>
      </c>
      <c r="AE6" s="247" t="s">
        <v>41</v>
      </c>
      <c r="AF6" s="247" t="s">
        <v>42</v>
      </c>
      <c r="AG6" s="247" t="s">
        <v>39</v>
      </c>
      <c r="AH6" s="247" t="s">
        <v>40</v>
      </c>
      <c r="AI6" s="247" t="s">
        <v>41</v>
      </c>
      <c r="AJ6" s="247" t="s">
        <v>42</v>
      </c>
      <c r="AK6" s="247" t="s">
        <v>39</v>
      </c>
      <c r="AL6" s="247" t="s">
        <v>40</v>
      </c>
      <c r="AM6" s="247" t="s">
        <v>41</v>
      </c>
      <c r="AN6" s="247" t="s">
        <v>42</v>
      </c>
      <c r="AO6" s="247" t="s">
        <v>39</v>
      </c>
      <c r="AP6" s="247" t="s">
        <v>40</v>
      </c>
      <c r="AQ6" s="247" t="s">
        <v>41</v>
      </c>
      <c r="AR6" s="247" t="s">
        <v>42</v>
      </c>
      <c r="AS6" s="247" t="s">
        <v>39</v>
      </c>
      <c r="AT6" s="247" t="s">
        <v>40</v>
      </c>
      <c r="AU6" s="247" t="s">
        <v>41</v>
      </c>
      <c r="AV6" s="247" t="s">
        <v>42</v>
      </c>
      <c r="AW6" s="277"/>
      <c r="AX6" s="277"/>
      <c r="AY6" s="277"/>
      <c r="AZ6" s="277"/>
      <c r="BA6" s="277"/>
      <c r="BB6" s="277"/>
      <c r="BC6" s="277"/>
      <c r="BD6" s="277"/>
      <c r="BE6" s="277"/>
      <c r="BF6" s="277"/>
      <c r="BG6" s="277"/>
      <c r="BH6" s="277"/>
      <c r="BI6" s="277"/>
      <c r="BJ6" s="277"/>
      <c r="BK6" s="277"/>
      <c r="BL6" s="277"/>
      <c r="BM6" s="277"/>
    </row>
    <row r="7" spans="1:65" s="263" customFormat="1" ht="147" customHeight="1" x14ac:dyDescent="0.25">
      <c r="A7" s="507" t="s">
        <v>43</v>
      </c>
      <c r="B7" s="507" t="s">
        <v>44</v>
      </c>
      <c r="C7" s="507" t="s">
        <v>45</v>
      </c>
      <c r="D7" s="509" t="s">
        <v>540</v>
      </c>
      <c r="E7" s="509" t="s">
        <v>47</v>
      </c>
      <c r="F7" s="509" t="s">
        <v>724</v>
      </c>
      <c r="G7" s="509" t="s">
        <v>629</v>
      </c>
      <c r="H7" s="509" t="s">
        <v>725</v>
      </c>
      <c r="I7" s="509" t="s">
        <v>590</v>
      </c>
      <c r="J7" s="505" t="s">
        <v>726</v>
      </c>
      <c r="K7" s="503" t="s">
        <v>725</v>
      </c>
      <c r="L7" s="80" t="s">
        <v>727</v>
      </c>
      <c r="M7" s="80" t="s">
        <v>728</v>
      </c>
      <c r="N7" s="80" t="s">
        <v>56</v>
      </c>
      <c r="O7" s="80"/>
      <c r="P7" s="80">
        <v>1</v>
      </c>
      <c r="Q7" s="253"/>
      <c r="R7" s="253"/>
      <c r="S7" s="253"/>
      <c r="T7" s="253"/>
      <c r="U7" s="253"/>
      <c r="V7" s="288">
        <v>973954634</v>
      </c>
      <c r="W7" s="655">
        <v>45317466258</v>
      </c>
      <c r="X7" s="503" t="s">
        <v>729</v>
      </c>
      <c r="Y7" s="81">
        <v>0</v>
      </c>
      <c r="Z7" s="289">
        <v>1</v>
      </c>
      <c r="AA7" s="81">
        <v>0</v>
      </c>
      <c r="AB7" s="80" t="s">
        <v>730</v>
      </c>
      <c r="AC7" s="253"/>
      <c r="AD7" s="253"/>
      <c r="AE7" s="253"/>
      <c r="AF7" s="253"/>
      <c r="AG7" s="289">
        <v>0</v>
      </c>
      <c r="AH7" s="289">
        <v>1</v>
      </c>
      <c r="AI7" s="274">
        <v>0</v>
      </c>
      <c r="AJ7" s="289" t="s">
        <v>730</v>
      </c>
      <c r="AK7" s="253"/>
      <c r="AL7" s="253"/>
      <c r="AM7" s="253"/>
      <c r="AN7" s="253"/>
      <c r="AO7" s="289">
        <v>0</v>
      </c>
      <c r="AP7" s="289">
        <v>1</v>
      </c>
      <c r="AQ7" s="274">
        <v>0</v>
      </c>
      <c r="AR7" s="289" t="s">
        <v>731</v>
      </c>
      <c r="AS7" s="253"/>
      <c r="AT7" s="253"/>
      <c r="AU7" s="253"/>
      <c r="AV7" s="253"/>
      <c r="AW7" s="279"/>
      <c r="AX7" s="279"/>
      <c r="AY7" s="279"/>
      <c r="AZ7" s="279"/>
      <c r="BA7" s="279"/>
      <c r="BB7" s="279"/>
      <c r="BC7" s="279"/>
      <c r="BD7" s="279"/>
      <c r="BE7" s="279"/>
      <c r="BF7" s="279"/>
      <c r="BG7" s="279"/>
      <c r="BH7" s="279"/>
      <c r="BI7" s="279"/>
      <c r="BJ7" s="279"/>
      <c r="BK7" s="279"/>
      <c r="BL7" s="279"/>
      <c r="BM7" s="279"/>
    </row>
    <row r="8" spans="1:65" s="263" customFormat="1" ht="129" customHeight="1" x14ac:dyDescent="0.25">
      <c r="A8" s="571"/>
      <c r="B8" s="571"/>
      <c r="C8" s="508"/>
      <c r="D8" s="510"/>
      <c r="E8" s="510"/>
      <c r="F8" s="510"/>
      <c r="G8" s="510"/>
      <c r="H8" s="510"/>
      <c r="I8" s="510"/>
      <c r="J8" s="506"/>
      <c r="K8" s="504"/>
      <c r="L8" s="67" t="s">
        <v>733</v>
      </c>
      <c r="M8" s="67" t="s">
        <v>734</v>
      </c>
      <c r="N8" s="68" t="s">
        <v>74</v>
      </c>
      <c r="O8" s="67"/>
      <c r="P8" s="68">
        <v>1</v>
      </c>
      <c r="Q8" s="253"/>
      <c r="R8" s="253"/>
      <c r="S8" s="253"/>
      <c r="T8" s="253"/>
      <c r="U8" s="253"/>
      <c r="V8" s="287">
        <v>174099510</v>
      </c>
      <c r="W8" s="656"/>
      <c r="X8" s="504"/>
      <c r="Y8" s="68">
        <v>0.25</v>
      </c>
      <c r="Z8" s="68">
        <v>1</v>
      </c>
      <c r="AA8" s="68">
        <v>0.25</v>
      </c>
      <c r="AB8" s="67" t="s">
        <v>735</v>
      </c>
      <c r="AC8" s="253"/>
      <c r="AD8" s="253"/>
      <c r="AE8" s="253"/>
      <c r="AF8" s="253"/>
      <c r="AG8" s="275">
        <v>0.25</v>
      </c>
      <c r="AH8" s="275">
        <v>1</v>
      </c>
      <c r="AI8" s="275">
        <v>0.25</v>
      </c>
      <c r="AJ8" s="275" t="s">
        <v>735</v>
      </c>
      <c r="AK8" s="253"/>
      <c r="AL8" s="253"/>
      <c r="AM8" s="253"/>
      <c r="AN8" s="253"/>
      <c r="AO8" s="275">
        <v>0</v>
      </c>
      <c r="AP8" s="275">
        <v>1</v>
      </c>
      <c r="AQ8" s="275">
        <v>0.25</v>
      </c>
      <c r="AR8" s="275" t="s">
        <v>735</v>
      </c>
      <c r="AS8" s="253"/>
      <c r="AT8" s="253"/>
      <c r="AU8" s="253"/>
      <c r="AV8" s="253"/>
      <c r="AW8" s="279"/>
      <c r="AX8" s="279"/>
      <c r="AY8" s="279"/>
      <c r="AZ8" s="279"/>
      <c r="BA8" s="279"/>
      <c r="BB8" s="279"/>
      <c r="BC8" s="279"/>
      <c r="BD8" s="279"/>
      <c r="BE8" s="279"/>
      <c r="BF8" s="279"/>
      <c r="BG8" s="279"/>
      <c r="BH8" s="279"/>
      <c r="BI8" s="279"/>
      <c r="BJ8" s="279"/>
      <c r="BK8" s="279"/>
      <c r="BL8" s="279"/>
      <c r="BM8" s="279"/>
    </row>
    <row r="9" spans="1:65" s="263" customFormat="1" ht="76.5" customHeight="1" x14ac:dyDescent="0.25">
      <c r="A9" s="571"/>
      <c r="B9" s="571"/>
      <c r="C9" s="15" t="s">
        <v>45</v>
      </c>
      <c r="D9" s="15" t="s">
        <v>540</v>
      </c>
      <c r="E9" s="15" t="s">
        <v>47</v>
      </c>
      <c r="F9" s="15" t="s">
        <v>724</v>
      </c>
      <c r="G9" s="15" t="s">
        <v>629</v>
      </c>
      <c r="H9" s="15" t="s">
        <v>725</v>
      </c>
      <c r="I9" s="15" t="s">
        <v>590</v>
      </c>
      <c r="J9" s="506"/>
      <c r="K9" s="504"/>
      <c r="L9" s="393" t="s">
        <v>736</v>
      </c>
      <c r="M9" s="393" t="s">
        <v>737</v>
      </c>
      <c r="N9" s="393" t="s">
        <v>74</v>
      </c>
      <c r="O9" s="393" t="s">
        <v>738</v>
      </c>
      <c r="P9" s="478">
        <v>0.75</v>
      </c>
      <c r="Q9" s="73" t="s">
        <v>739</v>
      </c>
      <c r="R9" s="73" t="s">
        <v>740</v>
      </c>
      <c r="S9" s="80" t="s">
        <v>56</v>
      </c>
      <c r="T9" s="80"/>
      <c r="U9" s="80">
        <v>3</v>
      </c>
      <c r="V9" s="652">
        <v>823917875</v>
      </c>
      <c r="W9" s="656"/>
      <c r="X9" s="504"/>
      <c r="Y9" s="478">
        <v>0</v>
      </c>
      <c r="Z9" s="478">
        <v>0.75</v>
      </c>
      <c r="AA9" s="478" t="s">
        <v>732</v>
      </c>
      <c r="AB9" s="393" t="s">
        <v>741</v>
      </c>
      <c r="AC9" s="289">
        <v>2</v>
      </c>
      <c r="AD9" s="289">
        <v>3</v>
      </c>
      <c r="AE9" s="81">
        <f>+AC9/AD9</f>
        <v>0.66666666666666663</v>
      </c>
      <c r="AF9" s="80" t="s">
        <v>742</v>
      </c>
      <c r="AG9" s="478">
        <v>0</v>
      </c>
      <c r="AH9" s="478">
        <v>0.75</v>
      </c>
      <c r="AI9" s="478" t="s">
        <v>732</v>
      </c>
      <c r="AJ9" s="393" t="s">
        <v>867</v>
      </c>
      <c r="AK9" s="289">
        <v>2</v>
      </c>
      <c r="AL9" s="289">
        <v>3</v>
      </c>
      <c r="AM9" s="81">
        <f>+AK9/AL9</f>
        <v>0.66666666666666663</v>
      </c>
      <c r="AN9" s="80" t="s">
        <v>742</v>
      </c>
      <c r="AO9" s="478"/>
      <c r="AP9" s="478"/>
      <c r="AQ9" s="478"/>
      <c r="AR9" s="393"/>
      <c r="AS9" s="289">
        <v>2</v>
      </c>
      <c r="AT9" s="289">
        <v>3</v>
      </c>
      <c r="AU9" s="81">
        <f>+AS9/AT9</f>
        <v>0.66666666666666663</v>
      </c>
      <c r="AV9" s="80" t="s">
        <v>742</v>
      </c>
      <c r="AW9" s="279"/>
      <c r="AX9" s="279"/>
      <c r="AY9" s="279"/>
      <c r="AZ9" s="279"/>
      <c r="BA9" s="279"/>
      <c r="BB9" s="279"/>
      <c r="BC9" s="279"/>
      <c r="BD9" s="279"/>
      <c r="BE9" s="279"/>
      <c r="BF9" s="279"/>
      <c r="BG9" s="279"/>
      <c r="BH9" s="279"/>
      <c r="BI9" s="279"/>
      <c r="BJ9" s="279"/>
      <c r="BK9" s="279"/>
      <c r="BL9" s="279"/>
      <c r="BM9" s="279"/>
    </row>
    <row r="10" spans="1:65" s="263" customFormat="1" ht="140.25" x14ac:dyDescent="0.25">
      <c r="A10" s="571"/>
      <c r="B10" s="571"/>
      <c r="C10" s="514" t="s">
        <v>45</v>
      </c>
      <c r="D10" s="514" t="s">
        <v>540</v>
      </c>
      <c r="E10" s="514" t="s">
        <v>47</v>
      </c>
      <c r="F10" s="514" t="s">
        <v>724</v>
      </c>
      <c r="G10" s="514" t="s">
        <v>629</v>
      </c>
      <c r="H10" s="514" t="s">
        <v>725</v>
      </c>
      <c r="I10" s="514" t="s">
        <v>590</v>
      </c>
      <c r="J10" s="506"/>
      <c r="K10" s="504"/>
      <c r="L10" s="394"/>
      <c r="M10" s="394"/>
      <c r="N10" s="394"/>
      <c r="O10" s="394"/>
      <c r="P10" s="479"/>
      <c r="Q10" s="66" t="s">
        <v>743</v>
      </c>
      <c r="R10" s="66" t="s">
        <v>744</v>
      </c>
      <c r="S10" s="67" t="s">
        <v>74</v>
      </c>
      <c r="T10" s="67"/>
      <c r="U10" s="68">
        <v>0.9</v>
      </c>
      <c r="V10" s="653"/>
      <c r="W10" s="656"/>
      <c r="X10" s="504"/>
      <c r="Y10" s="479"/>
      <c r="Z10" s="479"/>
      <c r="AA10" s="479"/>
      <c r="AB10" s="394"/>
      <c r="AC10" s="290">
        <v>0.73</v>
      </c>
      <c r="AD10" s="290">
        <v>0.9</v>
      </c>
      <c r="AE10" s="290">
        <v>0</v>
      </c>
      <c r="AF10" s="291" t="s">
        <v>745</v>
      </c>
      <c r="AG10" s="479"/>
      <c r="AH10" s="479"/>
      <c r="AI10" s="479"/>
      <c r="AJ10" s="394"/>
      <c r="AK10" s="290">
        <v>0.79</v>
      </c>
      <c r="AL10" s="290">
        <v>0.9</v>
      </c>
      <c r="AM10" s="290">
        <v>0.35289999999999999</v>
      </c>
      <c r="AN10" s="291" t="s">
        <v>746</v>
      </c>
      <c r="AO10" s="479"/>
      <c r="AP10" s="479"/>
      <c r="AQ10" s="479"/>
      <c r="AR10" s="394"/>
      <c r="AS10" s="290">
        <v>0.82399999999999995</v>
      </c>
      <c r="AT10" s="290">
        <v>0.9</v>
      </c>
      <c r="AU10" s="290">
        <v>0.52939999999999998</v>
      </c>
      <c r="AV10" s="291" t="s">
        <v>747</v>
      </c>
      <c r="AW10" s="279"/>
      <c r="AX10" s="279"/>
      <c r="AY10" s="279"/>
      <c r="AZ10" s="279"/>
      <c r="BA10" s="279"/>
      <c r="BB10" s="279"/>
      <c r="BC10" s="279"/>
      <c r="BD10" s="279"/>
      <c r="BE10" s="279"/>
      <c r="BF10" s="279"/>
      <c r="BG10" s="279"/>
      <c r="BH10" s="279"/>
      <c r="BI10" s="279"/>
      <c r="BJ10" s="279"/>
      <c r="BK10" s="279"/>
      <c r="BL10" s="279"/>
      <c r="BM10" s="279"/>
    </row>
    <row r="11" spans="1:65" s="263" customFormat="1" ht="76.5" customHeight="1" x14ac:dyDescent="0.25">
      <c r="A11" s="571"/>
      <c r="B11" s="571"/>
      <c r="C11" s="515"/>
      <c r="D11" s="515"/>
      <c r="E11" s="515"/>
      <c r="F11" s="515"/>
      <c r="G11" s="515"/>
      <c r="H11" s="515"/>
      <c r="I11" s="515"/>
      <c r="J11" s="506"/>
      <c r="K11" s="504"/>
      <c r="L11" s="395"/>
      <c r="M11" s="395"/>
      <c r="N11" s="395"/>
      <c r="O11" s="395"/>
      <c r="P11" s="480"/>
      <c r="Q11" s="73" t="s">
        <v>748</v>
      </c>
      <c r="R11" s="73" t="s">
        <v>749</v>
      </c>
      <c r="S11" s="80" t="s">
        <v>74</v>
      </c>
      <c r="T11" s="80"/>
      <c r="U11" s="81">
        <v>1</v>
      </c>
      <c r="V11" s="654"/>
      <c r="W11" s="656"/>
      <c r="X11" s="504"/>
      <c r="Y11" s="480"/>
      <c r="Z11" s="480"/>
      <c r="AA11" s="480"/>
      <c r="AB11" s="395"/>
      <c r="AC11" s="289"/>
      <c r="AD11" s="81">
        <v>1</v>
      </c>
      <c r="AE11" s="81"/>
      <c r="AF11" s="80" t="s">
        <v>741</v>
      </c>
      <c r="AG11" s="480"/>
      <c r="AH11" s="480"/>
      <c r="AI11" s="480"/>
      <c r="AJ11" s="395"/>
      <c r="AK11" s="289"/>
      <c r="AL11" s="81"/>
      <c r="AM11" s="81"/>
      <c r="AN11" s="80"/>
      <c r="AO11" s="480"/>
      <c r="AP11" s="480"/>
      <c r="AQ11" s="480"/>
      <c r="AR11" s="395"/>
      <c r="AS11" s="289">
        <v>0.25</v>
      </c>
      <c r="AT11" s="81">
        <v>1</v>
      </c>
      <c r="AU11" s="81">
        <v>0.25</v>
      </c>
      <c r="AV11" s="80" t="s">
        <v>750</v>
      </c>
      <c r="AW11" s="279"/>
      <c r="AX11" s="279"/>
      <c r="AY11" s="279"/>
      <c r="AZ11" s="279"/>
      <c r="BA11" s="279"/>
      <c r="BB11" s="279"/>
      <c r="BC11" s="279"/>
      <c r="BD11" s="279"/>
      <c r="BE11" s="279"/>
      <c r="BF11" s="279"/>
      <c r="BG11" s="279"/>
      <c r="BH11" s="279"/>
      <c r="BI11" s="279"/>
      <c r="BJ11" s="279"/>
      <c r="BK11" s="279"/>
      <c r="BL11" s="279"/>
      <c r="BM11" s="279"/>
    </row>
    <row r="12" spans="1:65" s="263" customFormat="1" ht="129" customHeight="1" x14ac:dyDescent="0.25">
      <c r="A12" s="508"/>
      <c r="B12" s="508"/>
      <c r="C12" s="515"/>
      <c r="D12" s="515"/>
      <c r="E12" s="515"/>
      <c r="F12" s="515"/>
      <c r="G12" s="515"/>
      <c r="H12" s="515"/>
      <c r="I12" s="515"/>
      <c r="J12" s="506"/>
      <c r="K12" s="504"/>
      <c r="L12" s="67" t="s">
        <v>751</v>
      </c>
      <c r="M12" s="67" t="s">
        <v>752</v>
      </c>
      <c r="N12" s="68" t="s">
        <v>74</v>
      </c>
      <c r="O12" s="67" t="s">
        <v>753</v>
      </c>
      <c r="P12" s="68">
        <v>1</v>
      </c>
      <c r="Q12" s="253"/>
      <c r="R12" s="253"/>
      <c r="S12" s="253"/>
      <c r="T12" s="253"/>
      <c r="U12" s="253"/>
      <c r="V12" s="287">
        <v>501086229</v>
      </c>
      <c r="W12" s="656"/>
      <c r="X12" s="504"/>
      <c r="Y12" s="68">
        <v>1</v>
      </c>
      <c r="Z12" s="68">
        <v>1</v>
      </c>
      <c r="AA12" s="68">
        <v>8.3333299999999999E-2</v>
      </c>
      <c r="AB12" s="67" t="s">
        <v>754</v>
      </c>
      <c r="AC12" s="253"/>
      <c r="AD12" s="253"/>
      <c r="AE12" s="253"/>
      <c r="AF12" s="253"/>
      <c r="AG12" s="68">
        <f>718/724</f>
        <v>0.99171270718232041</v>
      </c>
      <c r="AH12" s="68">
        <v>1</v>
      </c>
      <c r="AI12" s="68">
        <f>+(AG12/AH12)*8.333333%</f>
        <v>8.2642722292817675E-2</v>
      </c>
      <c r="AJ12" s="67" t="s">
        <v>755</v>
      </c>
      <c r="AK12" s="253"/>
      <c r="AL12" s="253"/>
      <c r="AM12" s="253"/>
      <c r="AN12" s="253"/>
      <c r="AO12" s="68">
        <v>0.99259807549962986</v>
      </c>
      <c r="AP12" s="68">
        <v>1</v>
      </c>
      <c r="AQ12" s="68">
        <f>+(AO12/AP12)*16.66666%</f>
        <v>0.16543294641006662</v>
      </c>
      <c r="AR12" s="67" t="s">
        <v>756</v>
      </c>
      <c r="AS12" s="253"/>
      <c r="AT12" s="253"/>
      <c r="AU12" s="253"/>
      <c r="AV12" s="253"/>
      <c r="AW12" s="279"/>
      <c r="AX12" s="279"/>
      <c r="AY12" s="279"/>
      <c r="AZ12" s="279"/>
      <c r="BA12" s="279"/>
      <c r="BB12" s="279"/>
      <c r="BC12" s="279"/>
      <c r="BD12" s="279"/>
      <c r="BE12" s="279"/>
      <c r="BF12" s="279"/>
      <c r="BG12" s="279"/>
      <c r="BH12" s="279"/>
      <c r="BI12" s="279"/>
      <c r="BJ12" s="279"/>
      <c r="BK12" s="279"/>
      <c r="BL12" s="279"/>
      <c r="BM12" s="279"/>
    </row>
    <row r="13" spans="1:65" s="279" customFormat="1" ht="64.5" customHeight="1" x14ac:dyDescent="0.25">
      <c r="A13" s="292"/>
      <c r="B13" s="292"/>
      <c r="C13" s="292"/>
      <c r="G13" s="292"/>
      <c r="J13" s="292"/>
      <c r="L13" s="293"/>
      <c r="P13" s="294"/>
      <c r="V13" s="295"/>
      <c r="W13" s="656"/>
      <c r="X13" s="281"/>
      <c r="Y13" s="388" t="s">
        <v>99</v>
      </c>
      <c r="Z13" s="388"/>
      <c r="AA13" s="58">
        <f>+AVERAGE(AA8:AA12)</f>
        <v>0.16666665</v>
      </c>
      <c r="AB13" s="281"/>
      <c r="AC13" s="388" t="s">
        <v>866</v>
      </c>
      <c r="AD13" s="388"/>
      <c r="AE13" s="58">
        <f>+AVERAGE(AE9:AE11)</f>
        <v>0.33333333333333331</v>
      </c>
      <c r="AF13" s="281"/>
      <c r="AG13" s="388" t="s">
        <v>865</v>
      </c>
      <c r="AH13" s="388"/>
      <c r="AI13" s="58">
        <f>+AVERAGE(AI8:AI12)</f>
        <v>0.16632136114640883</v>
      </c>
      <c r="AJ13" s="281"/>
      <c r="AK13" s="388" t="s">
        <v>866</v>
      </c>
      <c r="AL13" s="388"/>
      <c r="AM13" s="58">
        <f>+AVERAGE(AM9:AM11)</f>
        <v>0.50978333333333326</v>
      </c>
      <c r="AN13" s="281"/>
      <c r="AO13" s="388" t="s">
        <v>865</v>
      </c>
      <c r="AP13" s="388"/>
      <c r="AQ13" s="58">
        <f>+AVERAGE(AQ8:AQ12)</f>
        <v>0.20771647320503331</v>
      </c>
      <c r="AR13" s="281"/>
      <c r="AS13" s="388" t="s">
        <v>866</v>
      </c>
      <c r="AT13" s="388"/>
      <c r="AU13" s="58">
        <f>+AVERAGE(AU9:AU11)</f>
        <v>0.48202222222222219</v>
      </c>
      <c r="AV13" s="281"/>
    </row>
    <row r="14" spans="1:65" s="263" customFormat="1" ht="76.5" customHeight="1" x14ac:dyDescent="0.25">
      <c r="A14" s="567" t="s">
        <v>43</v>
      </c>
      <c r="B14" s="567" t="s">
        <v>44</v>
      </c>
      <c r="C14" s="567" t="s">
        <v>45</v>
      </c>
      <c r="D14" s="567" t="s">
        <v>349</v>
      </c>
      <c r="E14" s="567" t="s">
        <v>47</v>
      </c>
      <c r="F14" s="567" t="s">
        <v>326</v>
      </c>
      <c r="G14" s="567" t="s">
        <v>629</v>
      </c>
      <c r="H14" s="567" t="s">
        <v>757</v>
      </c>
      <c r="I14" s="567" t="s">
        <v>758</v>
      </c>
      <c r="J14" s="567" t="s">
        <v>726</v>
      </c>
      <c r="K14" s="567" t="s">
        <v>759</v>
      </c>
      <c r="L14" s="80" t="s">
        <v>760</v>
      </c>
      <c r="M14" s="80" t="s">
        <v>761</v>
      </c>
      <c r="N14" s="80" t="s">
        <v>74</v>
      </c>
      <c r="O14" s="80">
        <v>0</v>
      </c>
      <c r="P14" s="81">
        <v>0.8</v>
      </c>
      <c r="Q14" s="253"/>
      <c r="R14" s="253"/>
      <c r="S14" s="253"/>
      <c r="T14" s="253"/>
      <c r="U14" s="253"/>
      <c r="V14" s="288">
        <v>110676323</v>
      </c>
      <c r="W14" s="656"/>
      <c r="X14" s="402" t="s">
        <v>762</v>
      </c>
      <c r="Y14" s="81"/>
      <c r="Z14" s="81"/>
      <c r="AA14" s="81"/>
      <c r="AB14" s="81" t="s">
        <v>763</v>
      </c>
      <c r="AC14" s="253"/>
      <c r="AD14" s="253"/>
      <c r="AE14" s="253"/>
      <c r="AF14" s="253"/>
      <c r="AG14" s="81" t="s">
        <v>590</v>
      </c>
      <c r="AH14" s="81">
        <v>0.8</v>
      </c>
      <c r="AI14" s="81" t="s">
        <v>590</v>
      </c>
      <c r="AJ14" s="81" t="s">
        <v>764</v>
      </c>
      <c r="AK14" s="253"/>
      <c r="AL14" s="253"/>
      <c r="AM14" s="253"/>
      <c r="AN14" s="253"/>
      <c r="AO14" s="81">
        <v>0.61399999999999999</v>
      </c>
      <c r="AP14" s="81">
        <v>0.8</v>
      </c>
      <c r="AQ14" s="81">
        <f>+AO14/AP14</f>
        <v>0.76749999999999996</v>
      </c>
      <c r="AR14" s="81" t="s">
        <v>765</v>
      </c>
      <c r="AS14" s="253"/>
      <c r="AT14" s="253"/>
      <c r="AU14" s="253"/>
      <c r="AV14" s="253"/>
      <c r="AW14" s="279"/>
      <c r="AX14" s="279"/>
      <c r="AY14" s="279"/>
      <c r="AZ14" s="279"/>
      <c r="BA14" s="279"/>
      <c r="BB14" s="279"/>
      <c r="BC14" s="279"/>
      <c r="BD14" s="279"/>
      <c r="BE14" s="279"/>
      <c r="BF14" s="279"/>
      <c r="BG14" s="279"/>
      <c r="BH14" s="279"/>
      <c r="BI14" s="279"/>
      <c r="BJ14" s="279"/>
      <c r="BK14" s="279"/>
      <c r="BL14" s="279"/>
      <c r="BM14" s="279"/>
    </row>
    <row r="15" spans="1:65" s="263" customFormat="1" ht="144" x14ac:dyDescent="0.25">
      <c r="A15" s="642"/>
      <c r="B15" s="642"/>
      <c r="C15" s="642"/>
      <c r="D15" s="642"/>
      <c r="E15" s="642"/>
      <c r="F15" s="642"/>
      <c r="G15" s="642"/>
      <c r="H15" s="642"/>
      <c r="I15" s="642"/>
      <c r="J15" s="642"/>
      <c r="K15" s="642"/>
      <c r="L15" s="67" t="s">
        <v>766</v>
      </c>
      <c r="M15" s="67" t="s">
        <v>767</v>
      </c>
      <c r="N15" s="68" t="s">
        <v>74</v>
      </c>
      <c r="O15" s="67">
        <v>0</v>
      </c>
      <c r="P15" s="68">
        <v>1</v>
      </c>
      <c r="Q15" s="253"/>
      <c r="R15" s="253"/>
      <c r="S15" s="253"/>
      <c r="T15" s="253"/>
      <c r="U15" s="253"/>
      <c r="V15" s="287">
        <v>845679065</v>
      </c>
      <c r="W15" s="656"/>
      <c r="X15" s="402"/>
      <c r="Y15" s="68">
        <v>1</v>
      </c>
      <c r="Z15" s="68">
        <v>1</v>
      </c>
      <c r="AA15" s="68">
        <v>8.3333332999999996E-2</v>
      </c>
      <c r="AB15" s="68" t="s">
        <v>768</v>
      </c>
      <c r="AC15" s="253"/>
      <c r="AD15" s="253"/>
      <c r="AE15" s="253"/>
      <c r="AF15" s="253"/>
      <c r="AG15" s="68">
        <v>1</v>
      </c>
      <c r="AH15" s="68">
        <v>1</v>
      </c>
      <c r="AI15" s="68">
        <v>0.16666666660000001</v>
      </c>
      <c r="AJ15" s="68" t="s">
        <v>769</v>
      </c>
      <c r="AK15" s="253"/>
      <c r="AL15" s="253"/>
      <c r="AM15" s="253"/>
      <c r="AN15" s="253"/>
      <c r="AO15" s="68">
        <v>1</v>
      </c>
      <c r="AP15" s="68">
        <v>1</v>
      </c>
      <c r="AQ15" s="68">
        <v>0.25</v>
      </c>
      <c r="AR15" s="68" t="s">
        <v>770</v>
      </c>
      <c r="AS15" s="253"/>
      <c r="AT15" s="253"/>
      <c r="AU15" s="253"/>
      <c r="AV15" s="253"/>
      <c r="AW15" s="279"/>
      <c r="AX15" s="279"/>
      <c r="AY15" s="279"/>
      <c r="AZ15" s="279"/>
      <c r="BA15" s="279"/>
      <c r="BB15" s="279"/>
      <c r="BC15" s="279"/>
      <c r="BD15" s="279"/>
      <c r="BE15" s="279"/>
      <c r="BF15" s="279"/>
      <c r="BG15" s="279"/>
      <c r="BH15" s="279"/>
      <c r="BI15" s="279"/>
      <c r="BJ15" s="279"/>
      <c r="BK15" s="279"/>
      <c r="BL15" s="279"/>
      <c r="BM15" s="279"/>
    </row>
    <row r="16" spans="1:65" s="263" customFormat="1" ht="76.5" customHeight="1" x14ac:dyDescent="0.25">
      <c r="A16" s="568"/>
      <c r="B16" s="568"/>
      <c r="C16" s="568"/>
      <c r="D16" s="568"/>
      <c r="E16" s="568"/>
      <c r="F16" s="568"/>
      <c r="G16" s="568"/>
      <c r="H16" s="568"/>
      <c r="I16" s="568"/>
      <c r="J16" s="568"/>
      <c r="K16" s="568"/>
      <c r="L16" s="80" t="s">
        <v>771</v>
      </c>
      <c r="M16" s="80" t="s">
        <v>772</v>
      </c>
      <c r="N16" s="80" t="s">
        <v>74</v>
      </c>
      <c r="O16" s="80">
        <v>0</v>
      </c>
      <c r="P16" s="81">
        <v>1</v>
      </c>
      <c r="Q16" s="253"/>
      <c r="R16" s="253"/>
      <c r="S16" s="253"/>
      <c r="T16" s="253"/>
      <c r="U16" s="253"/>
      <c r="V16" s="288">
        <v>209203498</v>
      </c>
      <c r="W16" s="656"/>
      <c r="X16" s="402"/>
      <c r="Y16" s="81"/>
      <c r="Z16" s="81"/>
      <c r="AA16" s="81"/>
      <c r="AB16" s="296" t="s">
        <v>763</v>
      </c>
      <c r="AC16" s="253"/>
      <c r="AD16" s="253"/>
      <c r="AE16" s="253"/>
      <c r="AF16" s="253"/>
      <c r="AG16" s="81" t="s">
        <v>590</v>
      </c>
      <c r="AH16" s="81">
        <v>1</v>
      </c>
      <c r="AI16" s="81" t="s">
        <v>590</v>
      </c>
      <c r="AJ16" s="81" t="s">
        <v>764</v>
      </c>
      <c r="AK16" s="253"/>
      <c r="AL16" s="253"/>
      <c r="AM16" s="253"/>
      <c r="AN16" s="253"/>
      <c r="AO16" s="81">
        <v>0.52600000000000002</v>
      </c>
      <c r="AP16" s="81">
        <v>1</v>
      </c>
      <c r="AQ16" s="81">
        <v>0.13150000000000001</v>
      </c>
      <c r="AR16" s="81" t="s">
        <v>773</v>
      </c>
      <c r="AS16" s="253"/>
      <c r="AT16" s="253"/>
      <c r="AU16" s="253"/>
      <c r="AV16" s="253"/>
      <c r="AW16" s="279"/>
      <c r="AX16" s="279"/>
      <c r="AY16" s="279"/>
      <c r="AZ16" s="279"/>
      <c r="BA16" s="279"/>
      <c r="BB16" s="279"/>
      <c r="BC16" s="279"/>
      <c r="BD16" s="279"/>
      <c r="BE16" s="279"/>
      <c r="BF16" s="279"/>
      <c r="BG16" s="279"/>
      <c r="BH16" s="279"/>
      <c r="BI16" s="279"/>
      <c r="BJ16" s="279"/>
      <c r="BK16" s="279"/>
      <c r="BL16" s="279"/>
      <c r="BM16" s="279"/>
    </row>
    <row r="17" spans="1:65" s="279" customFormat="1" ht="67.5" customHeight="1" x14ac:dyDescent="0.25">
      <c r="A17" s="292"/>
      <c r="B17" s="292"/>
      <c r="C17" s="292"/>
      <c r="G17" s="292"/>
      <c r="J17" s="292"/>
      <c r="V17" s="295"/>
      <c r="W17" s="656"/>
      <c r="X17" s="281"/>
      <c r="Y17" s="388" t="s">
        <v>99</v>
      </c>
      <c r="Z17" s="388"/>
      <c r="AA17" s="58">
        <f>+AVERAGE(AA14:AA16)</f>
        <v>8.3333332999999996E-2</v>
      </c>
      <c r="AB17" s="281"/>
      <c r="AC17" s="643"/>
      <c r="AD17" s="643"/>
      <c r="AE17" s="297"/>
      <c r="AF17" s="281"/>
      <c r="AG17" s="388" t="s">
        <v>865</v>
      </c>
      <c r="AH17" s="388"/>
      <c r="AI17" s="58">
        <f>+AVERAGE(AI14:AI16)</f>
        <v>0.16666666660000001</v>
      </c>
      <c r="AJ17" s="281"/>
      <c r="AK17" s="643"/>
      <c r="AL17" s="643"/>
      <c r="AM17" s="297"/>
      <c r="AN17" s="281"/>
      <c r="AO17" s="388" t="s">
        <v>865</v>
      </c>
      <c r="AP17" s="388"/>
      <c r="AQ17" s="58">
        <f>+AVERAGE(AQ14:AQ16)</f>
        <v>0.38300000000000001</v>
      </c>
      <c r="AR17" s="281"/>
      <c r="AS17" s="643"/>
      <c r="AT17" s="643"/>
      <c r="AU17" s="297"/>
      <c r="AV17" s="281"/>
    </row>
    <row r="18" spans="1:65" s="263" customFormat="1" ht="72" x14ac:dyDescent="0.25">
      <c r="A18" s="651" t="s">
        <v>43</v>
      </c>
      <c r="B18" s="651" t="s">
        <v>44</v>
      </c>
      <c r="C18" s="651" t="s">
        <v>45</v>
      </c>
      <c r="D18" s="651" t="s">
        <v>349</v>
      </c>
      <c r="E18" s="651" t="s">
        <v>375</v>
      </c>
      <c r="F18" s="651" t="s">
        <v>643</v>
      </c>
      <c r="G18" s="651" t="s">
        <v>629</v>
      </c>
      <c r="H18" s="651" t="s">
        <v>757</v>
      </c>
      <c r="I18" s="651" t="s">
        <v>774</v>
      </c>
      <c r="J18" s="651" t="s">
        <v>726</v>
      </c>
      <c r="K18" s="428" t="s">
        <v>775</v>
      </c>
      <c r="L18" s="80" t="s">
        <v>776</v>
      </c>
      <c r="M18" s="80" t="s">
        <v>777</v>
      </c>
      <c r="N18" s="80" t="s">
        <v>74</v>
      </c>
      <c r="O18" s="80"/>
      <c r="P18" s="81">
        <v>0.92</v>
      </c>
      <c r="Q18" s="80" t="s">
        <v>778</v>
      </c>
      <c r="R18" s="80" t="s">
        <v>779</v>
      </c>
      <c r="S18" s="80" t="s">
        <v>74</v>
      </c>
      <c r="T18" s="80"/>
      <c r="U18" s="81">
        <v>0.92</v>
      </c>
      <c r="V18" s="288">
        <v>621807541</v>
      </c>
      <c r="W18" s="656"/>
      <c r="X18" s="651" t="s">
        <v>780</v>
      </c>
      <c r="Y18" s="265">
        <v>6445640723</v>
      </c>
      <c r="Z18" s="81">
        <v>0.92</v>
      </c>
      <c r="AA18" s="81">
        <f>Y18/145132117462</f>
        <v>4.4412228221555883E-2</v>
      </c>
      <c r="AB18" s="81" t="s">
        <v>781</v>
      </c>
      <c r="AC18" s="265">
        <v>5593386723</v>
      </c>
      <c r="AD18" s="81">
        <v>0.92</v>
      </c>
      <c r="AE18" s="81">
        <f>5593386723/104311415646.781</f>
        <v>5.362199993469851E-2</v>
      </c>
      <c r="AF18" s="81" t="s">
        <v>782</v>
      </c>
      <c r="AG18" s="265">
        <v>11248540381</v>
      </c>
      <c r="AH18" s="81">
        <v>0.92</v>
      </c>
      <c r="AI18" s="81">
        <f>AG18/145132117462</f>
        <v>7.7505521022562154E-2</v>
      </c>
      <c r="AJ18" s="81" t="s">
        <v>783</v>
      </c>
      <c r="AK18" s="265">
        <v>9251994529</v>
      </c>
      <c r="AL18" s="81">
        <v>0.92</v>
      </c>
      <c r="AM18" s="81">
        <f>AK18/104311415646.781</f>
        <v>8.8695896528996163E-2</v>
      </c>
      <c r="AN18" s="81" t="s">
        <v>784</v>
      </c>
      <c r="AO18" s="265">
        <v>22147193124</v>
      </c>
      <c r="AP18" s="81">
        <v>0.92</v>
      </c>
      <c r="AQ18" s="81">
        <f>AO18/145132117462</f>
        <v>0.1526002204839243</v>
      </c>
      <c r="AR18" s="81" t="s">
        <v>785</v>
      </c>
      <c r="AS18" s="265">
        <v>19279085420</v>
      </c>
      <c r="AT18" s="81">
        <v>0.92</v>
      </c>
      <c r="AU18" s="81">
        <f>+AS18/104311415646.781</f>
        <v>0.18482239264475883</v>
      </c>
      <c r="AV18" s="81" t="s">
        <v>786</v>
      </c>
      <c r="AW18" s="279"/>
      <c r="AX18" s="279"/>
      <c r="AY18" s="279"/>
      <c r="AZ18" s="279"/>
      <c r="BA18" s="279"/>
      <c r="BB18" s="279"/>
      <c r="BC18" s="279"/>
      <c r="BD18" s="279"/>
      <c r="BE18" s="279"/>
      <c r="BF18" s="279"/>
      <c r="BG18" s="279"/>
      <c r="BH18" s="279"/>
      <c r="BI18" s="279"/>
      <c r="BJ18" s="279"/>
      <c r="BK18" s="279"/>
      <c r="BL18" s="279"/>
      <c r="BM18" s="279"/>
    </row>
    <row r="19" spans="1:65" s="263" customFormat="1" ht="76.5" customHeight="1" x14ac:dyDescent="0.25">
      <c r="A19" s="651"/>
      <c r="B19" s="651" t="s">
        <v>44</v>
      </c>
      <c r="C19" s="651"/>
      <c r="D19" s="651"/>
      <c r="E19" s="651"/>
      <c r="F19" s="651"/>
      <c r="G19" s="651"/>
      <c r="H19" s="651"/>
      <c r="I19" s="651"/>
      <c r="J19" s="651"/>
      <c r="K19" s="428"/>
      <c r="L19" s="67" t="s">
        <v>787</v>
      </c>
      <c r="M19" s="67" t="s">
        <v>788</v>
      </c>
      <c r="N19" s="68" t="s">
        <v>74</v>
      </c>
      <c r="O19" s="67"/>
      <c r="P19" s="68">
        <v>1</v>
      </c>
      <c r="Q19" s="253"/>
      <c r="R19" s="253"/>
      <c r="S19" s="253"/>
      <c r="T19" s="253"/>
      <c r="U19" s="253"/>
      <c r="V19" s="287">
        <v>182489916</v>
      </c>
      <c r="W19" s="656"/>
      <c r="X19" s="651"/>
      <c r="Y19" s="287"/>
      <c r="Z19" s="68">
        <v>1</v>
      </c>
      <c r="AA19" s="68"/>
      <c r="AB19" s="68" t="s">
        <v>789</v>
      </c>
      <c r="AC19" s="253"/>
      <c r="AD19" s="253"/>
      <c r="AE19" s="253"/>
      <c r="AF19" s="253"/>
      <c r="AG19" s="287"/>
      <c r="AH19" s="68">
        <v>1</v>
      </c>
      <c r="AI19" s="68"/>
      <c r="AJ19" s="68" t="s">
        <v>789</v>
      </c>
      <c r="AK19" s="253"/>
      <c r="AL19" s="253"/>
      <c r="AM19" s="253"/>
      <c r="AN19" s="253"/>
      <c r="AO19" s="287" t="s">
        <v>732</v>
      </c>
      <c r="AP19" s="68">
        <v>1</v>
      </c>
      <c r="AQ19" s="68" t="s">
        <v>732</v>
      </c>
      <c r="AR19" s="68" t="s">
        <v>789</v>
      </c>
      <c r="AS19" s="253"/>
      <c r="AT19" s="253"/>
      <c r="AU19" s="253"/>
      <c r="AV19" s="253"/>
      <c r="AW19" s="279"/>
      <c r="AX19" s="279"/>
      <c r="AY19" s="279"/>
      <c r="AZ19" s="279"/>
      <c r="BA19" s="279"/>
      <c r="BB19" s="279"/>
      <c r="BC19" s="279"/>
      <c r="BD19" s="279"/>
      <c r="BE19" s="279"/>
      <c r="BF19" s="279"/>
      <c r="BG19" s="279"/>
      <c r="BH19" s="279"/>
      <c r="BI19" s="279"/>
      <c r="BJ19" s="279"/>
      <c r="BK19" s="279"/>
      <c r="BL19" s="279"/>
      <c r="BM19" s="279"/>
    </row>
    <row r="20" spans="1:65" s="263" customFormat="1" ht="76.5" customHeight="1" x14ac:dyDescent="0.25">
      <c r="A20" s="651"/>
      <c r="B20" s="651"/>
      <c r="C20" s="651"/>
      <c r="D20" s="651"/>
      <c r="E20" s="651"/>
      <c r="F20" s="651"/>
      <c r="G20" s="651"/>
      <c r="H20" s="651"/>
      <c r="I20" s="651"/>
      <c r="J20" s="651"/>
      <c r="K20" s="428"/>
      <c r="L20" s="80" t="s">
        <v>790</v>
      </c>
      <c r="M20" s="80" t="s">
        <v>791</v>
      </c>
      <c r="N20" s="80" t="s">
        <v>74</v>
      </c>
      <c r="O20" s="80"/>
      <c r="P20" s="81">
        <v>0.95</v>
      </c>
      <c r="Q20" s="253"/>
      <c r="R20" s="253"/>
      <c r="S20" s="253"/>
      <c r="T20" s="253"/>
      <c r="U20" s="253"/>
      <c r="V20" s="288">
        <v>506177269</v>
      </c>
      <c r="W20" s="656"/>
      <c r="X20" s="651"/>
      <c r="Y20" s="288">
        <v>6612524484.8699999</v>
      </c>
      <c r="Z20" s="81">
        <v>0.95</v>
      </c>
      <c r="AA20" s="81">
        <f>+Y20/Y21</f>
        <v>8.6622757535943104E-2</v>
      </c>
      <c r="AB20" s="81" t="s">
        <v>792</v>
      </c>
      <c r="AC20" s="253"/>
      <c r="AD20" s="253"/>
      <c r="AE20" s="253"/>
      <c r="AF20" s="253"/>
      <c r="AG20" s="288">
        <v>13599212381.779999</v>
      </c>
      <c r="AH20" s="81">
        <v>0.95</v>
      </c>
      <c r="AI20" s="81">
        <f>+AG20/AG21</f>
        <v>0.15944075908473201</v>
      </c>
      <c r="AJ20" s="81" t="s">
        <v>793</v>
      </c>
      <c r="AK20" s="253"/>
      <c r="AL20" s="253"/>
      <c r="AM20" s="253"/>
      <c r="AN20" s="253"/>
      <c r="AO20" s="288">
        <v>22700385151.810001</v>
      </c>
      <c r="AP20" s="81">
        <v>0.95</v>
      </c>
      <c r="AQ20" s="81">
        <f>+AO20/AO21</f>
        <v>0.23120126466686802</v>
      </c>
      <c r="AR20" s="81" t="s">
        <v>794</v>
      </c>
      <c r="AS20" s="253"/>
      <c r="AT20" s="253"/>
      <c r="AU20" s="253"/>
      <c r="AV20" s="253"/>
      <c r="AW20" s="279"/>
      <c r="AX20" s="279"/>
      <c r="AY20" s="279"/>
      <c r="AZ20" s="279"/>
      <c r="BA20" s="279"/>
      <c r="BB20" s="279"/>
      <c r="BC20" s="279"/>
      <c r="BD20" s="279"/>
      <c r="BE20" s="279"/>
      <c r="BF20" s="279"/>
      <c r="BG20" s="279"/>
      <c r="BH20" s="279"/>
      <c r="BI20" s="279"/>
      <c r="BJ20" s="279"/>
      <c r="BK20" s="279"/>
      <c r="BL20" s="279"/>
      <c r="BM20" s="279"/>
    </row>
    <row r="21" spans="1:65" s="263" customFormat="1" ht="76.5" customHeight="1" x14ac:dyDescent="0.25">
      <c r="A21" s="514"/>
      <c r="B21" s="514"/>
      <c r="C21" s="514"/>
      <c r="D21" s="514"/>
      <c r="E21" s="514"/>
      <c r="F21" s="514"/>
      <c r="G21" s="514"/>
      <c r="H21" s="514"/>
      <c r="I21" s="514"/>
      <c r="J21" s="514"/>
      <c r="K21" s="428"/>
      <c r="L21" s="67" t="s">
        <v>795</v>
      </c>
      <c r="M21" s="67" t="s">
        <v>796</v>
      </c>
      <c r="N21" s="68" t="s">
        <v>74</v>
      </c>
      <c r="O21" s="67"/>
      <c r="P21" s="68">
        <v>0.95</v>
      </c>
      <c r="Q21" s="253"/>
      <c r="R21" s="253"/>
      <c r="S21" s="253"/>
      <c r="T21" s="253"/>
      <c r="U21" s="253"/>
      <c r="V21" s="287">
        <v>160481076</v>
      </c>
      <c r="W21" s="656"/>
      <c r="X21" s="514"/>
      <c r="Y21" s="287">
        <v>76337035127.589996</v>
      </c>
      <c r="Z21" s="68">
        <v>0.95</v>
      </c>
      <c r="AA21" s="68">
        <f>+Y21/141886312694</f>
        <v>0.53801549760633172</v>
      </c>
      <c r="AB21" s="68" t="s">
        <v>797</v>
      </c>
      <c r="AC21" s="253"/>
      <c r="AD21" s="253"/>
      <c r="AE21" s="253"/>
      <c r="AF21" s="253"/>
      <c r="AG21" s="287">
        <v>85293198927.589996</v>
      </c>
      <c r="AH21" s="68">
        <v>0.95</v>
      </c>
      <c r="AI21" s="68">
        <f>+AG21/141886312694</f>
        <v>0.60113761016214518</v>
      </c>
      <c r="AJ21" s="68" t="s">
        <v>798</v>
      </c>
      <c r="AK21" s="253"/>
      <c r="AL21" s="253"/>
      <c r="AM21" s="253"/>
      <c r="AN21" s="253"/>
      <c r="AO21" s="287">
        <v>98184519814.449997</v>
      </c>
      <c r="AP21" s="68">
        <v>0.95</v>
      </c>
      <c r="AQ21" s="68">
        <f>+AO21/141886312694</f>
        <v>0.6919943012840164</v>
      </c>
      <c r="AR21" s="68" t="s">
        <v>799</v>
      </c>
      <c r="AS21" s="253"/>
      <c r="AT21" s="253"/>
      <c r="AU21" s="253"/>
      <c r="AV21" s="253"/>
      <c r="AW21" s="279"/>
      <c r="AX21" s="279"/>
      <c r="AY21" s="279"/>
      <c r="AZ21" s="279"/>
      <c r="BA21" s="279"/>
      <c r="BB21" s="279"/>
      <c r="BC21" s="279"/>
      <c r="BD21" s="279"/>
      <c r="BE21" s="279"/>
      <c r="BF21" s="279"/>
      <c r="BG21" s="279"/>
      <c r="BH21" s="279"/>
      <c r="BI21" s="279"/>
      <c r="BJ21" s="279"/>
      <c r="BK21" s="279"/>
      <c r="BL21" s="279"/>
      <c r="BM21" s="279"/>
    </row>
    <row r="22" spans="1:65" s="279" customFormat="1" ht="66" customHeight="1" x14ac:dyDescent="0.25">
      <c r="A22" s="292"/>
      <c r="B22" s="292"/>
      <c r="C22" s="292"/>
      <c r="G22" s="292"/>
      <c r="J22" s="292"/>
      <c r="L22" s="293"/>
      <c r="V22" s="295"/>
      <c r="W22" s="656"/>
      <c r="X22" s="281"/>
      <c r="Y22" s="388" t="s">
        <v>99</v>
      </c>
      <c r="Z22" s="388"/>
      <c r="AA22" s="58">
        <f>+AVERAGE(AA18:AA21)</f>
        <v>0.22301682778794354</v>
      </c>
      <c r="AB22" s="281"/>
      <c r="AC22" s="388" t="s">
        <v>866</v>
      </c>
      <c r="AD22" s="388"/>
      <c r="AE22" s="58">
        <f>+AVERAGE(AE18)</f>
        <v>5.362199993469851E-2</v>
      </c>
      <c r="AF22" s="281"/>
      <c r="AG22" s="388" t="s">
        <v>865</v>
      </c>
      <c r="AH22" s="388"/>
      <c r="AI22" s="58">
        <f>+AVERAGE(AI18:AI21)</f>
        <v>0.2793612967564798</v>
      </c>
      <c r="AJ22" s="281"/>
      <c r="AK22" s="388" t="s">
        <v>866</v>
      </c>
      <c r="AL22" s="388"/>
      <c r="AM22" s="58">
        <f>+AVERAGE(AM18)</f>
        <v>8.8695896528996163E-2</v>
      </c>
      <c r="AN22" s="281"/>
      <c r="AO22" s="388" t="s">
        <v>865</v>
      </c>
      <c r="AP22" s="388"/>
      <c r="AQ22" s="58">
        <f>+AVERAGE(AQ18:AQ21)</f>
        <v>0.35859859547826956</v>
      </c>
      <c r="AR22" s="281"/>
      <c r="AS22" s="388" t="s">
        <v>866</v>
      </c>
      <c r="AT22" s="388"/>
      <c r="AU22" s="58">
        <f>+AVERAGE(AU18)</f>
        <v>0.18482239264475883</v>
      </c>
      <c r="AV22" s="281"/>
    </row>
    <row r="23" spans="1:65" s="263" customFormat="1" ht="76.5" customHeight="1" x14ac:dyDescent="0.25">
      <c r="A23" s="567" t="s">
        <v>43</v>
      </c>
      <c r="B23" s="567" t="s">
        <v>44</v>
      </c>
      <c r="C23" s="567" t="s">
        <v>45</v>
      </c>
      <c r="D23" s="567" t="s">
        <v>349</v>
      </c>
      <c r="E23" s="567" t="s">
        <v>47</v>
      </c>
      <c r="F23" s="567" t="s">
        <v>350</v>
      </c>
      <c r="G23" s="567" t="s">
        <v>629</v>
      </c>
      <c r="H23" s="567" t="s">
        <v>757</v>
      </c>
      <c r="I23" s="567" t="s">
        <v>350</v>
      </c>
      <c r="J23" s="567" t="s">
        <v>726</v>
      </c>
      <c r="K23" s="567" t="s">
        <v>350</v>
      </c>
      <c r="L23" s="80" t="s">
        <v>800</v>
      </c>
      <c r="M23" s="80" t="s">
        <v>801</v>
      </c>
      <c r="N23" s="80" t="s">
        <v>74</v>
      </c>
      <c r="O23" s="80"/>
      <c r="P23" s="81">
        <v>0.5</v>
      </c>
      <c r="Q23" s="253"/>
      <c r="R23" s="253"/>
      <c r="S23" s="253"/>
      <c r="T23" s="253"/>
      <c r="U23" s="253"/>
      <c r="V23" s="288">
        <v>2003557596</v>
      </c>
      <c r="W23" s="656"/>
      <c r="X23" s="393" t="s">
        <v>802</v>
      </c>
      <c r="Y23" s="80">
        <v>0</v>
      </c>
      <c r="Z23" s="81">
        <v>0.5</v>
      </c>
      <c r="AA23" s="80">
        <v>0</v>
      </c>
      <c r="AB23" s="80" t="s">
        <v>803</v>
      </c>
      <c r="AC23" s="253"/>
      <c r="AD23" s="253"/>
      <c r="AE23" s="253"/>
      <c r="AF23" s="253"/>
      <c r="AG23" s="80">
        <v>0</v>
      </c>
      <c r="AH23" s="81">
        <v>1</v>
      </c>
      <c r="AI23" s="80" t="s">
        <v>732</v>
      </c>
      <c r="AJ23" s="80" t="s">
        <v>804</v>
      </c>
      <c r="AK23" s="253"/>
      <c r="AL23" s="253"/>
      <c r="AM23" s="253"/>
      <c r="AN23" s="253"/>
      <c r="AO23" s="80">
        <v>0</v>
      </c>
      <c r="AP23" s="81">
        <v>1</v>
      </c>
      <c r="AQ23" s="80" t="s">
        <v>732</v>
      </c>
      <c r="AR23" s="80" t="s">
        <v>804</v>
      </c>
      <c r="AS23" s="253"/>
      <c r="AT23" s="253"/>
      <c r="AU23" s="253"/>
      <c r="AV23" s="253"/>
      <c r="AW23" s="279"/>
      <c r="AX23" s="279"/>
      <c r="AY23" s="279"/>
      <c r="AZ23" s="279"/>
      <c r="BA23" s="279"/>
      <c r="BB23" s="279"/>
      <c r="BC23" s="279"/>
      <c r="BD23" s="279"/>
      <c r="BE23" s="279"/>
      <c r="BF23" s="279"/>
      <c r="BG23" s="279"/>
      <c r="BH23" s="279"/>
      <c r="BI23" s="279"/>
      <c r="BJ23" s="279"/>
      <c r="BK23" s="279"/>
      <c r="BL23" s="279"/>
      <c r="BM23" s="279"/>
    </row>
    <row r="24" spans="1:65" s="263" customFormat="1" ht="76.5" customHeight="1" x14ac:dyDescent="0.25">
      <c r="A24" s="642"/>
      <c r="B24" s="642"/>
      <c r="C24" s="642"/>
      <c r="D24" s="642"/>
      <c r="E24" s="642"/>
      <c r="F24" s="642"/>
      <c r="G24" s="642"/>
      <c r="H24" s="642"/>
      <c r="I24" s="642"/>
      <c r="J24" s="642"/>
      <c r="K24" s="642"/>
      <c r="L24" s="396" t="s">
        <v>805</v>
      </c>
      <c r="M24" s="396" t="s">
        <v>801</v>
      </c>
      <c r="N24" s="396" t="s">
        <v>74</v>
      </c>
      <c r="O24" s="396"/>
      <c r="P24" s="644">
        <v>1</v>
      </c>
      <c r="Q24" s="67" t="s">
        <v>806</v>
      </c>
      <c r="R24" s="67" t="s">
        <v>807</v>
      </c>
      <c r="S24" s="67" t="s">
        <v>56</v>
      </c>
      <c r="T24" s="67">
        <v>1</v>
      </c>
      <c r="U24" s="67">
        <v>8</v>
      </c>
      <c r="V24" s="648">
        <v>1041446371</v>
      </c>
      <c r="W24" s="656"/>
      <c r="X24" s="394"/>
      <c r="Y24" s="396"/>
      <c r="Z24" s="396">
        <v>1</v>
      </c>
      <c r="AA24" s="396" t="s">
        <v>732</v>
      </c>
      <c r="AB24" s="396" t="s">
        <v>741</v>
      </c>
      <c r="AC24" s="67">
        <v>0</v>
      </c>
      <c r="AD24" s="67">
        <v>0</v>
      </c>
      <c r="AE24" s="67"/>
      <c r="AF24" s="67" t="s">
        <v>808</v>
      </c>
      <c r="AG24" s="644">
        <v>0.1125</v>
      </c>
      <c r="AH24" s="644">
        <v>1</v>
      </c>
      <c r="AI24" s="644">
        <v>0.1125</v>
      </c>
      <c r="AJ24" s="396" t="s">
        <v>809</v>
      </c>
      <c r="AK24" s="67">
        <v>1</v>
      </c>
      <c r="AL24" s="67">
        <v>8</v>
      </c>
      <c r="AM24" s="67">
        <f>+AK24/AL24</f>
        <v>0.125</v>
      </c>
      <c r="AN24" s="67" t="s">
        <v>810</v>
      </c>
      <c r="AO24" s="644">
        <v>0.13120000000000001</v>
      </c>
      <c r="AP24" s="644">
        <v>1</v>
      </c>
      <c r="AQ24" s="644">
        <v>0.13120000000000001</v>
      </c>
      <c r="AR24" s="396" t="s">
        <v>809</v>
      </c>
      <c r="AS24" s="67">
        <v>1</v>
      </c>
      <c r="AT24" s="67">
        <v>8</v>
      </c>
      <c r="AU24" s="67">
        <f>+AS24/AT24</f>
        <v>0.125</v>
      </c>
      <c r="AV24" s="67" t="s">
        <v>810</v>
      </c>
      <c r="AW24" s="279"/>
      <c r="AX24" s="279"/>
      <c r="AY24" s="279"/>
      <c r="AZ24" s="279"/>
      <c r="BA24" s="279"/>
      <c r="BB24" s="279"/>
      <c r="BC24" s="279"/>
      <c r="BD24" s="279"/>
      <c r="BE24" s="279"/>
      <c r="BF24" s="279"/>
      <c r="BG24" s="279"/>
      <c r="BH24" s="279"/>
      <c r="BI24" s="279"/>
      <c r="BJ24" s="279"/>
      <c r="BK24" s="279"/>
      <c r="BL24" s="279"/>
      <c r="BM24" s="279"/>
    </row>
    <row r="25" spans="1:65" s="263" customFormat="1" ht="76.5" customHeight="1" x14ac:dyDescent="0.25">
      <c r="A25" s="642"/>
      <c r="B25" s="642"/>
      <c r="C25" s="642"/>
      <c r="D25" s="642"/>
      <c r="E25" s="642"/>
      <c r="F25" s="642"/>
      <c r="G25" s="642"/>
      <c r="H25" s="642"/>
      <c r="I25" s="642"/>
      <c r="J25" s="642"/>
      <c r="K25" s="642"/>
      <c r="L25" s="397"/>
      <c r="M25" s="397"/>
      <c r="N25" s="397"/>
      <c r="O25" s="397"/>
      <c r="P25" s="645"/>
      <c r="Q25" s="80" t="s">
        <v>811</v>
      </c>
      <c r="R25" s="80" t="s">
        <v>812</v>
      </c>
      <c r="S25" s="80" t="s">
        <v>56</v>
      </c>
      <c r="T25" s="80"/>
      <c r="U25" s="80">
        <v>350</v>
      </c>
      <c r="V25" s="649"/>
      <c r="W25" s="656"/>
      <c r="X25" s="394"/>
      <c r="Y25" s="397"/>
      <c r="Z25" s="397"/>
      <c r="AA25" s="397"/>
      <c r="AB25" s="397"/>
      <c r="AC25" s="80">
        <v>0</v>
      </c>
      <c r="AD25" s="80">
        <v>0</v>
      </c>
      <c r="AE25" s="80"/>
      <c r="AF25" s="80" t="s">
        <v>813</v>
      </c>
      <c r="AG25" s="645"/>
      <c r="AH25" s="645"/>
      <c r="AI25" s="645"/>
      <c r="AJ25" s="397"/>
      <c r="AK25" s="80">
        <v>0</v>
      </c>
      <c r="AL25" s="80">
        <v>350</v>
      </c>
      <c r="AM25" s="80" t="s">
        <v>732</v>
      </c>
      <c r="AN25" s="80" t="s">
        <v>814</v>
      </c>
      <c r="AO25" s="645"/>
      <c r="AP25" s="645"/>
      <c r="AQ25" s="645"/>
      <c r="AR25" s="397"/>
      <c r="AS25" s="80">
        <v>0</v>
      </c>
      <c r="AT25" s="80">
        <v>350</v>
      </c>
      <c r="AU25" s="80" t="s">
        <v>732</v>
      </c>
      <c r="AV25" s="80" t="s">
        <v>815</v>
      </c>
      <c r="AW25" s="279"/>
      <c r="AX25" s="279"/>
      <c r="AY25" s="279"/>
      <c r="AZ25" s="279"/>
      <c r="BA25" s="279"/>
      <c r="BB25" s="279"/>
      <c r="BC25" s="279"/>
      <c r="BD25" s="279"/>
      <c r="BE25" s="279"/>
      <c r="BF25" s="279"/>
      <c r="BG25" s="279"/>
      <c r="BH25" s="279"/>
      <c r="BI25" s="279"/>
      <c r="BJ25" s="279"/>
      <c r="BK25" s="279"/>
      <c r="BL25" s="279"/>
      <c r="BM25" s="279"/>
    </row>
    <row r="26" spans="1:65" s="263" customFormat="1" ht="76.5" customHeight="1" x14ac:dyDescent="0.25">
      <c r="A26" s="642"/>
      <c r="B26" s="642"/>
      <c r="C26" s="642" t="s">
        <v>45</v>
      </c>
      <c r="D26" s="642"/>
      <c r="E26" s="642"/>
      <c r="F26" s="642"/>
      <c r="G26" s="642"/>
      <c r="H26" s="642"/>
      <c r="I26" s="642"/>
      <c r="J26" s="642"/>
      <c r="K26" s="642"/>
      <c r="L26" s="397"/>
      <c r="M26" s="397"/>
      <c r="N26" s="397"/>
      <c r="O26" s="397"/>
      <c r="P26" s="645"/>
      <c r="Q26" s="67" t="s">
        <v>816</v>
      </c>
      <c r="R26" s="67" t="s">
        <v>817</v>
      </c>
      <c r="S26" s="67" t="s">
        <v>56</v>
      </c>
      <c r="T26" s="67"/>
      <c r="U26" s="67">
        <v>5</v>
      </c>
      <c r="V26" s="649"/>
      <c r="W26" s="656"/>
      <c r="X26" s="394"/>
      <c r="Y26" s="397"/>
      <c r="Z26" s="397"/>
      <c r="AA26" s="397"/>
      <c r="AB26" s="397"/>
      <c r="AC26" s="67">
        <v>0</v>
      </c>
      <c r="AD26" s="67">
        <v>0</v>
      </c>
      <c r="AE26" s="67"/>
      <c r="AF26" s="67" t="s">
        <v>818</v>
      </c>
      <c r="AG26" s="645"/>
      <c r="AH26" s="645"/>
      <c r="AI26" s="645"/>
      <c r="AJ26" s="397"/>
      <c r="AK26" s="67">
        <v>1</v>
      </c>
      <c r="AL26" s="67">
        <v>5</v>
      </c>
      <c r="AM26" s="67">
        <v>0.2</v>
      </c>
      <c r="AN26" s="67" t="s">
        <v>819</v>
      </c>
      <c r="AO26" s="645"/>
      <c r="AP26" s="645"/>
      <c r="AQ26" s="645"/>
      <c r="AR26" s="397"/>
      <c r="AS26" s="67">
        <v>1</v>
      </c>
      <c r="AT26" s="67">
        <v>5</v>
      </c>
      <c r="AU26" s="67">
        <f t="shared" ref="AU26:AU27" si="0">+AS26/AT26</f>
        <v>0.2</v>
      </c>
      <c r="AV26" s="67" t="s">
        <v>820</v>
      </c>
      <c r="AW26" s="279"/>
      <c r="AX26" s="279"/>
      <c r="AY26" s="279"/>
      <c r="AZ26" s="279"/>
      <c r="BA26" s="279"/>
      <c r="BB26" s="279"/>
      <c r="BC26" s="279"/>
      <c r="BD26" s="279"/>
      <c r="BE26" s="279"/>
      <c r="BF26" s="279"/>
      <c r="BG26" s="279"/>
      <c r="BH26" s="279"/>
      <c r="BI26" s="279"/>
      <c r="BJ26" s="279"/>
      <c r="BK26" s="279"/>
      <c r="BL26" s="279"/>
      <c r="BM26" s="279"/>
    </row>
    <row r="27" spans="1:65" s="263" customFormat="1" ht="84" x14ac:dyDescent="0.25">
      <c r="A27" s="642"/>
      <c r="B27" s="642"/>
      <c r="C27" s="642"/>
      <c r="D27" s="642"/>
      <c r="E27" s="642"/>
      <c r="F27" s="642"/>
      <c r="G27" s="642"/>
      <c r="H27" s="642"/>
      <c r="I27" s="642"/>
      <c r="J27" s="642"/>
      <c r="K27" s="642"/>
      <c r="L27" s="398"/>
      <c r="M27" s="398"/>
      <c r="N27" s="398"/>
      <c r="O27" s="398"/>
      <c r="P27" s="646"/>
      <c r="Q27" s="80" t="s">
        <v>821</v>
      </c>
      <c r="R27" s="80" t="s">
        <v>822</v>
      </c>
      <c r="S27" s="80" t="s">
        <v>56</v>
      </c>
      <c r="T27" s="80"/>
      <c r="U27" s="80">
        <v>5</v>
      </c>
      <c r="V27" s="650"/>
      <c r="W27" s="656"/>
      <c r="X27" s="395"/>
      <c r="Y27" s="398"/>
      <c r="Z27" s="398"/>
      <c r="AA27" s="398"/>
      <c r="AB27" s="398"/>
      <c r="AC27" s="80">
        <v>1</v>
      </c>
      <c r="AD27" s="80">
        <v>0</v>
      </c>
      <c r="AE27" s="80"/>
      <c r="AF27" s="80" t="s">
        <v>823</v>
      </c>
      <c r="AG27" s="646"/>
      <c r="AH27" s="646"/>
      <c r="AI27" s="646"/>
      <c r="AJ27" s="398"/>
      <c r="AK27" s="80">
        <v>0</v>
      </c>
      <c r="AL27" s="80">
        <v>5</v>
      </c>
      <c r="AM27" s="80" t="s">
        <v>732</v>
      </c>
      <c r="AN27" s="80" t="s">
        <v>824</v>
      </c>
      <c r="AO27" s="647"/>
      <c r="AP27" s="647"/>
      <c r="AQ27" s="647"/>
      <c r="AR27" s="398"/>
      <c r="AS27" s="80">
        <v>1</v>
      </c>
      <c r="AT27" s="80">
        <v>5</v>
      </c>
      <c r="AU27" s="80">
        <f t="shared" si="0"/>
        <v>0.2</v>
      </c>
      <c r="AV27" s="80" t="s">
        <v>825</v>
      </c>
      <c r="AW27" s="279"/>
      <c r="AX27" s="279"/>
      <c r="AY27" s="279"/>
      <c r="AZ27" s="279"/>
      <c r="BA27" s="279"/>
      <c r="BB27" s="279"/>
      <c r="BC27" s="279"/>
      <c r="BD27" s="279"/>
      <c r="BE27" s="279"/>
      <c r="BF27" s="279"/>
      <c r="BG27" s="279"/>
      <c r="BH27" s="279"/>
      <c r="BI27" s="279"/>
      <c r="BJ27" s="279"/>
      <c r="BK27" s="279"/>
      <c r="BL27" s="279"/>
      <c r="BM27" s="279"/>
    </row>
    <row r="28" spans="1:65" s="279" customFormat="1" ht="72" customHeight="1" x14ac:dyDescent="0.25">
      <c r="A28" s="292"/>
      <c r="B28" s="292"/>
      <c r="C28" s="292"/>
      <c r="G28" s="292"/>
      <c r="J28" s="292"/>
      <c r="L28" s="293"/>
      <c r="V28" s="295"/>
      <c r="W28" s="656"/>
      <c r="X28" s="281"/>
      <c r="Y28" s="388" t="s">
        <v>99</v>
      </c>
      <c r="Z28" s="388"/>
      <c r="AA28" s="58"/>
      <c r="AB28" s="281"/>
      <c r="AC28" s="388" t="s">
        <v>866</v>
      </c>
      <c r="AD28" s="388"/>
      <c r="AE28" s="58"/>
      <c r="AF28" s="281"/>
      <c r="AG28" s="388" t="s">
        <v>865</v>
      </c>
      <c r="AH28" s="388"/>
      <c r="AI28" s="58">
        <f>+AVERAGE(AI23:AI27)</f>
        <v>0.1125</v>
      </c>
      <c r="AJ28" s="281"/>
      <c r="AK28" s="388" t="s">
        <v>866</v>
      </c>
      <c r="AL28" s="388"/>
      <c r="AM28" s="58">
        <f>+AVERAGE(AM24:AM26,AM22)</f>
        <v>0.13789863217633205</v>
      </c>
      <c r="AN28" s="281"/>
      <c r="AO28" s="388" t="s">
        <v>865</v>
      </c>
      <c r="AP28" s="388"/>
      <c r="AQ28" s="58">
        <f>+AVERAGE(AQ23:AQ27)</f>
        <v>0.13120000000000001</v>
      </c>
      <c r="AR28" s="281"/>
      <c r="AS28" s="388" t="s">
        <v>866</v>
      </c>
      <c r="AT28" s="388"/>
      <c r="AU28" s="58">
        <f>+AVERAGE(AU24:AU27,AU22)</f>
        <v>0.17745559816118972</v>
      </c>
      <c r="AV28" s="281"/>
    </row>
    <row r="29" spans="1:65" s="263" customFormat="1" ht="76.5" customHeight="1" x14ac:dyDescent="0.25">
      <c r="A29" s="396" t="s">
        <v>43</v>
      </c>
      <c r="B29" s="396" t="s">
        <v>44</v>
      </c>
      <c r="C29" s="396" t="s">
        <v>45</v>
      </c>
      <c r="D29" s="396" t="s">
        <v>349</v>
      </c>
      <c r="E29" s="396" t="s">
        <v>47</v>
      </c>
      <c r="F29" s="396" t="s">
        <v>326</v>
      </c>
      <c r="G29" s="396" t="s">
        <v>629</v>
      </c>
      <c r="H29" s="396" t="s">
        <v>757</v>
      </c>
      <c r="I29" s="396" t="s">
        <v>826</v>
      </c>
      <c r="J29" s="396" t="s">
        <v>726</v>
      </c>
      <c r="K29" s="396" t="s">
        <v>827</v>
      </c>
      <c r="L29" s="67" t="s">
        <v>828</v>
      </c>
      <c r="M29" s="67" t="s">
        <v>829</v>
      </c>
      <c r="N29" s="67" t="s">
        <v>74</v>
      </c>
      <c r="O29" s="67"/>
      <c r="P29" s="68">
        <v>0.2</v>
      </c>
      <c r="Q29" s="253"/>
      <c r="R29" s="253"/>
      <c r="S29" s="253"/>
      <c r="T29" s="253"/>
      <c r="U29" s="253"/>
      <c r="V29" s="287">
        <v>121400399</v>
      </c>
      <c r="W29" s="656"/>
      <c r="X29" s="396" t="s">
        <v>802</v>
      </c>
      <c r="Y29" s="68">
        <v>0.14000000000000001</v>
      </c>
      <c r="Z29" s="68">
        <v>0.2</v>
      </c>
      <c r="AA29" s="68">
        <f>+Y29/Z29</f>
        <v>0.70000000000000007</v>
      </c>
      <c r="AB29" s="68" t="s">
        <v>830</v>
      </c>
      <c r="AC29" s="253"/>
      <c r="AD29" s="253"/>
      <c r="AE29" s="253"/>
      <c r="AF29" s="253"/>
      <c r="AG29" s="68">
        <v>0.35</v>
      </c>
      <c r="AH29" s="68">
        <v>0.2</v>
      </c>
      <c r="AI29" s="68">
        <v>1.23</v>
      </c>
      <c r="AJ29" s="68" t="s">
        <v>831</v>
      </c>
      <c r="AK29" s="253"/>
      <c r="AL29" s="253"/>
      <c r="AM29" s="253"/>
      <c r="AN29" s="253"/>
      <c r="AO29" s="68">
        <v>0.6</v>
      </c>
      <c r="AP29" s="68">
        <v>0.2</v>
      </c>
      <c r="AQ29" s="68">
        <v>1.82</v>
      </c>
      <c r="AR29" s="68" t="s">
        <v>832</v>
      </c>
      <c r="AS29" s="253"/>
      <c r="AT29" s="253"/>
      <c r="AU29" s="253"/>
      <c r="AV29" s="253"/>
      <c r="AW29" s="279"/>
      <c r="AX29" s="279"/>
      <c r="AY29" s="279"/>
      <c r="AZ29" s="279"/>
      <c r="BA29" s="279"/>
      <c r="BB29" s="279"/>
      <c r="BC29" s="279"/>
      <c r="BD29" s="279"/>
      <c r="BE29" s="279"/>
      <c r="BF29" s="279"/>
      <c r="BG29" s="279"/>
      <c r="BH29" s="279"/>
      <c r="BI29" s="279"/>
      <c r="BJ29" s="279"/>
      <c r="BK29" s="279"/>
      <c r="BL29" s="279"/>
      <c r="BM29" s="279"/>
    </row>
    <row r="30" spans="1:65" s="263" customFormat="1" ht="76.5" customHeight="1" x14ac:dyDescent="0.25">
      <c r="A30" s="397"/>
      <c r="B30" s="397"/>
      <c r="C30" s="397"/>
      <c r="D30" s="397"/>
      <c r="E30" s="397"/>
      <c r="F30" s="397"/>
      <c r="G30" s="397"/>
      <c r="H30" s="397"/>
      <c r="I30" s="397"/>
      <c r="J30" s="397"/>
      <c r="K30" s="397"/>
      <c r="L30" s="80" t="s">
        <v>833</v>
      </c>
      <c r="M30" s="80" t="s">
        <v>834</v>
      </c>
      <c r="N30" s="80" t="s">
        <v>74</v>
      </c>
      <c r="O30" s="80"/>
      <c r="P30" s="81">
        <v>0.8</v>
      </c>
      <c r="Q30" s="253"/>
      <c r="R30" s="253"/>
      <c r="S30" s="253"/>
      <c r="T30" s="253"/>
      <c r="U30" s="253"/>
      <c r="V30" s="288">
        <v>748823868</v>
      </c>
      <c r="W30" s="656"/>
      <c r="X30" s="397"/>
      <c r="Y30" s="81">
        <f>84/92</f>
        <v>0.91304347826086951</v>
      </c>
      <c r="Z30" s="81">
        <v>0.8</v>
      </c>
      <c r="AA30" s="81">
        <f>+Y30/Z30</f>
        <v>1.1413043478260869</v>
      </c>
      <c r="AB30" s="81" t="s">
        <v>835</v>
      </c>
      <c r="AC30" s="253"/>
      <c r="AD30" s="253"/>
      <c r="AE30" s="253"/>
      <c r="AF30" s="253"/>
      <c r="AG30" s="81">
        <f>54.7/58</f>
        <v>0.94310344827586212</v>
      </c>
      <c r="AH30" s="81">
        <v>0.8</v>
      </c>
      <c r="AI30" s="81">
        <v>1.1599999999999999</v>
      </c>
      <c r="AJ30" s="81" t="s">
        <v>836</v>
      </c>
      <c r="AK30" s="253"/>
      <c r="AL30" s="253"/>
      <c r="AM30" s="253"/>
      <c r="AN30" s="253"/>
      <c r="AO30" s="81">
        <v>0.87</v>
      </c>
      <c r="AP30" s="81">
        <v>0.8</v>
      </c>
      <c r="AQ30" s="81">
        <v>1.1399999999999999</v>
      </c>
      <c r="AR30" s="81" t="s">
        <v>837</v>
      </c>
      <c r="AS30" s="253"/>
      <c r="AT30" s="253"/>
      <c r="AU30" s="253"/>
      <c r="AV30" s="253"/>
      <c r="AW30" s="279"/>
      <c r="AX30" s="279"/>
      <c r="AY30" s="279"/>
      <c r="AZ30" s="279"/>
      <c r="BA30" s="279"/>
      <c r="BB30" s="279"/>
      <c r="BC30" s="279"/>
      <c r="BD30" s="279"/>
      <c r="BE30" s="279"/>
      <c r="BF30" s="279"/>
      <c r="BG30" s="279"/>
      <c r="BH30" s="279"/>
      <c r="BI30" s="279"/>
      <c r="BJ30" s="279"/>
      <c r="BK30" s="279"/>
      <c r="BL30" s="279"/>
      <c r="BM30" s="279"/>
    </row>
    <row r="31" spans="1:65" s="263" customFormat="1" ht="76.5" customHeight="1" x14ac:dyDescent="0.25">
      <c r="A31" s="398"/>
      <c r="B31" s="398"/>
      <c r="C31" s="398"/>
      <c r="D31" s="398"/>
      <c r="E31" s="398"/>
      <c r="F31" s="398"/>
      <c r="G31" s="398"/>
      <c r="H31" s="398"/>
      <c r="I31" s="398"/>
      <c r="J31" s="398"/>
      <c r="K31" s="398"/>
      <c r="L31" s="67" t="s">
        <v>838</v>
      </c>
      <c r="M31" s="67" t="s">
        <v>839</v>
      </c>
      <c r="N31" s="67" t="s">
        <v>74</v>
      </c>
      <c r="O31" s="67"/>
      <c r="P31" s="68">
        <v>0.9</v>
      </c>
      <c r="Q31" s="253"/>
      <c r="R31" s="253"/>
      <c r="S31" s="253"/>
      <c r="T31" s="253"/>
      <c r="U31" s="253"/>
      <c r="V31" s="287">
        <v>1303883335</v>
      </c>
      <c r="W31" s="656"/>
      <c r="X31" s="398"/>
      <c r="Y31" s="68"/>
      <c r="Z31" s="68"/>
      <c r="AA31" s="68"/>
      <c r="AB31" s="68"/>
      <c r="AC31" s="253"/>
      <c r="AD31" s="253"/>
      <c r="AE31" s="253"/>
      <c r="AF31" s="253"/>
      <c r="AG31" s="68">
        <v>0.5</v>
      </c>
      <c r="AH31" s="68">
        <v>1</v>
      </c>
      <c r="AI31" s="68">
        <v>0.5</v>
      </c>
      <c r="AJ31" s="68" t="s">
        <v>840</v>
      </c>
      <c r="AK31" s="253"/>
      <c r="AL31" s="253"/>
      <c r="AM31" s="253"/>
      <c r="AN31" s="253"/>
      <c r="AO31" s="68">
        <v>0.625</v>
      </c>
      <c r="AP31" s="68">
        <v>1</v>
      </c>
      <c r="AQ31" s="68">
        <v>0.625</v>
      </c>
      <c r="AR31" s="68" t="s">
        <v>841</v>
      </c>
      <c r="AS31" s="253"/>
      <c r="AT31" s="253"/>
      <c r="AU31" s="253"/>
      <c r="AV31" s="253"/>
      <c r="AW31" s="279"/>
      <c r="AX31" s="279"/>
      <c r="AY31" s="279"/>
      <c r="AZ31" s="279"/>
      <c r="BA31" s="279"/>
      <c r="BB31" s="279"/>
      <c r="BC31" s="279"/>
      <c r="BD31" s="279"/>
      <c r="BE31" s="279"/>
      <c r="BF31" s="279"/>
      <c r="BG31" s="279"/>
      <c r="BH31" s="279"/>
      <c r="BI31" s="279"/>
      <c r="BJ31" s="279"/>
      <c r="BK31" s="279"/>
      <c r="BL31" s="279"/>
      <c r="BM31" s="279"/>
    </row>
    <row r="32" spans="1:65" s="279" customFormat="1" ht="76.5" customHeight="1" x14ac:dyDescent="0.25">
      <c r="A32" s="292"/>
      <c r="B32" s="292"/>
      <c r="C32" s="292"/>
      <c r="G32" s="292"/>
      <c r="J32" s="292"/>
      <c r="L32" s="293"/>
      <c r="P32" s="298"/>
      <c r="V32" s="295"/>
      <c r="W32" s="656"/>
      <c r="X32" s="281"/>
      <c r="Y32" s="388" t="s">
        <v>99</v>
      </c>
      <c r="Z32" s="388"/>
      <c r="AA32" s="58">
        <f>+AVERAGE(AA29:AA31)</f>
        <v>0.92065217391304355</v>
      </c>
      <c r="AB32" s="281"/>
      <c r="AC32" s="643"/>
      <c r="AD32" s="643"/>
      <c r="AE32" s="297"/>
      <c r="AF32" s="281"/>
      <c r="AG32" s="388" t="s">
        <v>865</v>
      </c>
      <c r="AH32" s="388"/>
      <c r="AI32" s="58">
        <f>+AVERAGE(AI29:AI31)</f>
        <v>0.96333333333333326</v>
      </c>
      <c r="AJ32" s="281"/>
      <c r="AK32" s="643"/>
      <c r="AL32" s="643"/>
      <c r="AM32" s="297"/>
      <c r="AN32" s="281"/>
      <c r="AO32" s="388" t="s">
        <v>865</v>
      </c>
      <c r="AP32" s="388"/>
      <c r="AQ32" s="58">
        <f>+AVERAGE(AQ29:AQ31)</f>
        <v>1.1950000000000001</v>
      </c>
      <c r="AR32" s="281"/>
      <c r="AS32" s="643"/>
      <c r="AT32" s="643"/>
      <c r="AU32" s="297"/>
      <c r="AV32" s="281"/>
    </row>
    <row r="33" spans="1:65" s="263" customFormat="1" ht="136.5" customHeight="1" x14ac:dyDescent="0.25">
      <c r="A33" s="567" t="s">
        <v>43</v>
      </c>
      <c r="B33" s="567" t="s">
        <v>44</v>
      </c>
      <c r="C33" s="567" t="s">
        <v>45</v>
      </c>
      <c r="D33" s="567" t="s">
        <v>349</v>
      </c>
      <c r="E33" s="567" t="s">
        <v>422</v>
      </c>
      <c r="F33" s="567" t="s">
        <v>422</v>
      </c>
      <c r="G33" s="567" t="s">
        <v>629</v>
      </c>
      <c r="H33" s="567" t="s">
        <v>757</v>
      </c>
      <c r="I33" s="567" t="s">
        <v>842</v>
      </c>
      <c r="J33" s="567" t="s">
        <v>726</v>
      </c>
      <c r="K33" s="567" t="s">
        <v>843</v>
      </c>
      <c r="L33" s="67" t="s">
        <v>844</v>
      </c>
      <c r="M33" s="67" t="s">
        <v>845</v>
      </c>
      <c r="N33" s="67" t="s">
        <v>74</v>
      </c>
      <c r="O33" s="67"/>
      <c r="P33" s="68">
        <v>0.9</v>
      </c>
      <c r="Q33" s="68" t="s">
        <v>846</v>
      </c>
      <c r="R33" s="68" t="s">
        <v>847</v>
      </c>
      <c r="S33" s="68" t="s">
        <v>74</v>
      </c>
      <c r="T33" s="68"/>
      <c r="U33" s="68">
        <v>0.5</v>
      </c>
      <c r="V33" s="287">
        <v>158897394</v>
      </c>
      <c r="W33" s="656"/>
      <c r="X33" s="567" t="s">
        <v>848</v>
      </c>
      <c r="Y33" s="68">
        <v>0</v>
      </c>
      <c r="Z33" s="68">
        <v>0.9</v>
      </c>
      <c r="AA33" s="68" t="s">
        <v>732</v>
      </c>
      <c r="AB33" s="67" t="s">
        <v>849</v>
      </c>
      <c r="AC33" s="68">
        <v>0</v>
      </c>
      <c r="AD33" s="68">
        <v>0.5</v>
      </c>
      <c r="AE33" s="68" t="s">
        <v>732</v>
      </c>
      <c r="AF33" s="67" t="s">
        <v>850</v>
      </c>
      <c r="AG33" s="68">
        <v>0.97919999999999996</v>
      </c>
      <c r="AH33" s="68">
        <v>0.9</v>
      </c>
      <c r="AI33" s="68">
        <f>(AG33/AH33)*16.66666%</f>
        <v>0.18133326079999998</v>
      </c>
      <c r="AJ33" s="67" t="s">
        <v>851</v>
      </c>
      <c r="AK33" s="68">
        <v>0</v>
      </c>
      <c r="AL33" s="68">
        <v>0.5</v>
      </c>
      <c r="AM33" s="68" t="s">
        <v>732</v>
      </c>
      <c r="AN33" s="68" t="s">
        <v>850</v>
      </c>
      <c r="AO33" s="68">
        <v>0.84</v>
      </c>
      <c r="AP33" s="68">
        <v>0.9</v>
      </c>
      <c r="AQ33" s="68">
        <f>91.42%*25%</f>
        <v>0.22855</v>
      </c>
      <c r="AR33" s="67" t="s">
        <v>852</v>
      </c>
      <c r="AS33" s="68">
        <v>0</v>
      </c>
      <c r="AT33" s="68">
        <v>0.5</v>
      </c>
      <c r="AU33" s="68" t="s">
        <v>732</v>
      </c>
      <c r="AV33" s="68" t="s">
        <v>850</v>
      </c>
      <c r="AW33" s="279"/>
      <c r="AX33" s="279"/>
      <c r="AY33" s="279"/>
      <c r="AZ33" s="279"/>
      <c r="BA33" s="279"/>
      <c r="BB33" s="279"/>
      <c r="BC33" s="279"/>
      <c r="BD33" s="279"/>
      <c r="BE33" s="279"/>
      <c r="BF33" s="279"/>
      <c r="BG33" s="279"/>
      <c r="BH33" s="279"/>
      <c r="BI33" s="279"/>
      <c r="BJ33" s="279"/>
      <c r="BK33" s="279"/>
      <c r="BL33" s="279"/>
      <c r="BM33" s="279"/>
    </row>
    <row r="34" spans="1:65" s="263" customFormat="1" ht="131.25" customHeight="1" x14ac:dyDescent="0.25">
      <c r="A34" s="642"/>
      <c r="B34" s="642"/>
      <c r="C34" s="642"/>
      <c r="D34" s="642"/>
      <c r="E34" s="642"/>
      <c r="F34" s="642"/>
      <c r="G34" s="642"/>
      <c r="H34" s="642"/>
      <c r="I34" s="642"/>
      <c r="J34" s="642"/>
      <c r="K34" s="642"/>
      <c r="L34" s="80" t="s">
        <v>853</v>
      </c>
      <c r="M34" s="80" t="s">
        <v>845</v>
      </c>
      <c r="N34" s="80" t="s">
        <v>74</v>
      </c>
      <c r="O34" s="80"/>
      <c r="P34" s="81">
        <v>0.9</v>
      </c>
      <c r="Q34" s="253"/>
      <c r="R34" s="253"/>
      <c r="S34" s="253"/>
      <c r="T34" s="253"/>
      <c r="U34" s="253"/>
      <c r="V34" s="288">
        <v>326753660</v>
      </c>
      <c r="W34" s="656"/>
      <c r="X34" s="642"/>
      <c r="Y34" s="81">
        <v>0.94989400000000002</v>
      </c>
      <c r="Z34" s="81">
        <v>0.9</v>
      </c>
      <c r="AA34" s="81">
        <f>+(Y34/Z34)*8.33333%</f>
        <v>8.7953112966888874E-2</v>
      </c>
      <c r="AB34" s="80" t="s">
        <v>854</v>
      </c>
      <c r="AC34" s="268"/>
      <c r="AD34" s="253"/>
      <c r="AE34" s="253"/>
      <c r="AF34" s="253"/>
      <c r="AG34" s="81">
        <v>0.96445000000000003</v>
      </c>
      <c r="AH34" s="81">
        <v>0.9</v>
      </c>
      <c r="AI34" s="81">
        <f>(AG34/AH34)*16.6666%</f>
        <v>0.17860113744444442</v>
      </c>
      <c r="AJ34" s="80" t="s">
        <v>855</v>
      </c>
      <c r="AK34" s="268"/>
      <c r="AL34" s="253"/>
      <c r="AM34" s="253"/>
      <c r="AN34" s="253"/>
      <c r="AO34" s="81">
        <v>0.94940000000000002</v>
      </c>
      <c r="AP34" s="81">
        <v>0.9</v>
      </c>
      <c r="AQ34" s="81">
        <f>+(95.45%)*25%</f>
        <v>0.238625</v>
      </c>
      <c r="AR34" s="80" t="s">
        <v>856</v>
      </c>
      <c r="AS34" s="268"/>
      <c r="AT34" s="253"/>
      <c r="AU34" s="253"/>
      <c r="AV34" s="253"/>
      <c r="AW34" s="279"/>
      <c r="AX34" s="279"/>
      <c r="AY34" s="279"/>
      <c r="AZ34" s="279"/>
      <c r="BA34" s="279"/>
      <c r="BB34" s="279"/>
      <c r="BC34" s="279"/>
      <c r="BD34" s="279"/>
      <c r="BE34" s="279"/>
      <c r="BF34" s="279"/>
      <c r="BG34" s="279"/>
      <c r="BH34" s="279"/>
      <c r="BI34" s="279"/>
      <c r="BJ34" s="279"/>
      <c r="BK34" s="279"/>
      <c r="BL34" s="279"/>
      <c r="BM34" s="279"/>
    </row>
    <row r="35" spans="1:65" s="263" customFormat="1" ht="300" customHeight="1" x14ac:dyDescent="0.25">
      <c r="A35" s="568"/>
      <c r="B35" s="568"/>
      <c r="C35" s="568"/>
      <c r="D35" s="568"/>
      <c r="E35" s="568"/>
      <c r="F35" s="568"/>
      <c r="G35" s="568"/>
      <c r="H35" s="568"/>
      <c r="I35" s="568"/>
      <c r="J35" s="568"/>
      <c r="K35" s="568"/>
      <c r="L35" s="67" t="s">
        <v>857</v>
      </c>
      <c r="M35" s="67" t="s">
        <v>858</v>
      </c>
      <c r="N35" s="67" t="s">
        <v>74</v>
      </c>
      <c r="O35" s="67">
        <v>35</v>
      </c>
      <c r="P35" s="68">
        <v>0.3</v>
      </c>
      <c r="Q35" s="68" t="s">
        <v>859</v>
      </c>
      <c r="R35" s="68" t="s">
        <v>860</v>
      </c>
      <c r="S35" s="68" t="s">
        <v>74</v>
      </c>
      <c r="T35" s="68">
        <v>0</v>
      </c>
      <c r="U35" s="68">
        <v>0.9</v>
      </c>
      <c r="V35" s="287">
        <v>190433866</v>
      </c>
      <c r="W35" s="656"/>
      <c r="X35" s="568"/>
      <c r="Y35" s="68">
        <v>0</v>
      </c>
      <c r="Z35" s="68">
        <v>0.9</v>
      </c>
      <c r="AA35" s="68" t="s">
        <v>732</v>
      </c>
      <c r="AB35" s="67" t="s">
        <v>861</v>
      </c>
      <c r="AC35" s="262">
        <v>0</v>
      </c>
      <c r="AD35" s="262">
        <v>0.9</v>
      </c>
      <c r="AE35" s="266" t="s">
        <v>732</v>
      </c>
      <c r="AF35" s="255" t="s">
        <v>861</v>
      </c>
      <c r="AG35" s="68">
        <v>0</v>
      </c>
      <c r="AH35" s="68">
        <v>0.9</v>
      </c>
      <c r="AI35" s="68" t="s">
        <v>732</v>
      </c>
      <c r="AJ35" s="67" t="s">
        <v>862</v>
      </c>
      <c r="AK35" s="269">
        <v>7.69230769230769E-2</v>
      </c>
      <c r="AL35" s="262">
        <v>0.9</v>
      </c>
      <c r="AM35" s="264">
        <f>AK35</f>
        <v>7.69230769230769E-2</v>
      </c>
      <c r="AN35" s="267" t="s">
        <v>863</v>
      </c>
      <c r="AO35" s="68">
        <v>0</v>
      </c>
      <c r="AP35" s="68">
        <v>0.9</v>
      </c>
      <c r="AQ35" s="68" t="s">
        <v>732</v>
      </c>
      <c r="AR35" s="67" t="s">
        <v>862</v>
      </c>
      <c r="AS35" s="269">
        <v>0.123076923076923</v>
      </c>
      <c r="AT35" s="262">
        <v>0.9</v>
      </c>
      <c r="AU35" s="264">
        <f>SUM(AS35+AM35)</f>
        <v>0.1999999999999999</v>
      </c>
      <c r="AV35" s="267" t="s">
        <v>864</v>
      </c>
      <c r="AW35" s="279"/>
      <c r="AX35" s="279"/>
      <c r="AY35" s="279"/>
      <c r="AZ35" s="279"/>
      <c r="BA35" s="279"/>
      <c r="BB35" s="279"/>
      <c r="BC35" s="279"/>
      <c r="BD35" s="279"/>
      <c r="BE35" s="279"/>
      <c r="BF35" s="279"/>
      <c r="BG35" s="279"/>
      <c r="BH35" s="279"/>
      <c r="BI35" s="279"/>
      <c r="BJ35" s="279"/>
      <c r="BK35" s="279"/>
      <c r="BL35" s="279"/>
      <c r="BM35" s="279"/>
    </row>
    <row r="36" spans="1:65" s="281" customFormat="1" ht="72.75" customHeight="1" x14ac:dyDescent="0.25">
      <c r="V36" s="282"/>
      <c r="W36" s="282"/>
      <c r="Y36" s="388" t="s">
        <v>99</v>
      </c>
      <c r="Z36" s="388"/>
      <c r="AA36" s="58">
        <f>+AVERAGE(AA33:AA35)</f>
        <v>8.7953112966888874E-2</v>
      </c>
      <c r="AC36" s="388" t="s">
        <v>866</v>
      </c>
      <c r="AD36" s="388"/>
      <c r="AE36" s="58"/>
      <c r="AG36" s="388" t="s">
        <v>865</v>
      </c>
      <c r="AH36" s="388"/>
      <c r="AI36" s="58">
        <f>+AVERAGE(AI33:AI35)</f>
        <v>0.1799671991222222</v>
      </c>
      <c r="AK36" s="388" t="s">
        <v>866</v>
      </c>
      <c r="AL36" s="388"/>
      <c r="AM36" s="58">
        <f>+AVERAGE(AM33:AM35,AM31)</f>
        <v>7.69230769230769E-2</v>
      </c>
      <c r="AO36" s="388" t="s">
        <v>865</v>
      </c>
      <c r="AP36" s="388"/>
      <c r="AQ36" s="58">
        <f>+AVERAGE(AQ33:AQ35)</f>
        <v>0.2335875</v>
      </c>
      <c r="AS36" s="388" t="s">
        <v>866</v>
      </c>
      <c r="AT36" s="388"/>
      <c r="AU36" s="58">
        <f>+AVERAGE(AU33:AU35)</f>
        <v>0.1999999999999999</v>
      </c>
    </row>
    <row r="37" spans="1:65" s="285" customFormat="1" x14ac:dyDescent="0.25">
      <c r="V37" s="286"/>
      <c r="W37" s="286"/>
    </row>
    <row r="38" spans="1:65" s="281" customFormat="1" ht="78" customHeight="1" x14ac:dyDescent="0.25">
      <c r="V38" s="282"/>
      <c r="W38" s="282"/>
      <c r="Y38" s="388" t="s">
        <v>868</v>
      </c>
      <c r="Z38" s="388"/>
      <c r="AA38" s="58">
        <f>+AVERAGE(AA13,AA17,AA22,AA28,AA32,AA36)</f>
        <v>0.29632441953357519</v>
      </c>
      <c r="AC38" s="388" t="s">
        <v>869</v>
      </c>
      <c r="AD38" s="388"/>
      <c r="AE38" s="58">
        <f>+AVERAGE(AE13,AE17,AE22,AE28,AE32,AE36)</f>
        <v>0.19347766663401592</v>
      </c>
      <c r="AG38" s="388" t="s">
        <v>868</v>
      </c>
      <c r="AH38" s="388"/>
      <c r="AI38" s="58">
        <f>+AVERAGE(AI13,AI17,AI22,AI28,AI32,AI36)</f>
        <v>0.31135830949307403</v>
      </c>
      <c r="AK38" s="388" t="s">
        <v>869</v>
      </c>
      <c r="AL38" s="388"/>
      <c r="AM38" s="58">
        <f>+AVERAGE(AM13,AM17,AM22,AM28,AM32,AM36)</f>
        <v>0.20332523474043457</v>
      </c>
      <c r="AO38" s="388" t="s">
        <v>870</v>
      </c>
      <c r="AP38" s="388"/>
      <c r="AQ38" s="58">
        <f>+AVERAGE(AQ17,AQ22,AQ28,AQ32,AQ36)</f>
        <v>0.46027721909565394</v>
      </c>
      <c r="AS38" s="388" t="s">
        <v>869</v>
      </c>
      <c r="AT38" s="388"/>
      <c r="AU38" s="58">
        <f>+AVERAGE(AU10,AU17,AU22,AU28,AU32,AU36)</f>
        <v>0.2729194977014871</v>
      </c>
    </row>
    <row r="39" spans="1:65" s="285" customFormat="1" x14ac:dyDescent="0.25">
      <c r="V39" s="286"/>
      <c r="W39" s="286"/>
    </row>
    <row r="40" spans="1:65" s="285" customFormat="1" x14ac:dyDescent="0.25">
      <c r="V40" s="286"/>
      <c r="W40" s="286"/>
    </row>
    <row r="41" spans="1:65" s="285" customFormat="1" x14ac:dyDescent="0.25">
      <c r="V41" s="286"/>
      <c r="W41" s="286"/>
    </row>
    <row r="42" spans="1:65" s="285" customFormat="1" x14ac:dyDescent="0.25">
      <c r="V42" s="286"/>
      <c r="W42" s="286"/>
    </row>
    <row r="43" spans="1:65" s="285" customFormat="1" x14ac:dyDescent="0.25">
      <c r="V43" s="286"/>
      <c r="W43" s="286"/>
    </row>
    <row r="44" spans="1:65" s="285" customFormat="1" x14ac:dyDescent="0.25">
      <c r="V44" s="286"/>
      <c r="W44" s="286"/>
    </row>
    <row r="45" spans="1:65" s="285" customFormat="1" x14ac:dyDescent="0.25">
      <c r="V45" s="286"/>
      <c r="W45" s="286"/>
    </row>
    <row r="46" spans="1:65" s="285" customFormat="1" x14ac:dyDescent="0.25">
      <c r="V46" s="286"/>
      <c r="W46" s="286"/>
    </row>
    <row r="47" spans="1:65" s="285" customFormat="1" x14ac:dyDescent="0.25">
      <c r="V47" s="286"/>
      <c r="W47" s="286"/>
    </row>
    <row r="48" spans="1:65" s="285" customFormat="1" x14ac:dyDescent="0.25">
      <c r="V48" s="286"/>
      <c r="W48" s="286"/>
    </row>
    <row r="49" spans="22:23" s="285" customFormat="1" x14ac:dyDescent="0.25">
      <c r="V49" s="286"/>
      <c r="W49" s="286"/>
    </row>
    <row r="50" spans="22:23" s="285" customFormat="1" x14ac:dyDescent="0.25">
      <c r="V50" s="286"/>
      <c r="W50" s="286"/>
    </row>
    <row r="51" spans="22:23" s="285" customFormat="1" x14ac:dyDescent="0.25">
      <c r="V51" s="286"/>
      <c r="W51" s="286"/>
    </row>
    <row r="52" spans="22:23" s="285" customFormat="1" x14ac:dyDescent="0.25">
      <c r="V52" s="286"/>
      <c r="W52" s="286"/>
    </row>
    <row r="53" spans="22:23" s="285" customFormat="1" x14ac:dyDescent="0.25">
      <c r="V53" s="286"/>
      <c r="W53" s="286"/>
    </row>
    <row r="54" spans="22:23" s="285" customFormat="1" x14ac:dyDescent="0.25">
      <c r="V54" s="286"/>
      <c r="W54" s="286"/>
    </row>
    <row r="55" spans="22:23" s="285" customFormat="1" x14ac:dyDescent="0.25">
      <c r="V55" s="286"/>
      <c r="W55" s="286"/>
    </row>
    <row r="56" spans="22:23" s="285" customFormat="1" x14ac:dyDescent="0.25">
      <c r="V56" s="286"/>
      <c r="W56" s="286"/>
    </row>
    <row r="57" spans="22:23" s="285" customFormat="1" x14ac:dyDescent="0.25">
      <c r="V57" s="286"/>
      <c r="W57" s="286"/>
    </row>
    <row r="58" spans="22:23" s="285" customFormat="1" x14ac:dyDescent="0.25">
      <c r="V58" s="286"/>
      <c r="W58" s="286"/>
    </row>
    <row r="59" spans="22:23" s="285" customFormat="1" x14ac:dyDescent="0.25">
      <c r="V59" s="286"/>
      <c r="W59" s="286"/>
    </row>
    <row r="60" spans="22:23" s="285" customFormat="1" x14ac:dyDescent="0.25">
      <c r="V60" s="286"/>
      <c r="W60" s="286"/>
    </row>
    <row r="61" spans="22:23" s="285" customFormat="1" x14ac:dyDescent="0.25">
      <c r="V61" s="286"/>
      <c r="W61" s="286"/>
    </row>
    <row r="62" spans="22:23" s="285" customFormat="1" x14ac:dyDescent="0.25">
      <c r="V62" s="286"/>
      <c r="W62" s="286"/>
    </row>
    <row r="63" spans="22:23" s="285" customFormat="1" x14ac:dyDescent="0.25">
      <c r="V63" s="286"/>
      <c r="W63" s="286"/>
    </row>
    <row r="64" spans="22:23" s="285" customFormat="1" x14ac:dyDescent="0.25">
      <c r="V64" s="286"/>
      <c r="W64" s="286"/>
    </row>
    <row r="65" spans="22:23" s="285" customFormat="1" x14ac:dyDescent="0.25">
      <c r="V65" s="286"/>
      <c r="W65" s="286"/>
    </row>
    <row r="66" spans="22:23" s="285" customFormat="1" x14ac:dyDescent="0.25">
      <c r="V66" s="286"/>
      <c r="W66" s="286"/>
    </row>
    <row r="67" spans="22:23" s="285" customFormat="1" x14ac:dyDescent="0.25">
      <c r="V67" s="286"/>
      <c r="W67" s="286"/>
    </row>
    <row r="68" spans="22:23" s="285" customFormat="1" x14ac:dyDescent="0.25">
      <c r="V68" s="286"/>
      <c r="W68" s="286"/>
    </row>
    <row r="69" spans="22:23" s="285" customFormat="1" x14ac:dyDescent="0.25">
      <c r="V69" s="286"/>
      <c r="W69" s="286"/>
    </row>
    <row r="70" spans="22:23" s="285" customFormat="1" x14ac:dyDescent="0.25">
      <c r="V70" s="286"/>
      <c r="W70" s="286"/>
    </row>
    <row r="71" spans="22:23" s="285" customFormat="1" x14ac:dyDescent="0.25">
      <c r="V71" s="286"/>
      <c r="W71" s="286"/>
    </row>
    <row r="72" spans="22:23" s="285" customFormat="1" x14ac:dyDescent="0.25">
      <c r="V72" s="286"/>
      <c r="W72" s="286"/>
    </row>
    <row r="73" spans="22:23" s="285" customFormat="1" x14ac:dyDescent="0.25">
      <c r="V73" s="286"/>
      <c r="W73" s="286"/>
    </row>
    <row r="74" spans="22:23" s="285" customFormat="1" x14ac:dyDescent="0.25">
      <c r="V74" s="286"/>
      <c r="W74" s="286"/>
    </row>
    <row r="75" spans="22:23" s="285" customFormat="1" x14ac:dyDescent="0.25">
      <c r="V75" s="286"/>
      <c r="W75" s="286"/>
    </row>
    <row r="76" spans="22:23" s="285" customFormat="1" x14ac:dyDescent="0.25">
      <c r="V76" s="286"/>
      <c r="W76" s="286"/>
    </row>
    <row r="77" spans="22:23" s="285" customFormat="1" x14ac:dyDescent="0.25">
      <c r="V77" s="286"/>
      <c r="W77" s="286"/>
    </row>
    <row r="78" spans="22:23" s="285" customFormat="1" x14ac:dyDescent="0.25">
      <c r="V78" s="286"/>
      <c r="W78" s="286"/>
    </row>
    <row r="79" spans="22:23" s="285" customFormat="1" x14ac:dyDescent="0.25">
      <c r="V79" s="286"/>
      <c r="W79" s="286"/>
    </row>
    <row r="80" spans="22:23" s="285" customFormat="1" x14ac:dyDescent="0.25">
      <c r="V80" s="286"/>
      <c r="W80" s="286"/>
    </row>
    <row r="81" spans="22:23" s="285" customFormat="1" x14ac:dyDescent="0.25">
      <c r="V81" s="286"/>
      <c r="W81" s="286"/>
    </row>
    <row r="82" spans="22:23" s="285" customFormat="1" x14ac:dyDescent="0.25">
      <c r="V82" s="286"/>
      <c r="W82" s="286"/>
    </row>
    <row r="83" spans="22:23" s="285" customFormat="1" x14ac:dyDescent="0.25">
      <c r="V83" s="286"/>
      <c r="W83" s="286"/>
    </row>
    <row r="84" spans="22:23" s="285" customFormat="1" x14ac:dyDescent="0.25">
      <c r="V84" s="286"/>
      <c r="W84" s="286"/>
    </row>
    <row r="85" spans="22:23" s="285" customFormat="1" x14ac:dyDescent="0.25">
      <c r="V85" s="286"/>
      <c r="W85" s="286"/>
    </row>
    <row r="86" spans="22:23" s="285" customFormat="1" x14ac:dyDescent="0.25">
      <c r="V86" s="286"/>
      <c r="W86" s="286"/>
    </row>
    <row r="87" spans="22:23" s="285" customFormat="1" x14ac:dyDescent="0.25">
      <c r="V87" s="286"/>
      <c r="W87" s="286"/>
    </row>
    <row r="88" spans="22:23" s="285" customFormat="1" x14ac:dyDescent="0.25">
      <c r="V88" s="286"/>
      <c r="W88" s="286"/>
    </row>
    <row r="89" spans="22:23" s="285" customFormat="1" x14ac:dyDescent="0.25">
      <c r="V89" s="286"/>
      <c r="W89" s="286"/>
    </row>
    <row r="90" spans="22:23" s="285" customFormat="1" x14ac:dyDescent="0.25">
      <c r="V90" s="286"/>
      <c r="W90" s="286"/>
    </row>
    <row r="91" spans="22:23" s="285" customFormat="1" x14ac:dyDescent="0.25">
      <c r="V91" s="286"/>
      <c r="W91" s="286"/>
    </row>
    <row r="92" spans="22:23" s="285" customFormat="1" x14ac:dyDescent="0.25">
      <c r="V92" s="286"/>
      <c r="W92" s="286"/>
    </row>
    <row r="93" spans="22:23" s="285" customFormat="1" x14ac:dyDescent="0.25">
      <c r="V93" s="286"/>
      <c r="W93" s="286"/>
    </row>
    <row r="94" spans="22:23" s="285" customFormat="1" x14ac:dyDescent="0.25">
      <c r="V94" s="286"/>
      <c r="W94" s="286"/>
    </row>
    <row r="95" spans="22:23" s="285" customFormat="1" x14ac:dyDescent="0.25">
      <c r="V95" s="286"/>
      <c r="W95" s="286"/>
    </row>
    <row r="96" spans="22:23" s="285" customFormat="1" x14ac:dyDescent="0.25">
      <c r="V96" s="286"/>
      <c r="W96" s="286"/>
    </row>
    <row r="97" spans="22:23" s="285" customFormat="1" x14ac:dyDescent="0.25">
      <c r="V97" s="286"/>
      <c r="W97" s="286"/>
    </row>
    <row r="98" spans="22:23" s="285" customFormat="1" x14ac:dyDescent="0.25">
      <c r="V98" s="286"/>
      <c r="W98" s="286"/>
    </row>
    <row r="99" spans="22:23" s="285" customFormat="1" x14ac:dyDescent="0.25">
      <c r="V99" s="286"/>
      <c r="W99" s="286"/>
    </row>
    <row r="100" spans="22:23" s="285" customFormat="1" x14ac:dyDescent="0.25">
      <c r="V100" s="286"/>
      <c r="W100" s="286"/>
    </row>
    <row r="101" spans="22:23" s="285" customFormat="1" x14ac:dyDescent="0.25">
      <c r="V101" s="286"/>
      <c r="W101" s="286"/>
    </row>
    <row r="102" spans="22:23" s="285" customFormat="1" x14ac:dyDescent="0.25">
      <c r="V102" s="286"/>
      <c r="W102" s="286"/>
    </row>
    <row r="103" spans="22:23" s="285" customFormat="1" x14ac:dyDescent="0.25">
      <c r="V103" s="286"/>
      <c r="W103" s="286"/>
    </row>
    <row r="104" spans="22:23" s="285" customFormat="1" x14ac:dyDescent="0.25">
      <c r="V104" s="286"/>
      <c r="W104" s="286"/>
    </row>
    <row r="105" spans="22:23" s="285" customFormat="1" x14ac:dyDescent="0.25">
      <c r="V105" s="286"/>
      <c r="W105" s="286"/>
    </row>
    <row r="106" spans="22:23" s="285" customFormat="1" x14ac:dyDescent="0.25">
      <c r="V106" s="286"/>
      <c r="W106" s="286"/>
    </row>
    <row r="107" spans="22:23" s="285" customFormat="1" x14ac:dyDescent="0.25">
      <c r="V107" s="286"/>
      <c r="W107" s="286"/>
    </row>
    <row r="108" spans="22:23" s="285" customFormat="1" x14ac:dyDescent="0.25">
      <c r="V108" s="286"/>
      <c r="W108" s="286"/>
    </row>
    <row r="109" spans="22:23" s="285" customFormat="1" x14ac:dyDescent="0.25">
      <c r="V109" s="286"/>
      <c r="W109" s="286"/>
    </row>
    <row r="110" spans="22:23" s="285" customFormat="1" x14ac:dyDescent="0.25">
      <c r="V110" s="286"/>
      <c r="W110" s="286"/>
    </row>
    <row r="111" spans="22:23" s="285" customFormat="1" x14ac:dyDescent="0.25">
      <c r="V111" s="286"/>
      <c r="W111" s="286"/>
    </row>
    <row r="112" spans="22:23" s="285" customFormat="1" x14ac:dyDescent="0.25">
      <c r="V112" s="286"/>
      <c r="W112" s="286"/>
    </row>
    <row r="113" spans="22:23" s="285" customFormat="1" x14ac:dyDescent="0.25">
      <c r="V113" s="286"/>
      <c r="W113" s="286"/>
    </row>
    <row r="114" spans="22:23" s="285" customFormat="1" x14ac:dyDescent="0.25">
      <c r="V114" s="286"/>
      <c r="W114" s="286"/>
    </row>
    <row r="115" spans="22:23" s="285" customFormat="1" x14ac:dyDescent="0.25">
      <c r="V115" s="286"/>
      <c r="W115" s="286"/>
    </row>
    <row r="116" spans="22:23" s="285" customFormat="1" x14ac:dyDescent="0.25">
      <c r="V116" s="286"/>
      <c r="W116" s="286"/>
    </row>
    <row r="117" spans="22:23" s="285" customFormat="1" x14ac:dyDescent="0.25">
      <c r="V117" s="286"/>
      <c r="W117" s="286"/>
    </row>
  </sheetData>
  <sheetProtection algorithmName="SHA-512" hashValue="vDou3oZM/80nwL+dAa/HSARw0ckTIHY8fXEqBI595hzGQIcU1s09K88KzCH/AmR5kiJK5IS6J9cGLpnXwkfS5Q==" saltValue="zyH+Uv459OdWHMIjSkYndw==" spinCount="100000" sheet="1" objects="1" scenarios="1" selectLockedCells="1" selectUnlockedCells="1"/>
  <mergeCells count="178">
    <mergeCell ref="C1:X3"/>
    <mergeCell ref="A4:K4"/>
    <mergeCell ref="L4:P5"/>
    <mergeCell ref="Q4:U5"/>
    <mergeCell ref="V4:W5"/>
    <mergeCell ref="X4:X5"/>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A7:A12"/>
    <mergeCell ref="B7:B12"/>
    <mergeCell ref="C7:C8"/>
    <mergeCell ref="D7:D8"/>
    <mergeCell ref="E7:E8"/>
    <mergeCell ref="F7:F8"/>
    <mergeCell ref="X7:X12"/>
    <mergeCell ref="L9:L11"/>
    <mergeCell ref="M9:M11"/>
    <mergeCell ref="N9:N11"/>
    <mergeCell ref="O9:O11"/>
    <mergeCell ref="P9:P11"/>
    <mergeCell ref="V9:V11"/>
    <mergeCell ref="G7:G8"/>
    <mergeCell ref="H7:H8"/>
    <mergeCell ref="I7:I8"/>
    <mergeCell ref="J7:J12"/>
    <mergeCell ref="K7:K12"/>
    <mergeCell ref="W7:W35"/>
    <mergeCell ref="I10:I12"/>
    <mergeCell ref="G14:G16"/>
    <mergeCell ref="H14:H16"/>
    <mergeCell ref="I14:I16"/>
    <mergeCell ref="J14:J16"/>
    <mergeCell ref="Y13:Z13"/>
    <mergeCell ref="AC13:AD13"/>
    <mergeCell ref="AG13:AH13"/>
    <mergeCell ref="AK13:AL13"/>
    <mergeCell ref="AO13:AP13"/>
    <mergeCell ref="AS13:AT13"/>
    <mergeCell ref="C10:C12"/>
    <mergeCell ref="D10:D12"/>
    <mergeCell ref="E10:E12"/>
    <mergeCell ref="F10:F12"/>
    <mergeCell ref="G10:G12"/>
    <mergeCell ref="H10:H12"/>
    <mergeCell ref="AI9:AI11"/>
    <mergeCell ref="AJ9:AJ11"/>
    <mergeCell ref="AO9:AO11"/>
    <mergeCell ref="AP9:AP11"/>
    <mergeCell ref="AQ9:AQ11"/>
    <mergeCell ref="AR9:AR11"/>
    <mergeCell ref="Y9:Y11"/>
    <mergeCell ref="Z9:Z11"/>
    <mergeCell ref="AA9:AA11"/>
    <mergeCell ref="AB9:AB11"/>
    <mergeCell ref="AG9:AG11"/>
    <mergeCell ref="AH9:AH11"/>
    <mergeCell ref="K14:K16"/>
    <mergeCell ref="X14:X16"/>
    <mergeCell ref="Y17:Z17"/>
    <mergeCell ref="AC17:AD17"/>
    <mergeCell ref="AG17:AH17"/>
    <mergeCell ref="A14:A16"/>
    <mergeCell ref="B14:B16"/>
    <mergeCell ref="C14:C16"/>
    <mergeCell ref="D14:D16"/>
    <mergeCell ref="E14:E16"/>
    <mergeCell ref="F14:F16"/>
    <mergeCell ref="AK17:AL17"/>
    <mergeCell ref="AO17:AP17"/>
    <mergeCell ref="AS17:AT17"/>
    <mergeCell ref="A18:A21"/>
    <mergeCell ref="B18:B21"/>
    <mergeCell ref="C18:C21"/>
    <mergeCell ref="D18:D21"/>
    <mergeCell ref="E18:E21"/>
    <mergeCell ref="F18:F21"/>
    <mergeCell ref="G18:G21"/>
    <mergeCell ref="AO22:AP22"/>
    <mergeCell ref="AS22:AT22"/>
    <mergeCell ref="A23:A27"/>
    <mergeCell ref="B23:B27"/>
    <mergeCell ref="C23:C27"/>
    <mergeCell ref="D23:D27"/>
    <mergeCell ref="E23:E27"/>
    <mergeCell ref="H18:H21"/>
    <mergeCell ref="I18:I21"/>
    <mergeCell ref="J18:J21"/>
    <mergeCell ref="K18:K21"/>
    <mergeCell ref="X18:X21"/>
    <mergeCell ref="Y22:Z22"/>
    <mergeCell ref="F23:F27"/>
    <mergeCell ref="G23:G27"/>
    <mergeCell ref="H23:H27"/>
    <mergeCell ref="I23:I27"/>
    <mergeCell ref="J23:J27"/>
    <mergeCell ref="K23:K27"/>
    <mergeCell ref="AC22:AD22"/>
    <mergeCell ref="AG22:AH22"/>
    <mergeCell ref="AK22:AL22"/>
    <mergeCell ref="Y24:Y27"/>
    <mergeCell ref="Z24:Z27"/>
    <mergeCell ref="AA24:AA27"/>
    <mergeCell ref="AB24:AB27"/>
    <mergeCell ref="AG24:AG27"/>
    <mergeCell ref="AH24:AH27"/>
    <mergeCell ref="X23:X27"/>
    <mergeCell ref="L24:L27"/>
    <mergeCell ref="M24:M27"/>
    <mergeCell ref="N24:N27"/>
    <mergeCell ref="O24:O27"/>
    <mergeCell ref="P24:P27"/>
    <mergeCell ref="V24:V27"/>
    <mergeCell ref="AK28:AL28"/>
    <mergeCell ref="AO28:AP28"/>
    <mergeCell ref="AS28:AT28"/>
    <mergeCell ref="AI24:AI27"/>
    <mergeCell ref="AJ24:AJ27"/>
    <mergeCell ref="AO24:AO27"/>
    <mergeCell ref="AP24:AP27"/>
    <mergeCell ref="AQ24:AQ27"/>
    <mergeCell ref="AR24:AR27"/>
    <mergeCell ref="A29:A31"/>
    <mergeCell ref="B29:B31"/>
    <mergeCell ref="C29:C31"/>
    <mergeCell ref="D29:D31"/>
    <mergeCell ref="E29:E31"/>
    <mergeCell ref="F29:F31"/>
    <mergeCell ref="Y28:Z28"/>
    <mergeCell ref="AC28:AD28"/>
    <mergeCell ref="AG28:AH28"/>
    <mergeCell ref="Y32:Z32"/>
    <mergeCell ref="AC32:AD32"/>
    <mergeCell ref="AG32:AH32"/>
    <mergeCell ref="AK32:AL32"/>
    <mergeCell ref="AO32:AP32"/>
    <mergeCell ref="AS32:AT32"/>
    <mergeCell ref="G29:G31"/>
    <mergeCell ref="H29:H31"/>
    <mergeCell ref="I29:I31"/>
    <mergeCell ref="J29:J31"/>
    <mergeCell ref="K29:K31"/>
    <mergeCell ref="X29:X31"/>
    <mergeCell ref="G33:G35"/>
    <mergeCell ref="H33:H35"/>
    <mergeCell ref="I33:I35"/>
    <mergeCell ref="J33:J35"/>
    <mergeCell ref="K33:K35"/>
    <mergeCell ref="X33:X35"/>
    <mergeCell ref="A33:A35"/>
    <mergeCell ref="B33:B35"/>
    <mergeCell ref="C33:C35"/>
    <mergeCell ref="D33:D35"/>
    <mergeCell ref="E33:E35"/>
    <mergeCell ref="F33:F35"/>
    <mergeCell ref="Y38:Z38"/>
    <mergeCell ref="AC38:AD38"/>
    <mergeCell ref="AG38:AH38"/>
    <mergeCell ref="AK38:AL38"/>
    <mergeCell ref="AO38:AP38"/>
    <mergeCell ref="AS38:AT38"/>
    <mergeCell ref="Y36:Z36"/>
    <mergeCell ref="AC36:AD36"/>
    <mergeCell ref="AG36:AH36"/>
    <mergeCell ref="AK36:AL36"/>
    <mergeCell ref="AO36:AP36"/>
    <mergeCell ref="AS36:AT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EB95-D66F-4470-8A06-D8484429BBD4}">
  <sheetPr>
    <tabColor theme="4"/>
  </sheetPr>
  <dimension ref="A1:BQ18"/>
  <sheetViews>
    <sheetView topLeftCell="AQ1" zoomScaleNormal="100" workbookViewId="0">
      <selection activeCell="AX16" sqref="AX16"/>
    </sheetView>
  </sheetViews>
  <sheetFormatPr baseColWidth="10" defaultRowHeight="15" x14ac:dyDescent="0.25"/>
  <cols>
    <col min="1" max="1" width="15.5703125" customWidth="1"/>
    <col min="2" max="2" width="17.28515625" customWidth="1"/>
    <col min="3" max="3" width="20.85546875" customWidth="1"/>
    <col min="4" max="4" width="20.5703125" customWidth="1"/>
    <col min="5" max="5" width="17.140625" customWidth="1"/>
    <col min="6" max="6" width="18" customWidth="1"/>
    <col min="7" max="7" width="18.85546875" customWidth="1"/>
    <col min="8" max="8" width="16" customWidth="1"/>
    <col min="9" max="9" width="13.85546875" customWidth="1"/>
    <col min="10" max="10" width="15.140625" customWidth="1"/>
    <col min="11" max="11" width="13.7109375" customWidth="1"/>
    <col min="12" max="12" width="23.28515625" customWidth="1"/>
    <col min="13" max="13" width="19.28515625" customWidth="1"/>
    <col min="17" max="17" width="21.42578125" customWidth="1"/>
    <col min="18" max="18" width="16.85546875" customWidth="1"/>
    <col min="20" max="20" width="18.5703125" bestFit="1" customWidth="1"/>
    <col min="22" max="22" width="17" customWidth="1"/>
    <col min="23" max="24" width="20.85546875" customWidth="1"/>
    <col min="25" max="25" width="15.5703125" customWidth="1"/>
    <col min="26" max="26" width="15.7109375" customWidth="1"/>
    <col min="28" max="28" width="36.85546875" customWidth="1"/>
    <col min="29" max="29" width="15.85546875" customWidth="1"/>
    <col min="30" max="30" width="16.85546875" customWidth="1"/>
    <col min="32" max="32" width="53" customWidth="1"/>
    <col min="33" max="34" width="15.140625" customWidth="1"/>
    <col min="35" max="35" width="15.42578125" customWidth="1"/>
    <col min="36" max="36" width="40.85546875" customWidth="1"/>
    <col min="37" max="37" width="15.28515625" bestFit="1" customWidth="1"/>
    <col min="38" max="38" width="18.5703125" bestFit="1" customWidth="1"/>
    <col min="39" max="39" width="14.140625" customWidth="1"/>
    <col min="40" max="40" width="44.140625" customWidth="1"/>
    <col min="41" max="41" width="18.5703125" customWidth="1"/>
    <col min="42" max="42" width="16.42578125" customWidth="1"/>
    <col min="44" max="44" width="42.5703125" customWidth="1"/>
    <col min="45" max="45" width="20.28515625" customWidth="1"/>
    <col min="46" max="46" width="18.140625" customWidth="1"/>
    <col min="48" max="48" width="48" customWidth="1"/>
    <col min="49" max="69" width="11.42578125" style="306"/>
  </cols>
  <sheetData>
    <row r="1" spans="1:69"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69"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69" s="1" customFormat="1" ht="29.25" customHeight="1" thickBot="1" x14ac:dyDescent="0.3">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69" s="204" customFormat="1" x14ac:dyDescent="0.25">
      <c r="A4" s="414" t="s">
        <v>5</v>
      </c>
      <c r="B4" s="415"/>
      <c r="C4" s="415"/>
      <c r="D4" s="415"/>
      <c r="E4" s="415"/>
      <c r="F4" s="415"/>
      <c r="G4" s="415"/>
      <c r="H4" s="415"/>
      <c r="I4" s="415"/>
      <c r="J4" s="415"/>
      <c r="K4" s="416"/>
      <c r="L4" s="417" t="s">
        <v>6</v>
      </c>
      <c r="M4" s="418"/>
      <c r="N4" s="418"/>
      <c r="O4" s="418"/>
      <c r="P4" s="419"/>
      <c r="Q4" s="417" t="s">
        <v>7</v>
      </c>
      <c r="R4" s="418"/>
      <c r="S4" s="418"/>
      <c r="T4" s="418"/>
      <c r="U4" s="419"/>
      <c r="V4" s="429" t="s">
        <v>8</v>
      </c>
      <c r="W4" s="430"/>
      <c r="X4" s="417" t="s">
        <v>9</v>
      </c>
      <c r="Y4" s="657" t="s">
        <v>601</v>
      </c>
      <c r="Z4" s="658"/>
      <c r="AA4" s="658"/>
      <c r="AB4" s="658"/>
      <c r="AC4" s="658"/>
      <c r="AD4" s="658"/>
      <c r="AE4" s="658"/>
      <c r="AF4" s="659"/>
      <c r="AG4" s="657" t="s">
        <v>602</v>
      </c>
      <c r="AH4" s="658"/>
      <c r="AI4" s="658"/>
      <c r="AJ4" s="658"/>
      <c r="AK4" s="658"/>
      <c r="AL4" s="658"/>
      <c r="AM4" s="658"/>
      <c r="AN4" s="659"/>
      <c r="AO4" s="657" t="s">
        <v>603</v>
      </c>
      <c r="AP4" s="658"/>
      <c r="AQ4" s="658"/>
      <c r="AR4" s="658"/>
      <c r="AS4" s="658"/>
      <c r="AT4" s="658"/>
      <c r="AU4" s="658"/>
      <c r="AV4" s="659"/>
      <c r="AW4" s="277"/>
      <c r="AX4" s="277"/>
      <c r="AY4" s="277"/>
      <c r="AZ4" s="277"/>
      <c r="BA4" s="277"/>
      <c r="BB4" s="277"/>
      <c r="BC4" s="277"/>
      <c r="BD4" s="277"/>
      <c r="BE4" s="277"/>
      <c r="BF4" s="277"/>
      <c r="BG4" s="277"/>
      <c r="BH4" s="277"/>
      <c r="BI4" s="277"/>
      <c r="BJ4" s="277"/>
      <c r="BK4" s="277"/>
      <c r="BL4" s="277"/>
      <c r="BM4" s="277"/>
      <c r="BN4" s="277"/>
      <c r="BO4" s="277"/>
      <c r="BP4" s="277"/>
      <c r="BQ4" s="277"/>
    </row>
    <row r="5" spans="1:69" s="206" customFormat="1" ht="30" x14ac:dyDescent="0.25">
      <c r="A5" s="406" t="s">
        <v>13</v>
      </c>
      <c r="B5" s="407"/>
      <c r="C5" s="408"/>
      <c r="D5" s="205" t="s">
        <v>14</v>
      </c>
      <c r="E5" s="406" t="s">
        <v>15</v>
      </c>
      <c r="F5" s="408"/>
      <c r="G5" s="406" t="s">
        <v>16</v>
      </c>
      <c r="H5" s="407"/>
      <c r="I5" s="408"/>
      <c r="J5" s="409" t="s">
        <v>17</v>
      </c>
      <c r="K5" s="409" t="s">
        <v>18</v>
      </c>
      <c r="L5" s="403"/>
      <c r="M5" s="404"/>
      <c r="N5" s="404"/>
      <c r="O5" s="404"/>
      <c r="P5" s="405"/>
      <c r="Q5" s="403"/>
      <c r="R5" s="404"/>
      <c r="S5" s="404"/>
      <c r="T5" s="404"/>
      <c r="U5" s="405"/>
      <c r="V5" s="431"/>
      <c r="W5" s="432"/>
      <c r="X5" s="403"/>
      <c r="Y5" s="660" t="s">
        <v>19</v>
      </c>
      <c r="Z5" s="407"/>
      <c r="AA5" s="407"/>
      <c r="AB5" s="411"/>
      <c r="AC5" s="412" t="s">
        <v>20</v>
      </c>
      <c r="AD5" s="407"/>
      <c r="AE5" s="407"/>
      <c r="AF5" s="661"/>
      <c r="AG5" s="660" t="s">
        <v>19</v>
      </c>
      <c r="AH5" s="407"/>
      <c r="AI5" s="407"/>
      <c r="AJ5" s="411"/>
      <c r="AK5" s="412" t="s">
        <v>20</v>
      </c>
      <c r="AL5" s="407"/>
      <c r="AM5" s="407"/>
      <c r="AN5" s="661"/>
      <c r="AO5" s="660" t="s">
        <v>19</v>
      </c>
      <c r="AP5" s="407"/>
      <c r="AQ5" s="407"/>
      <c r="AR5" s="411"/>
      <c r="AS5" s="412" t="s">
        <v>20</v>
      </c>
      <c r="AT5" s="407"/>
      <c r="AU5" s="407"/>
      <c r="AV5" s="661"/>
      <c r="AW5" s="277"/>
      <c r="AX5" s="277"/>
      <c r="AY5" s="277"/>
      <c r="AZ5" s="277"/>
      <c r="BA5" s="277"/>
      <c r="BB5" s="277"/>
      <c r="BC5" s="277"/>
      <c r="BD5" s="277"/>
      <c r="BE5" s="277"/>
      <c r="BF5" s="277"/>
      <c r="BG5" s="277"/>
      <c r="BH5" s="277"/>
      <c r="BI5" s="277"/>
      <c r="BJ5" s="277"/>
      <c r="BK5" s="277"/>
      <c r="BL5" s="277"/>
      <c r="BM5" s="277"/>
      <c r="BN5" s="277"/>
      <c r="BO5" s="277"/>
      <c r="BP5" s="277"/>
      <c r="BQ5" s="277"/>
    </row>
    <row r="6" spans="1:69" s="204" customFormat="1" ht="45" x14ac:dyDescent="0.25">
      <c r="A6" s="247" t="s">
        <v>21</v>
      </c>
      <c r="B6" s="247" t="s">
        <v>22</v>
      </c>
      <c r="C6" s="247" t="s">
        <v>23</v>
      </c>
      <c r="D6" s="247" t="s">
        <v>24</v>
      </c>
      <c r="E6" s="247" t="s">
        <v>25</v>
      </c>
      <c r="F6" s="247" t="s">
        <v>26</v>
      </c>
      <c r="G6" s="247" t="s">
        <v>27</v>
      </c>
      <c r="H6" s="247" t="s">
        <v>28</v>
      </c>
      <c r="I6" s="247" t="s">
        <v>29</v>
      </c>
      <c r="J6" s="410"/>
      <c r="K6" s="410"/>
      <c r="L6" s="247" t="s">
        <v>6</v>
      </c>
      <c r="M6" s="247" t="s">
        <v>30</v>
      </c>
      <c r="N6" s="247" t="s">
        <v>31</v>
      </c>
      <c r="O6" s="247" t="s">
        <v>32</v>
      </c>
      <c r="P6" s="247" t="s">
        <v>33</v>
      </c>
      <c r="Q6" s="247" t="s">
        <v>7</v>
      </c>
      <c r="R6" s="247" t="s">
        <v>34</v>
      </c>
      <c r="S6" s="247" t="s">
        <v>31</v>
      </c>
      <c r="T6" s="247" t="s">
        <v>32</v>
      </c>
      <c r="U6" s="247" t="s">
        <v>35</v>
      </c>
      <c r="V6" s="248" t="s">
        <v>36</v>
      </c>
      <c r="W6" s="248" t="s">
        <v>37</v>
      </c>
      <c r="X6" s="249" t="s">
        <v>38</v>
      </c>
      <c r="Y6" s="250" t="s">
        <v>39</v>
      </c>
      <c r="Z6" s="247" t="s">
        <v>40</v>
      </c>
      <c r="AA6" s="247" t="s">
        <v>41</v>
      </c>
      <c r="AB6" s="247" t="s">
        <v>42</v>
      </c>
      <c r="AC6" s="247" t="s">
        <v>39</v>
      </c>
      <c r="AD6" s="247" t="s">
        <v>40</v>
      </c>
      <c r="AE6" s="247" t="s">
        <v>41</v>
      </c>
      <c r="AF6" s="251" t="s">
        <v>42</v>
      </c>
      <c r="AG6" s="250" t="s">
        <v>39</v>
      </c>
      <c r="AH6" s="247" t="s">
        <v>40</v>
      </c>
      <c r="AI6" s="247" t="s">
        <v>41</v>
      </c>
      <c r="AJ6" s="247" t="s">
        <v>42</v>
      </c>
      <c r="AK6" s="247" t="s">
        <v>39</v>
      </c>
      <c r="AL6" s="247" t="s">
        <v>40</v>
      </c>
      <c r="AM6" s="247" t="s">
        <v>41</v>
      </c>
      <c r="AN6" s="251" t="s">
        <v>42</v>
      </c>
      <c r="AO6" s="250" t="s">
        <v>39</v>
      </c>
      <c r="AP6" s="247" t="s">
        <v>40</v>
      </c>
      <c r="AQ6" s="247" t="s">
        <v>41</v>
      </c>
      <c r="AR6" s="247" t="s">
        <v>42</v>
      </c>
      <c r="AS6" s="247" t="s">
        <v>39</v>
      </c>
      <c r="AT6" s="247" t="s">
        <v>40</v>
      </c>
      <c r="AU6" s="247" t="s">
        <v>41</v>
      </c>
      <c r="AV6" s="251" t="s">
        <v>42</v>
      </c>
      <c r="AW6" s="277"/>
      <c r="AX6" s="277"/>
      <c r="AY6" s="277"/>
      <c r="AZ6" s="277"/>
      <c r="BA6" s="277"/>
      <c r="BB6" s="277"/>
      <c r="BC6" s="277"/>
      <c r="BD6" s="277"/>
      <c r="BE6" s="277"/>
      <c r="BF6" s="277"/>
      <c r="BG6" s="277"/>
      <c r="BH6" s="277"/>
      <c r="BI6" s="277"/>
      <c r="BJ6" s="277"/>
      <c r="BK6" s="277"/>
      <c r="BL6" s="277"/>
      <c r="BM6" s="277"/>
      <c r="BN6" s="277"/>
      <c r="BO6" s="277"/>
      <c r="BP6" s="277"/>
      <c r="BQ6" s="277"/>
    </row>
    <row r="7" spans="1:69" s="252" customFormat="1" ht="90" customHeight="1" x14ac:dyDescent="0.25">
      <c r="A7" s="567" t="s">
        <v>43</v>
      </c>
      <c r="B7" s="567" t="s">
        <v>44</v>
      </c>
      <c r="C7" s="567" t="s">
        <v>45</v>
      </c>
      <c r="D7" s="567" t="s">
        <v>46</v>
      </c>
      <c r="E7" s="567" t="s">
        <v>71</v>
      </c>
      <c r="F7" s="567" t="s">
        <v>48</v>
      </c>
      <c r="G7" s="567" t="s">
        <v>49</v>
      </c>
      <c r="H7" s="567" t="s">
        <v>604</v>
      </c>
      <c r="I7" s="567" t="s">
        <v>590</v>
      </c>
      <c r="J7" s="567" t="s">
        <v>605</v>
      </c>
      <c r="K7" s="567" t="s">
        <v>606</v>
      </c>
      <c r="L7" s="567" t="s">
        <v>607</v>
      </c>
      <c r="M7" s="567" t="s">
        <v>608</v>
      </c>
      <c r="N7" s="567" t="s">
        <v>56</v>
      </c>
      <c r="O7" s="567">
        <v>549</v>
      </c>
      <c r="P7" s="567">
        <v>734</v>
      </c>
      <c r="Q7" s="80" t="s">
        <v>609</v>
      </c>
      <c r="R7" s="80" t="s">
        <v>610</v>
      </c>
      <c r="S7" s="80" t="s">
        <v>56</v>
      </c>
      <c r="T7" s="80">
        <v>265</v>
      </c>
      <c r="U7" s="80">
        <v>300</v>
      </c>
      <c r="V7" s="667">
        <v>5164199326</v>
      </c>
      <c r="W7" s="655">
        <v>8805126266</v>
      </c>
      <c r="X7" s="567" t="s">
        <v>611</v>
      </c>
      <c r="Y7" s="567">
        <f>+AC7+AC9</f>
        <v>60</v>
      </c>
      <c r="Z7" s="567">
        <f>+AD7+AD9</f>
        <v>690</v>
      </c>
      <c r="AA7" s="664">
        <f>+Y7/Z7</f>
        <v>8.6956521739130432E-2</v>
      </c>
      <c r="AB7" s="567" t="s">
        <v>612</v>
      </c>
      <c r="AC7" s="80">
        <v>27</v>
      </c>
      <c r="AD7" s="80">
        <v>300</v>
      </c>
      <c r="AE7" s="81">
        <f>+AC7/AD7</f>
        <v>0.09</v>
      </c>
      <c r="AF7" s="80" t="s">
        <v>613</v>
      </c>
      <c r="AG7" s="567">
        <f>+Y7+AK7+AK8+AK9</f>
        <v>120</v>
      </c>
      <c r="AH7" s="567">
        <v>734</v>
      </c>
      <c r="AI7" s="664">
        <f>+AG7/AH7</f>
        <v>0.16348773841961853</v>
      </c>
      <c r="AJ7" s="567" t="s">
        <v>614</v>
      </c>
      <c r="AK7" s="80">
        <v>22</v>
      </c>
      <c r="AL7" s="80">
        <v>300</v>
      </c>
      <c r="AM7" s="81">
        <f>+AK7/AL7</f>
        <v>7.3333333333333334E-2</v>
      </c>
      <c r="AN7" s="80" t="s">
        <v>615</v>
      </c>
      <c r="AO7" s="567">
        <f>+AG7+AS7+AS8+AS9</f>
        <v>185</v>
      </c>
      <c r="AP7" s="567">
        <v>734</v>
      </c>
      <c r="AQ7" s="664">
        <f>+AO7/AP7</f>
        <v>0.25204359673024523</v>
      </c>
      <c r="AR7" s="567" t="s">
        <v>616</v>
      </c>
      <c r="AS7" s="80">
        <v>27</v>
      </c>
      <c r="AT7" s="80">
        <v>300</v>
      </c>
      <c r="AU7" s="81">
        <f>+AS7/AT7</f>
        <v>0.09</v>
      </c>
      <c r="AV7" s="80" t="s">
        <v>617</v>
      </c>
      <c r="AW7" s="302"/>
      <c r="AX7" s="302"/>
      <c r="AY7" s="302"/>
      <c r="AZ7" s="302"/>
      <c r="BA7" s="302"/>
      <c r="BB7" s="302"/>
      <c r="BC7" s="302"/>
      <c r="BD7" s="302"/>
      <c r="BE7" s="302"/>
      <c r="BF7" s="302"/>
      <c r="BG7" s="302"/>
      <c r="BH7" s="302"/>
      <c r="BI7" s="302"/>
      <c r="BJ7" s="302"/>
      <c r="BK7" s="302"/>
      <c r="BL7" s="302"/>
      <c r="BM7" s="302"/>
      <c r="BN7" s="302"/>
      <c r="BO7" s="302"/>
      <c r="BP7" s="302"/>
      <c r="BQ7" s="302"/>
    </row>
    <row r="8" spans="1:69" s="252" customFormat="1" ht="90" customHeight="1" x14ac:dyDescent="0.25">
      <c r="A8" s="642"/>
      <c r="B8" s="642"/>
      <c r="C8" s="642"/>
      <c r="D8" s="642"/>
      <c r="E8" s="642"/>
      <c r="F8" s="642"/>
      <c r="G8" s="642"/>
      <c r="H8" s="642"/>
      <c r="I8" s="642"/>
      <c r="J8" s="642"/>
      <c r="K8" s="642"/>
      <c r="L8" s="642"/>
      <c r="M8" s="642"/>
      <c r="N8" s="642"/>
      <c r="O8" s="642"/>
      <c r="P8" s="642"/>
      <c r="Q8" s="67" t="s">
        <v>618</v>
      </c>
      <c r="R8" s="67" t="s">
        <v>619</v>
      </c>
      <c r="S8" s="67" t="s">
        <v>56</v>
      </c>
      <c r="T8" s="67"/>
      <c r="U8" s="67">
        <v>44</v>
      </c>
      <c r="V8" s="668"/>
      <c r="W8" s="656"/>
      <c r="X8" s="642"/>
      <c r="Y8" s="642"/>
      <c r="Z8" s="642"/>
      <c r="AA8" s="665"/>
      <c r="AB8" s="642"/>
      <c r="AC8" s="67"/>
      <c r="AD8" s="67"/>
      <c r="AE8" s="68"/>
      <c r="AF8" s="67" t="s">
        <v>620</v>
      </c>
      <c r="AG8" s="642"/>
      <c r="AH8" s="642"/>
      <c r="AI8" s="665"/>
      <c r="AJ8" s="642"/>
      <c r="AK8" s="67">
        <v>4</v>
      </c>
      <c r="AL8" s="67">
        <v>44</v>
      </c>
      <c r="AM8" s="68">
        <f>+AK8/AL8</f>
        <v>9.0909090909090912E-2</v>
      </c>
      <c r="AN8" s="67" t="s">
        <v>621</v>
      </c>
      <c r="AO8" s="642"/>
      <c r="AP8" s="642"/>
      <c r="AQ8" s="665"/>
      <c r="AR8" s="642"/>
      <c r="AS8" s="67">
        <v>5</v>
      </c>
      <c r="AT8" s="67">
        <v>44</v>
      </c>
      <c r="AU8" s="68">
        <f>+AS8/AT8</f>
        <v>0.11363636363636363</v>
      </c>
      <c r="AV8" s="67" t="s">
        <v>622</v>
      </c>
      <c r="AW8" s="302"/>
      <c r="AX8" s="302"/>
      <c r="AY8" s="302"/>
      <c r="AZ8" s="302"/>
      <c r="BA8" s="302"/>
      <c r="BB8" s="302"/>
      <c r="BC8" s="302"/>
      <c r="BD8" s="302"/>
      <c r="BE8" s="302"/>
      <c r="BF8" s="302"/>
      <c r="BG8" s="302"/>
      <c r="BH8" s="302"/>
      <c r="BI8" s="302"/>
      <c r="BJ8" s="302"/>
      <c r="BK8" s="302"/>
      <c r="BL8" s="302"/>
      <c r="BM8" s="302"/>
      <c r="BN8" s="302"/>
      <c r="BO8" s="302"/>
      <c r="BP8" s="302"/>
      <c r="BQ8" s="302"/>
    </row>
    <row r="9" spans="1:69" s="252" customFormat="1" ht="138" customHeight="1" x14ac:dyDescent="0.25">
      <c r="A9" s="642"/>
      <c r="B9" s="642"/>
      <c r="C9" s="642"/>
      <c r="D9" s="642"/>
      <c r="E9" s="642"/>
      <c r="F9" s="642"/>
      <c r="G9" s="642"/>
      <c r="H9" s="642"/>
      <c r="I9" s="642"/>
      <c r="J9" s="642"/>
      <c r="K9" s="642"/>
      <c r="L9" s="642"/>
      <c r="M9" s="642"/>
      <c r="N9" s="642"/>
      <c r="O9" s="642"/>
      <c r="P9" s="642"/>
      <c r="Q9" s="303" t="s">
        <v>623</v>
      </c>
      <c r="R9" s="80" t="s">
        <v>624</v>
      </c>
      <c r="S9" s="80" t="s">
        <v>56</v>
      </c>
      <c r="T9" s="80">
        <v>284</v>
      </c>
      <c r="U9" s="80">
        <v>390</v>
      </c>
      <c r="V9" s="669"/>
      <c r="W9" s="656"/>
      <c r="X9" s="568"/>
      <c r="Y9" s="568"/>
      <c r="Z9" s="568"/>
      <c r="AA9" s="666"/>
      <c r="AB9" s="568"/>
      <c r="AC9" s="80">
        <v>33</v>
      </c>
      <c r="AD9" s="80">
        <v>390</v>
      </c>
      <c r="AE9" s="81">
        <f t="shared" ref="AE9" si="0">+AC9/AD9</f>
        <v>8.461538461538462E-2</v>
      </c>
      <c r="AF9" s="80" t="s">
        <v>625</v>
      </c>
      <c r="AG9" s="568"/>
      <c r="AH9" s="568"/>
      <c r="AI9" s="666"/>
      <c r="AJ9" s="568"/>
      <c r="AK9" s="80">
        <v>34</v>
      </c>
      <c r="AL9" s="80">
        <v>390</v>
      </c>
      <c r="AM9" s="81">
        <f t="shared" ref="AM9" si="1">+AK9/AL9</f>
        <v>8.7179487179487175E-2</v>
      </c>
      <c r="AN9" s="80" t="s">
        <v>626</v>
      </c>
      <c r="AO9" s="568"/>
      <c r="AP9" s="568"/>
      <c r="AQ9" s="666"/>
      <c r="AR9" s="568"/>
      <c r="AS9" s="80">
        <v>33</v>
      </c>
      <c r="AT9" s="80">
        <v>390</v>
      </c>
      <c r="AU9" s="81">
        <f>+AS9/AT9</f>
        <v>8.461538461538462E-2</v>
      </c>
      <c r="AV9" s="80" t="s">
        <v>627</v>
      </c>
      <c r="AW9" s="302"/>
      <c r="AX9" s="302"/>
      <c r="AY9" s="302"/>
      <c r="AZ9" s="302"/>
      <c r="BA9" s="302"/>
      <c r="BB9" s="302"/>
      <c r="BC9" s="302"/>
      <c r="BD9" s="302"/>
      <c r="BE9" s="302"/>
      <c r="BF9" s="302"/>
      <c r="BG9" s="302"/>
      <c r="BH9" s="302"/>
      <c r="BI9" s="302"/>
      <c r="BJ9" s="302"/>
      <c r="BK9" s="302"/>
      <c r="BL9" s="302"/>
      <c r="BM9" s="302"/>
      <c r="BN9" s="302"/>
      <c r="BO9" s="302"/>
      <c r="BP9" s="302"/>
      <c r="BQ9" s="302"/>
    </row>
    <row r="10" spans="1:69" s="302" customFormat="1" ht="78.75" customHeight="1" x14ac:dyDescent="0.25">
      <c r="A10" s="304"/>
      <c r="B10" s="304"/>
      <c r="C10" s="304"/>
      <c r="D10" s="305"/>
      <c r="E10" s="305"/>
      <c r="F10" s="305"/>
      <c r="G10" s="305"/>
      <c r="H10" s="305"/>
      <c r="I10" s="305"/>
      <c r="J10" s="304"/>
      <c r="K10" s="305"/>
      <c r="L10" s="299"/>
      <c r="M10" s="299"/>
      <c r="N10" s="299"/>
      <c r="O10" s="299"/>
      <c r="P10" s="299"/>
      <c r="Q10" s="299"/>
      <c r="R10" s="279"/>
      <c r="S10" s="279"/>
      <c r="T10" s="279"/>
      <c r="U10" s="279"/>
      <c r="V10" s="295"/>
      <c r="W10" s="656"/>
      <c r="X10" s="292"/>
      <c r="Y10" s="388" t="s">
        <v>865</v>
      </c>
      <c r="Z10" s="388"/>
      <c r="AA10" s="58">
        <f>+AVERAGE(AA7)</f>
        <v>8.6956521739130432E-2</v>
      </c>
      <c r="AB10" s="300"/>
      <c r="AC10" s="388" t="s">
        <v>866</v>
      </c>
      <c r="AD10" s="388"/>
      <c r="AE10" s="58">
        <f>+AVERAGE(AE7:AE9)</f>
        <v>8.7307692307692308E-2</v>
      </c>
      <c r="AF10" s="301"/>
      <c r="AG10" s="388" t="s">
        <v>865</v>
      </c>
      <c r="AH10" s="388"/>
      <c r="AI10" s="58">
        <f>+AVERAGE(AI7)</f>
        <v>0.16348773841961853</v>
      </c>
      <c r="AJ10" s="300"/>
      <c r="AK10" s="388" t="s">
        <v>866</v>
      </c>
      <c r="AL10" s="388"/>
      <c r="AM10" s="58">
        <f>+AVERAGE(AM7:AM9)</f>
        <v>8.3807303807303793E-2</v>
      </c>
      <c r="AN10" s="301"/>
      <c r="AO10" s="388" t="s">
        <v>865</v>
      </c>
      <c r="AP10" s="388"/>
      <c r="AQ10" s="58">
        <f>+AVERAGE(AQ7)</f>
        <v>0.25204359673024523</v>
      </c>
      <c r="AR10" s="300"/>
      <c r="AS10" s="388" t="s">
        <v>866</v>
      </c>
      <c r="AT10" s="388"/>
      <c r="AU10" s="58">
        <f>+AVERAGE(AU7:AU9)</f>
        <v>9.6083916083916088E-2</v>
      </c>
      <c r="AV10" s="300"/>
    </row>
    <row r="11" spans="1:69" s="252" customFormat="1" ht="120" x14ac:dyDescent="0.25">
      <c r="A11" s="651" t="s">
        <v>43</v>
      </c>
      <c r="B11" s="651" t="s">
        <v>44</v>
      </c>
      <c r="C11" s="651" t="s">
        <v>45</v>
      </c>
      <c r="D11" s="651" t="s">
        <v>349</v>
      </c>
      <c r="E11" s="651" t="s">
        <v>47</v>
      </c>
      <c r="F11" s="651" t="s">
        <v>628</v>
      </c>
      <c r="G11" s="651" t="s">
        <v>629</v>
      </c>
      <c r="H11" s="651" t="s">
        <v>630</v>
      </c>
      <c r="I11" s="651" t="s">
        <v>631</v>
      </c>
      <c r="J11" s="651" t="s">
        <v>605</v>
      </c>
      <c r="K11" s="651" t="s">
        <v>605</v>
      </c>
      <c r="L11" s="67" t="s">
        <v>632</v>
      </c>
      <c r="M11" s="67" t="s">
        <v>633</v>
      </c>
      <c r="N11" s="67" t="s">
        <v>74</v>
      </c>
      <c r="O11" s="67">
        <v>85</v>
      </c>
      <c r="P11" s="67">
        <v>85</v>
      </c>
      <c r="Q11" s="253"/>
      <c r="R11" s="253"/>
      <c r="S11" s="253"/>
      <c r="T11" s="253"/>
      <c r="U11" s="253"/>
      <c r="V11" s="97">
        <v>1313586960</v>
      </c>
      <c r="W11" s="656"/>
      <c r="X11" s="651" t="s">
        <v>611</v>
      </c>
      <c r="Y11" s="67">
        <v>5</v>
      </c>
      <c r="Z11" s="67">
        <v>6</v>
      </c>
      <c r="AA11" s="68">
        <f>+Y11/Z11</f>
        <v>0.83333333333333337</v>
      </c>
      <c r="AB11" s="67" t="s">
        <v>634</v>
      </c>
      <c r="AC11" s="495"/>
      <c r="AD11" s="496"/>
      <c r="AE11" s="496"/>
      <c r="AF11" s="497"/>
      <c r="AG11" s="67">
        <v>6</v>
      </c>
      <c r="AH11" s="67">
        <v>8</v>
      </c>
      <c r="AI11" s="68">
        <f>+AG11/AH11</f>
        <v>0.75</v>
      </c>
      <c r="AJ11" s="67" t="s">
        <v>635</v>
      </c>
      <c r="AK11" s="495"/>
      <c r="AL11" s="496"/>
      <c r="AM11" s="496"/>
      <c r="AN11" s="497"/>
      <c r="AO11" s="67">
        <v>7</v>
      </c>
      <c r="AP11" s="67">
        <v>9</v>
      </c>
      <c r="AQ11" s="68">
        <f>+AO11/AP11</f>
        <v>0.77777777777777779</v>
      </c>
      <c r="AR11" s="67" t="s">
        <v>636</v>
      </c>
      <c r="AS11" s="495"/>
      <c r="AT11" s="496"/>
      <c r="AU11" s="496"/>
      <c r="AV11" s="497"/>
      <c r="AW11" s="302"/>
      <c r="AX11" s="302"/>
      <c r="AY11" s="302"/>
      <c r="AZ11" s="302"/>
      <c r="BA11" s="302"/>
      <c r="BB11" s="302"/>
      <c r="BC11" s="302"/>
      <c r="BD11" s="302"/>
      <c r="BE11" s="302"/>
      <c r="BF11" s="302"/>
      <c r="BG11" s="302"/>
      <c r="BH11" s="302"/>
      <c r="BI11" s="302"/>
      <c r="BJ11" s="302"/>
      <c r="BK11" s="302"/>
      <c r="BL11" s="302"/>
      <c r="BM11" s="302"/>
      <c r="BN11" s="302"/>
      <c r="BO11" s="302"/>
      <c r="BP11" s="302"/>
      <c r="BQ11" s="302"/>
    </row>
    <row r="12" spans="1:69" s="252" customFormat="1" ht="96" x14ac:dyDescent="0.25">
      <c r="A12" s="651"/>
      <c r="B12" s="651"/>
      <c r="C12" s="651"/>
      <c r="D12" s="651"/>
      <c r="E12" s="651"/>
      <c r="F12" s="651"/>
      <c r="G12" s="651"/>
      <c r="H12" s="651"/>
      <c r="I12" s="651" t="s">
        <v>637</v>
      </c>
      <c r="J12" s="651"/>
      <c r="K12" s="651"/>
      <c r="L12" s="80" t="s">
        <v>638</v>
      </c>
      <c r="M12" s="80" t="s">
        <v>639</v>
      </c>
      <c r="N12" s="80" t="s">
        <v>74</v>
      </c>
      <c r="O12" s="80"/>
      <c r="P12" s="80">
        <v>100</v>
      </c>
      <c r="Q12" s="253"/>
      <c r="R12" s="253"/>
      <c r="S12" s="253"/>
      <c r="T12" s="253"/>
      <c r="U12" s="253"/>
      <c r="V12" s="254">
        <v>1156650860</v>
      </c>
      <c r="W12" s="656"/>
      <c r="X12" s="651"/>
      <c r="Y12" s="80">
        <v>20</v>
      </c>
      <c r="Z12" s="80">
        <v>20</v>
      </c>
      <c r="AA12" s="81">
        <f>+Y12/Z12</f>
        <v>1</v>
      </c>
      <c r="AB12" s="80" t="s">
        <v>640</v>
      </c>
      <c r="AC12" s="495"/>
      <c r="AD12" s="496"/>
      <c r="AE12" s="496"/>
      <c r="AF12" s="497"/>
      <c r="AG12" s="80">
        <v>22</v>
      </c>
      <c r="AH12" s="80">
        <v>22</v>
      </c>
      <c r="AI12" s="81">
        <f>+AG12/AH12</f>
        <v>1</v>
      </c>
      <c r="AJ12" s="273" t="s">
        <v>641</v>
      </c>
      <c r="AK12" s="495"/>
      <c r="AL12" s="496"/>
      <c r="AM12" s="496"/>
      <c r="AN12" s="497"/>
      <c r="AO12" s="80">
        <v>24</v>
      </c>
      <c r="AP12" s="80">
        <v>24</v>
      </c>
      <c r="AQ12" s="81">
        <f>+AO12/AP12</f>
        <v>1</v>
      </c>
      <c r="AR12" s="80" t="s">
        <v>642</v>
      </c>
      <c r="AS12" s="495"/>
      <c r="AT12" s="496"/>
      <c r="AU12" s="496"/>
      <c r="AV12" s="497"/>
      <c r="AW12" s="302"/>
      <c r="AX12" s="302"/>
      <c r="AY12" s="302"/>
      <c r="AZ12" s="302"/>
      <c r="BA12" s="302"/>
      <c r="BB12" s="302"/>
      <c r="BC12" s="302"/>
      <c r="BD12" s="302"/>
      <c r="BE12" s="302"/>
      <c r="BF12" s="302"/>
      <c r="BG12" s="302"/>
      <c r="BH12" s="302"/>
      <c r="BI12" s="302"/>
      <c r="BJ12" s="302"/>
      <c r="BK12" s="302"/>
      <c r="BL12" s="302"/>
      <c r="BM12" s="302"/>
      <c r="BN12" s="302"/>
      <c r="BO12" s="302"/>
      <c r="BP12" s="302"/>
      <c r="BQ12" s="302"/>
    </row>
    <row r="13" spans="1:69" s="252" customFormat="1" ht="51" customHeight="1" x14ac:dyDescent="0.25">
      <c r="A13" s="651"/>
      <c r="B13" s="651"/>
      <c r="C13" s="651"/>
      <c r="D13" s="651"/>
      <c r="E13" s="651" t="s">
        <v>375</v>
      </c>
      <c r="F13" s="651" t="s">
        <v>643</v>
      </c>
      <c r="G13" s="651"/>
      <c r="H13" s="651" t="s">
        <v>630</v>
      </c>
      <c r="I13" s="651" t="s">
        <v>644</v>
      </c>
      <c r="J13" s="651"/>
      <c r="K13" s="651"/>
      <c r="L13" s="396" t="s">
        <v>645</v>
      </c>
      <c r="M13" s="396" t="s">
        <v>646</v>
      </c>
      <c r="N13" s="396" t="s">
        <v>56</v>
      </c>
      <c r="O13" s="396"/>
      <c r="P13" s="396">
        <v>100</v>
      </c>
      <c r="Q13" s="67" t="s">
        <v>647</v>
      </c>
      <c r="R13" s="67" t="s">
        <v>648</v>
      </c>
      <c r="S13" s="67" t="s">
        <v>74</v>
      </c>
      <c r="T13" s="97">
        <v>3500000000</v>
      </c>
      <c r="U13" s="67">
        <v>30</v>
      </c>
      <c r="V13" s="662">
        <v>864689120</v>
      </c>
      <c r="W13" s="656"/>
      <c r="X13" s="651"/>
      <c r="Y13" s="662">
        <f>+AC13+AC14</f>
        <v>1807011508</v>
      </c>
      <c r="Z13" s="662">
        <f>+AD13+AD14</f>
        <v>4271204129.7360001</v>
      </c>
      <c r="AA13" s="644">
        <f>+Y13/Z13</f>
        <v>0.42306840251900818</v>
      </c>
      <c r="AB13" s="662" t="s">
        <v>649</v>
      </c>
      <c r="AC13" s="97">
        <v>1807011508</v>
      </c>
      <c r="AD13" s="97">
        <v>4271204129.7360001</v>
      </c>
      <c r="AE13" s="68">
        <f>+AC13/AD13</f>
        <v>0.42306840251900818</v>
      </c>
      <c r="AF13" s="97" t="s">
        <v>650</v>
      </c>
      <c r="AG13" s="662">
        <f>+AK13+AK14</f>
        <v>2177617586</v>
      </c>
      <c r="AH13" s="662">
        <f>+AL13+AL14</f>
        <v>7161101459.7360001</v>
      </c>
      <c r="AI13" s="644">
        <f>+AG13/AH13</f>
        <v>0.30408975466188687</v>
      </c>
      <c r="AJ13" s="396" t="s">
        <v>651</v>
      </c>
      <c r="AK13" s="97">
        <f>+AC13+216454628</f>
        <v>2023466136</v>
      </c>
      <c r="AL13" s="97">
        <f>+AD13</f>
        <v>4271204129.7360001</v>
      </c>
      <c r="AM13" s="68">
        <f>+AK13/AL13</f>
        <v>0.47374606189216928</v>
      </c>
      <c r="AN13" s="271" t="s">
        <v>652</v>
      </c>
      <c r="AO13" s="662">
        <f>+AS13+AS14</f>
        <v>2827788025</v>
      </c>
      <c r="AP13" s="662">
        <f>+AT13+AT14</f>
        <v>7161101459.7360001</v>
      </c>
      <c r="AQ13" s="644">
        <f>+AO13/AP13</f>
        <v>0.39488171490091534</v>
      </c>
      <c r="AR13" s="396" t="s">
        <v>653</v>
      </c>
      <c r="AS13" s="97">
        <f>+AK13+205223653</f>
        <v>2228689789</v>
      </c>
      <c r="AT13" s="97">
        <f>+AL13</f>
        <v>4271204129.7360001</v>
      </c>
      <c r="AU13" s="68">
        <f>+AS13/AT13</f>
        <v>0.52179425784966027</v>
      </c>
      <c r="AV13" s="271" t="s">
        <v>654</v>
      </c>
      <c r="AW13" s="302"/>
      <c r="AX13" s="302"/>
      <c r="AY13" s="302"/>
      <c r="AZ13" s="302"/>
      <c r="BA13" s="302"/>
      <c r="BB13" s="302"/>
      <c r="BC13" s="302"/>
      <c r="BD13" s="302"/>
      <c r="BE13" s="302"/>
      <c r="BF13" s="302"/>
      <c r="BG13" s="302"/>
      <c r="BH13" s="302"/>
      <c r="BI13" s="302"/>
      <c r="BJ13" s="302"/>
      <c r="BK13" s="302"/>
      <c r="BL13" s="302"/>
      <c r="BM13" s="302"/>
      <c r="BN13" s="302"/>
      <c r="BO13" s="302"/>
      <c r="BP13" s="302"/>
      <c r="BQ13" s="302"/>
    </row>
    <row r="14" spans="1:69" s="252" customFormat="1" ht="48.75" customHeight="1" x14ac:dyDescent="0.25">
      <c r="A14" s="514"/>
      <c r="B14" s="514"/>
      <c r="C14" s="514"/>
      <c r="D14" s="514"/>
      <c r="E14" s="514"/>
      <c r="F14" s="514"/>
      <c r="G14" s="514"/>
      <c r="H14" s="514"/>
      <c r="I14" s="514"/>
      <c r="J14" s="514"/>
      <c r="K14" s="514"/>
      <c r="L14" s="398"/>
      <c r="M14" s="398"/>
      <c r="N14" s="398"/>
      <c r="O14" s="398"/>
      <c r="P14" s="398"/>
      <c r="Q14" s="303" t="s">
        <v>655</v>
      </c>
      <c r="R14" s="303" t="s">
        <v>656</v>
      </c>
      <c r="S14" s="303" t="s">
        <v>74</v>
      </c>
      <c r="T14" s="303"/>
      <c r="U14" s="303">
        <v>60</v>
      </c>
      <c r="V14" s="663"/>
      <c r="W14" s="656"/>
      <c r="X14" s="514"/>
      <c r="Y14" s="663"/>
      <c r="Z14" s="663"/>
      <c r="AA14" s="646"/>
      <c r="AB14" s="663"/>
      <c r="AC14" s="303">
        <v>0</v>
      </c>
      <c r="AD14" s="303">
        <v>0</v>
      </c>
      <c r="AE14" s="296">
        <v>0</v>
      </c>
      <c r="AF14" s="303" t="s">
        <v>657</v>
      </c>
      <c r="AG14" s="663"/>
      <c r="AH14" s="663"/>
      <c r="AI14" s="646"/>
      <c r="AJ14" s="398"/>
      <c r="AK14" s="307">
        <v>154151450</v>
      </c>
      <c r="AL14" s="307">
        <v>2889897330</v>
      </c>
      <c r="AM14" s="296">
        <f>+AK14/AL14</f>
        <v>5.334149708356594E-2</v>
      </c>
      <c r="AN14" s="271" t="s">
        <v>658</v>
      </c>
      <c r="AO14" s="663"/>
      <c r="AP14" s="663"/>
      <c r="AQ14" s="646"/>
      <c r="AR14" s="398"/>
      <c r="AS14" s="307">
        <f>+AK14+444946786</f>
        <v>599098236</v>
      </c>
      <c r="AT14" s="307">
        <f>+AL14</f>
        <v>2889897330</v>
      </c>
      <c r="AU14" s="296">
        <f>+AS14/AT14</f>
        <v>0.20730779248825423</v>
      </c>
      <c r="AV14" s="271" t="s">
        <v>659</v>
      </c>
      <c r="AW14" s="302"/>
      <c r="AX14" s="302"/>
      <c r="AY14" s="302"/>
      <c r="AZ14" s="302"/>
      <c r="BA14" s="302"/>
      <c r="BB14" s="302"/>
      <c r="BC14" s="302"/>
      <c r="BD14" s="302"/>
      <c r="BE14" s="302"/>
      <c r="BF14" s="302"/>
      <c r="BG14" s="302"/>
      <c r="BH14" s="302"/>
      <c r="BI14" s="302"/>
      <c r="BJ14" s="302"/>
      <c r="BK14" s="302"/>
      <c r="BL14" s="302"/>
      <c r="BM14" s="302"/>
      <c r="BN14" s="302"/>
      <c r="BO14" s="302"/>
      <c r="BP14" s="302"/>
      <c r="BQ14" s="302"/>
    </row>
    <row r="16" spans="1:69" ht="70.5" customHeight="1" x14ac:dyDescent="0.25">
      <c r="V16" s="242"/>
      <c r="Y16" s="388" t="s">
        <v>865</v>
      </c>
      <c r="Z16" s="388"/>
      <c r="AA16" s="58">
        <f>+AVERAGE(AA11:AA14)</f>
        <v>0.7521339119507805</v>
      </c>
      <c r="AB16" s="300"/>
      <c r="AC16" s="388" t="s">
        <v>866</v>
      </c>
      <c r="AD16" s="388"/>
      <c r="AE16" s="58">
        <f>+AVERAGE(AE13:AE15)</f>
        <v>0.21153420125950409</v>
      </c>
      <c r="AG16" s="388" t="s">
        <v>865</v>
      </c>
      <c r="AH16" s="388"/>
      <c r="AI16" s="58">
        <f>+AVERAGE(AI11:AI14)</f>
        <v>0.68469658488729568</v>
      </c>
      <c r="AJ16" s="300"/>
      <c r="AK16" s="388" t="s">
        <v>866</v>
      </c>
      <c r="AL16" s="388"/>
      <c r="AM16" s="58">
        <f>+AVERAGE(AM13:AM15)</f>
        <v>0.26354377948786761</v>
      </c>
      <c r="AO16" s="388" t="s">
        <v>865</v>
      </c>
      <c r="AP16" s="388"/>
      <c r="AQ16" s="58">
        <f>+AVERAGE(AQ11:AQ14)</f>
        <v>0.72421983089289765</v>
      </c>
      <c r="AR16" s="300"/>
      <c r="AS16" s="388" t="s">
        <v>866</v>
      </c>
      <c r="AT16" s="388"/>
      <c r="AU16" s="58">
        <f>+AVERAGE(AU13:AU15)</f>
        <v>0.36455102516895727</v>
      </c>
    </row>
    <row r="17" spans="45:45" x14ac:dyDescent="0.25">
      <c r="AS17" s="257"/>
    </row>
    <row r="18" spans="45:45" x14ac:dyDescent="0.25">
      <c r="AS18" s="258"/>
    </row>
  </sheetData>
  <sheetProtection algorithmName="SHA-512" hashValue="X1iEjscRYUDSUd1VxNLXzu5mCS5wXqp70kmO+5x9mp9SGtse4k7d9VjGjh8hlgV4WW91li/QeBiI8HdF8DJxLw==" saltValue="hyIeUsTMiSw+knIKKXzCgQ==" spinCount="100000" sheet="1" objects="1" scenarios="1" selectLockedCells="1" selectUnlockedCells="1"/>
  <mergeCells count="99">
    <mergeCell ref="AK12:AN12"/>
    <mergeCell ref="AK11:AN11"/>
    <mergeCell ref="AC11:AF11"/>
    <mergeCell ref="AC12:AF12"/>
    <mergeCell ref="AO13:AO14"/>
    <mergeCell ref="AJ13:AJ14"/>
    <mergeCell ref="AP13:AP14"/>
    <mergeCell ref="AQ13:AQ14"/>
    <mergeCell ref="AS11:AV11"/>
    <mergeCell ref="AS12:AV12"/>
    <mergeCell ref="AR7:AR9"/>
    <mergeCell ref="AR13:AR14"/>
    <mergeCell ref="AQ7:AQ9"/>
    <mergeCell ref="AS10:AT10"/>
    <mergeCell ref="AO10:AP10"/>
    <mergeCell ref="G11:G14"/>
    <mergeCell ref="K11:K14"/>
    <mergeCell ref="AH7:AH9"/>
    <mergeCell ref="AI7:AI9"/>
    <mergeCell ref="P7:P9"/>
    <mergeCell ref="V7:V9"/>
    <mergeCell ref="Y7:Y9"/>
    <mergeCell ref="Z7:Z9"/>
    <mergeCell ref="AA7:AA9"/>
    <mergeCell ref="AB7:AB9"/>
    <mergeCell ref="AG7:AG9"/>
    <mergeCell ref="H11:H14"/>
    <mergeCell ref="I11:I14"/>
    <mergeCell ref="J11:J14"/>
    <mergeCell ref="X11:X14"/>
    <mergeCell ref="AJ7:AJ9"/>
    <mergeCell ref="AO7:AO9"/>
    <mergeCell ref="AP7:AP9"/>
    <mergeCell ref="V13:V14"/>
    <mergeCell ref="Y13:Y14"/>
    <mergeCell ref="Z13:Z14"/>
    <mergeCell ref="AA13:AA14"/>
    <mergeCell ref="AB13:AB14"/>
    <mergeCell ref="W7:W14"/>
    <mergeCell ref="AK10:AL10"/>
    <mergeCell ref="AG10:AH10"/>
    <mergeCell ref="AC10:AD10"/>
    <mergeCell ref="Y10:Z10"/>
    <mergeCell ref="AG13:AG14"/>
    <mergeCell ref="AH13:AH14"/>
    <mergeCell ref="AI13:AI14"/>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C1:X3"/>
    <mergeCell ref="A4:K4"/>
    <mergeCell ref="L4:P5"/>
    <mergeCell ref="Q4:U5"/>
    <mergeCell ref="V4:W5"/>
    <mergeCell ref="X4:X5"/>
    <mergeCell ref="A7:A9"/>
    <mergeCell ref="B7:B9"/>
    <mergeCell ref="C7:C9"/>
    <mergeCell ref="J7:J9"/>
    <mergeCell ref="X7:X9"/>
    <mergeCell ref="D7:D9"/>
    <mergeCell ref="E7:E9"/>
    <mergeCell ref="F7:F9"/>
    <mergeCell ref="G7:G9"/>
    <mergeCell ref="H7:H9"/>
    <mergeCell ref="I7:I9"/>
    <mergeCell ref="K7:K9"/>
    <mergeCell ref="L7:L9"/>
    <mergeCell ref="M7:M9"/>
    <mergeCell ref="N7:N9"/>
    <mergeCell ref="O7:O9"/>
    <mergeCell ref="A11:A14"/>
    <mergeCell ref="B11:B14"/>
    <mergeCell ref="C11:C14"/>
    <mergeCell ref="E11:E14"/>
    <mergeCell ref="F11:F14"/>
    <mergeCell ref="D11:D14"/>
    <mergeCell ref="M13:M14"/>
    <mergeCell ref="N13:N14"/>
    <mergeCell ref="O13:O14"/>
    <mergeCell ref="P13:P14"/>
    <mergeCell ref="L13:L14"/>
    <mergeCell ref="AS16:AT16"/>
    <mergeCell ref="Y16:Z16"/>
    <mergeCell ref="AC16:AD16"/>
    <mergeCell ref="AG16:AH16"/>
    <mergeCell ref="AK16:AL16"/>
    <mergeCell ref="AO16:AP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D096-79A6-4FEA-8C3C-B96A0E72FDA3}">
  <sheetPr>
    <tabColor theme="7"/>
  </sheetPr>
  <dimension ref="A1:BW33"/>
  <sheetViews>
    <sheetView topLeftCell="AO1" workbookViewId="0">
      <selection activeCell="C11" sqref="C11"/>
    </sheetView>
  </sheetViews>
  <sheetFormatPr baseColWidth="10" defaultRowHeight="15" x14ac:dyDescent="0.25"/>
  <cols>
    <col min="1" max="1" width="21.140625" style="260" customWidth="1"/>
    <col min="2" max="2" width="17.85546875" style="260" customWidth="1"/>
    <col min="3" max="3" width="24.140625" style="260" customWidth="1"/>
    <col min="4" max="4" width="26.42578125" style="260" customWidth="1"/>
    <col min="5" max="5" width="18.140625" style="260" customWidth="1"/>
    <col min="6" max="6" width="20.5703125" style="260" customWidth="1"/>
    <col min="7" max="7" width="14" style="260" customWidth="1"/>
    <col min="8" max="8" width="16.5703125" style="260" customWidth="1"/>
    <col min="9" max="9" width="15.140625" style="260" customWidth="1"/>
    <col min="10" max="10" width="15.85546875" style="260" customWidth="1"/>
    <col min="11" max="11" width="16.42578125" style="260" customWidth="1"/>
    <col min="12" max="12" width="21.85546875" style="260" customWidth="1"/>
    <col min="13" max="13" width="23" style="260" customWidth="1"/>
    <col min="14" max="14" width="11.42578125" style="260"/>
    <col min="15" max="15" width="13.5703125" style="260" customWidth="1"/>
    <col min="16" max="16" width="11.42578125" style="260"/>
    <col min="17" max="17" width="20.28515625" style="260" customWidth="1"/>
    <col min="18" max="18" width="20.140625" style="260" customWidth="1"/>
    <col min="19" max="19" width="12.28515625" style="260" customWidth="1"/>
    <col min="20" max="20" width="11.42578125" style="260"/>
    <col min="21" max="21" width="11.5703125" style="260" customWidth="1"/>
    <col min="22" max="22" width="14.140625" style="261" bestFit="1" customWidth="1"/>
    <col min="23" max="23" width="16.7109375" style="261" customWidth="1"/>
    <col min="24" max="24" width="16.7109375" style="260" customWidth="1"/>
    <col min="25" max="25" width="16.28515625" style="260" customWidth="1"/>
    <col min="26" max="26" width="11.42578125" style="260"/>
    <col min="27" max="27" width="16" style="260" customWidth="1"/>
    <col min="28" max="28" width="40.5703125" style="260" customWidth="1"/>
    <col min="29" max="29" width="14.5703125" style="260" customWidth="1"/>
    <col min="30" max="30" width="11.42578125" style="260"/>
    <col min="31" max="31" width="13" style="260" customWidth="1"/>
    <col min="32" max="32" width="32.85546875" style="260" customWidth="1"/>
    <col min="33" max="33" width="18.140625" style="260" bestFit="1" customWidth="1"/>
    <col min="34" max="34" width="11.42578125" style="260"/>
    <col min="35" max="35" width="16" style="260" customWidth="1"/>
    <col min="36" max="36" width="40.5703125" style="260" customWidth="1"/>
    <col min="37" max="37" width="17.140625" style="260" bestFit="1" customWidth="1"/>
    <col min="38" max="38" width="11.42578125" style="260"/>
    <col min="39" max="39" width="13" style="260" customWidth="1"/>
    <col min="40" max="40" width="32.85546875" style="260" customWidth="1"/>
    <col min="41" max="41" width="18.140625" style="260" bestFit="1" customWidth="1"/>
    <col min="42" max="42" width="11.42578125" style="260"/>
    <col min="43" max="43" width="16" style="260" customWidth="1"/>
    <col min="44" max="44" width="40.5703125" style="260" customWidth="1"/>
    <col min="45" max="45" width="17.140625" style="260" bestFit="1" customWidth="1"/>
    <col min="46" max="46" width="11.42578125" style="260"/>
    <col min="47" max="47" width="13" style="260" customWidth="1"/>
    <col min="48" max="48" width="32.85546875" style="260" customWidth="1"/>
    <col min="49" max="16384" width="11.42578125" style="260"/>
  </cols>
  <sheetData>
    <row r="1" spans="1:75" s="1" customFormat="1" ht="15.75" x14ac:dyDescent="0.25">
      <c r="C1" s="413" t="s">
        <v>0</v>
      </c>
      <c r="D1" s="413"/>
      <c r="E1" s="413"/>
      <c r="F1" s="413"/>
      <c r="G1" s="413"/>
      <c r="H1" s="413"/>
      <c r="I1" s="413"/>
      <c r="J1" s="413"/>
      <c r="K1" s="413"/>
      <c r="L1" s="413"/>
      <c r="M1" s="413"/>
      <c r="N1" s="413"/>
      <c r="O1" s="413"/>
      <c r="P1" s="413"/>
      <c r="Q1" s="413"/>
      <c r="R1" s="413"/>
      <c r="S1" s="413"/>
      <c r="T1" s="413"/>
      <c r="U1" s="413"/>
      <c r="V1" s="413"/>
      <c r="W1" s="413"/>
      <c r="X1" s="413"/>
      <c r="AE1" s="2"/>
      <c r="AF1" s="3"/>
      <c r="AM1" s="2"/>
      <c r="AN1" s="3"/>
      <c r="AU1" s="4" t="s">
        <v>1</v>
      </c>
      <c r="AV1" s="5">
        <v>43458</v>
      </c>
    </row>
    <row r="2" spans="1:75" s="1" customFormat="1" ht="30" customHeight="1" x14ac:dyDescent="0.25">
      <c r="C2" s="413"/>
      <c r="D2" s="413"/>
      <c r="E2" s="413"/>
      <c r="F2" s="413"/>
      <c r="G2" s="413"/>
      <c r="H2" s="413"/>
      <c r="I2" s="413"/>
      <c r="J2" s="413"/>
      <c r="K2" s="413"/>
      <c r="L2" s="413"/>
      <c r="M2" s="413"/>
      <c r="N2" s="413"/>
      <c r="O2" s="413"/>
      <c r="P2" s="413"/>
      <c r="Q2" s="413"/>
      <c r="R2" s="413"/>
      <c r="S2" s="413"/>
      <c r="T2" s="413"/>
      <c r="U2" s="413"/>
      <c r="V2" s="413"/>
      <c r="W2" s="413"/>
      <c r="X2" s="413"/>
      <c r="AE2" s="2"/>
      <c r="AF2" s="2"/>
      <c r="AM2" s="2"/>
      <c r="AN2" s="2"/>
      <c r="AU2" s="4" t="s">
        <v>2</v>
      </c>
      <c r="AV2" s="4">
        <v>5</v>
      </c>
    </row>
    <row r="3" spans="1:75" s="1" customFormat="1" ht="29.25" customHeight="1" x14ac:dyDescent="0.25">
      <c r="C3" s="413"/>
      <c r="D3" s="413"/>
      <c r="E3" s="413"/>
      <c r="F3" s="413"/>
      <c r="G3" s="413"/>
      <c r="H3" s="413"/>
      <c r="I3" s="413"/>
      <c r="J3" s="413"/>
      <c r="K3" s="413"/>
      <c r="L3" s="413"/>
      <c r="M3" s="413"/>
      <c r="N3" s="413"/>
      <c r="O3" s="413"/>
      <c r="P3" s="413"/>
      <c r="Q3" s="413"/>
      <c r="R3" s="413"/>
      <c r="S3" s="413"/>
      <c r="T3" s="413"/>
      <c r="U3" s="413"/>
      <c r="V3" s="413"/>
      <c r="W3" s="413"/>
      <c r="X3" s="413"/>
      <c r="AE3" s="2"/>
      <c r="AF3" s="2"/>
      <c r="AM3" s="2"/>
      <c r="AN3" s="2"/>
      <c r="AU3" s="4" t="s">
        <v>3</v>
      </c>
      <c r="AV3" s="4" t="s">
        <v>4</v>
      </c>
    </row>
    <row r="4" spans="1:75" s="203" customFormat="1" x14ac:dyDescent="0.25">
      <c r="A4" s="414" t="s">
        <v>5</v>
      </c>
      <c r="B4" s="415"/>
      <c r="C4" s="415"/>
      <c r="D4" s="415"/>
      <c r="E4" s="415"/>
      <c r="F4" s="415"/>
      <c r="G4" s="415"/>
      <c r="H4" s="415"/>
      <c r="I4" s="415"/>
      <c r="J4" s="415"/>
      <c r="K4" s="416"/>
      <c r="L4" s="417" t="s">
        <v>6</v>
      </c>
      <c r="M4" s="418"/>
      <c r="N4" s="418"/>
      <c r="O4" s="418"/>
      <c r="P4" s="419"/>
      <c r="Q4" s="417" t="s">
        <v>7</v>
      </c>
      <c r="R4" s="418"/>
      <c r="S4" s="418"/>
      <c r="T4" s="418"/>
      <c r="U4" s="419"/>
      <c r="V4" s="420" t="s">
        <v>8</v>
      </c>
      <c r="W4" s="421"/>
      <c r="X4" s="424" t="s">
        <v>9</v>
      </c>
      <c r="Y4" s="403" t="s">
        <v>10</v>
      </c>
      <c r="Z4" s="404"/>
      <c r="AA4" s="404"/>
      <c r="AB4" s="404"/>
      <c r="AC4" s="404"/>
      <c r="AD4" s="404"/>
      <c r="AE4" s="404"/>
      <c r="AF4" s="405"/>
      <c r="AG4" s="403" t="s">
        <v>11</v>
      </c>
      <c r="AH4" s="404"/>
      <c r="AI4" s="404"/>
      <c r="AJ4" s="404"/>
      <c r="AK4" s="404"/>
      <c r="AL4" s="404"/>
      <c r="AM4" s="404"/>
      <c r="AN4" s="405"/>
      <c r="AO4" s="403" t="s">
        <v>12</v>
      </c>
      <c r="AP4" s="404"/>
      <c r="AQ4" s="404"/>
      <c r="AR4" s="404"/>
      <c r="AS4" s="404"/>
      <c r="AT4" s="404"/>
      <c r="AU4" s="404"/>
      <c r="AV4" s="405"/>
      <c r="AW4" s="277"/>
      <c r="AX4" s="277"/>
      <c r="AY4" s="277"/>
      <c r="AZ4" s="277"/>
      <c r="BA4" s="277"/>
      <c r="BB4" s="277"/>
      <c r="BC4" s="277"/>
      <c r="BD4" s="277"/>
      <c r="BE4" s="277"/>
      <c r="BF4" s="277"/>
      <c r="BG4" s="277"/>
      <c r="BH4" s="277"/>
      <c r="BI4" s="277"/>
      <c r="BJ4" s="277"/>
      <c r="BK4" s="277"/>
      <c r="BL4" s="277"/>
      <c r="BM4" s="277"/>
      <c r="BN4" s="277"/>
      <c r="BO4" s="277"/>
      <c r="BP4" s="277"/>
      <c r="BQ4" s="277"/>
      <c r="BR4" s="277"/>
      <c r="BS4" s="277"/>
      <c r="BT4" s="277"/>
      <c r="BU4" s="277"/>
      <c r="BV4" s="277"/>
      <c r="BW4" s="277"/>
    </row>
    <row r="5" spans="1:75" s="203" customFormat="1" ht="30" x14ac:dyDescent="0.25">
      <c r="A5" s="406" t="s">
        <v>13</v>
      </c>
      <c r="B5" s="407"/>
      <c r="C5" s="408"/>
      <c r="D5" s="205" t="s">
        <v>14</v>
      </c>
      <c r="E5" s="406" t="s">
        <v>15</v>
      </c>
      <c r="F5" s="408"/>
      <c r="G5" s="406" t="s">
        <v>16</v>
      </c>
      <c r="H5" s="407"/>
      <c r="I5" s="408"/>
      <c r="J5" s="409" t="s">
        <v>17</v>
      </c>
      <c r="K5" s="409" t="s">
        <v>18</v>
      </c>
      <c r="L5" s="403"/>
      <c r="M5" s="404"/>
      <c r="N5" s="404"/>
      <c r="O5" s="404"/>
      <c r="P5" s="405"/>
      <c r="Q5" s="403"/>
      <c r="R5" s="404"/>
      <c r="S5" s="404"/>
      <c r="T5" s="404"/>
      <c r="U5" s="405"/>
      <c r="V5" s="422"/>
      <c r="W5" s="423"/>
      <c r="X5" s="425"/>
      <c r="Y5" s="406" t="s">
        <v>19</v>
      </c>
      <c r="Z5" s="407"/>
      <c r="AA5" s="407"/>
      <c r="AB5" s="411"/>
      <c r="AC5" s="412" t="s">
        <v>20</v>
      </c>
      <c r="AD5" s="407"/>
      <c r="AE5" s="407"/>
      <c r="AF5" s="408"/>
      <c r="AG5" s="406" t="s">
        <v>19</v>
      </c>
      <c r="AH5" s="407"/>
      <c r="AI5" s="407"/>
      <c r="AJ5" s="411"/>
      <c r="AK5" s="412" t="s">
        <v>20</v>
      </c>
      <c r="AL5" s="407"/>
      <c r="AM5" s="407"/>
      <c r="AN5" s="408"/>
      <c r="AO5" s="406" t="s">
        <v>19</v>
      </c>
      <c r="AP5" s="407"/>
      <c r="AQ5" s="407"/>
      <c r="AR5" s="411"/>
      <c r="AS5" s="412" t="s">
        <v>20</v>
      </c>
      <c r="AT5" s="407"/>
      <c r="AU5" s="407"/>
      <c r="AV5" s="408"/>
      <c r="AW5" s="277"/>
      <c r="AX5" s="277"/>
      <c r="AY5" s="277"/>
      <c r="AZ5" s="277"/>
      <c r="BA5" s="277"/>
      <c r="BB5" s="277"/>
      <c r="BC5" s="277"/>
      <c r="BD5" s="277"/>
      <c r="BE5" s="277"/>
      <c r="BF5" s="277"/>
      <c r="BG5" s="277"/>
      <c r="BH5" s="277"/>
      <c r="BI5" s="277"/>
      <c r="BJ5" s="277"/>
      <c r="BK5" s="277"/>
      <c r="BL5" s="277"/>
      <c r="BM5" s="277"/>
      <c r="BN5" s="277"/>
      <c r="BO5" s="277"/>
      <c r="BP5" s="277"/>
      <c r="BQ5" s="277"/>
      <c r="BR5" s="277"/>
      <c r="BS5" s="277"/>
      <c r="BT5" s="277"/>
      <c r="BU5" s="277"/>
      <c r="BV5" s="277"/>
      <c r="BW5" s="277"/>
    </row>
    <row r="6" spans="1:75" s="203" customFormat="1" ht="45" x14ac:dyDescent="0.25">
      <c r="A6" s="247" t="s">
        <v>21</v>
      </c>
      <c r="B6" s="247" t="s">
        <v>22</v>
      </c>
      <c r="C6" s="247" t="s">
        <v>23</v>
      </c>
      <c r="D6" s="247" t="s">
        <v>24</v>
      </c>
      <c r="E6" s="247" t="s">
        <v>25</v>
      </c>
      <c r="F6" s="247" t="s">
        <v>26</v>
      </c>
      <c r="G6" s="247" t="s">
        <v>27</v>
      </c>
      <c r="H6" s="247" t="s">
        <v>28</v>
      </c>
      <c r="I6" s="247" t="s">
        <v>29</v>
      </c>
      <c r="J6" s="410"/>
      <c r="K6" s="410"/>
      <c r="L6" s="247" t="s">
        <v>6</v>
      </c>
      <c r="M6" s="247" t="s">
        <v>30</v>
      </c>
      <c r="N6" s="247" t="s">
        <v>31</v>
      </c>
      <c r="O6" s="247" t="s">
        <v>32</v>
      </c>
      <c r="P6" s="247" t="s">
        <v>33</v>
      </c>
      <c r="Q6" s="247" t="s">
        <v>7</v>
      </c>
      <c r="R6" s="247" t="s">
        <v>34</v>
      </c>
      <c r="S6" s="247" t="s">
        <v>31</v>
      </c>
      <c r="T6" s="247" t="s">
        <v>32</v>
      </c>
      <c r="U6" s="247" t="s">
        <v>35</v>
      </c>
      <c r="V6" s="259" t="s">
        <v>36</v>
      </c>
      <c r="W6" s="259" t="s">
        <v>37</v>
      </c>
      <c r="X6" s="247" t="s">
        <v>38</v>
      </c>
      <c r="Y6" s="247" t="s">
        <v>39</v>
      </c>
      <c r="Z6" s="247" t="s">
        <v>40</v>
      </c>
      <c r="AA6" s="247" t="s">
        <v>41</v>
      </c>
      <c r="AB6" s="247" t="s">
        <v>42</v>
      </c>
      <c r="AC6" s="247" t="s">
        <v>39</v>
      </c>
      <c r="AD6" s="247" t="s">
        <v>40</v>
      </c>
      <c r="AE6" s="247" t="s">
        <v>41</v>
      </c>
      <c r="AF6" s="247" t="s">
        <v>42</v>
      </c>
      <c r="AG6" s="247" t="s">
        <v>39</v>
      </c>
      <c r="AH6" s="247" t="s">
        <v>40</v>
      </c>
      <c r="AI6" s="247" t="s">
        <v>41</v>
      </c>
      <c r="AJ6" s="247" t="s">
        <v>42</v>
      </c>
      <c r="AK6" s="247" t="s">
        <v>39</v>
      </c>
      <c r="AL6" s="247" t="s">
        <v>40</v>
      </c>
      <c r="AM6" s="247" t="s">
        <v>41</v>
      </c>
      <c r="AN6" s="247" t="s">
        <v>42</v>
      </c>
      <c r="AO6" s="247" t="s">
        <v>39</v>
      </c>
      <c r="AP6" s="247" t="s">
        <v>40</v>
      </c>
      <c r="AQ6" s="247" t="s">
        <v>41</v>
      </c>
      <c r="AR6" s="247" t="s">
        <v>42</v>
      </c>
      <c r="AS6" s="247" t="s">
        <v>39</v>
      </c>
      <c r="AT6" s="247" t="s">
        <v>40</v>
      </c>
      <c r="AU6" s="247" t="s">
        <v>41</v>
      </c>
      <c r="AV6" s="247" t="s">
        <v>42</v>
      </c>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row>
    <row r="7" spans="1:75" s="263" customFormat="1" ht="38.25" customHeight="1" x14ac:dyDescent="0.25">
      <c r="A7" s="426" t="s">
        <v>43</v>
      </c>
      <c r="B7" s="391" t="s">
        <v>44</v>
      </c>
      <c r="C7" s="391" t="s">
        <v>45</v>
      </c>
      <c r="D7" s="391" t="s">
        <v>540</v>
      </c>
      <c r="E7" s="391" t="s">
        <v>47</v>
      </c>
      <c r="F7" s="391" t="s">
        <v>326</v>
      </c>
      <c r="G7" s="391"/>
      <c r="H7" s="391" t="s">
        <v>660</v>
      </c>
      <c r="I7" s="391" t="s">
        <v>590</v>
      </c>
      <c r="J7" s="391" t="s">
        <v>661</v>
      </c>
      <c r="K7" s="391" t="s">
        <v>662</v>
      </c>
      <c r="L7" s="67" t="s">
        <v>663</v>
      </c>
      <c r="M7" s="67" t="s">
        <v>664</v>
      </c>
      <c r="N7" s="67" t="s">
        <v>74</v>
      </c>
      <c r="O7" s="67">
        <v>0</v>
      </c>
      <c r="P7" s="83">
        <v>1</v>
      </c>
      <c r="Q7" s="253"/>
      <c r="R7" s="253"/>
      <c r="S7" s="253"/>
      <c r="T7" s="253"/>
      <c r="U7" s="253"/>
      <c r="V7" s="278">
        <v>154683793</v>
      </c>
      <c r="W7" s="655">
        <v>45317466258</v>
      </c>
      <c r="X7" s="428" t="s">
        <v>665</v>
      </c>
      <c r="Y7" s="68">
        <v>1</v>
      </c>
      <c r="Z7" s="68">
        <v>1</v>
      </c>
      <c r="AA7" s="68">
        <v>8.3333299999999999E-2</v>
      </c>
      <c r="AB7" s="66" t="s">
        <v>666</v>
      </c>
      <c r="AC7" s="253"/>
      <c r="AD7" s="253"/>
      <c r="AE7" s="253"/>
      <c r="AF7" s="253"/>
      <c r="AG7" s="68">
        <v>1</v>
      </c>
      <c r="AH7" s="68">
        <v>1</v>
      </c>
      <c r="AI7" s="68">
        <v>0.16666665999999999</v>
      </c>
      <c r="AJ7" s="66" t="s">
        <v>667</v>
      </c>
      <c r="AK7" s="253"/>
      <c r="AL7" s="253"/>
      <c r="AM7" s="253"/>
      <c r="AN7" s="253"/>
      <c r="AO7" s="68">
        <v>1</v>
      </c>
      <c r="AP7" s="68">
        <v>1</v>
      </c>
      <c r="AQ7" s="68">
        <v>0.25</v>
      </c>
      <c r="AR7" s="66" t="s">
        <v>668</v>
      </c>
      <c r="AS7" s="253"/>
      <c r="AT7" s="253"/>
      <c r="AU7" s="253"/>
      <c r="AV7" s="253"/>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row>
    <row r="8" spans="1:75" s="263" customFormat="1" ht="51" customHeight="1" x14ac:dyDescent="0.25">
      <c r="A8" s="402"/>
      <c r="B8" s="391"/>
      <c r="C8" s="391"/>
      <c r="D8" s="391"/>
      <c r="E8" s="391"/>
      <c r="F8" s="391"/>
      <c r="G8" s="391"/>
      <c r="H8" s="391"/>
      <c r="I8" s="391"/>
      <c r="J8" s="391"/>
      <c r="K8" s="391"/>
      <c r="L8" s="80" t="s">
        <v>669</v>
      </c>
      <c r="M8" s="80" t="s">
        <v>670</v>
      </c>
      <c r="N8" s="80" t="s">
        <v>74</v>
      </c>
      <c r="O8" s="80">
        <v>0</v>
      </c>
      <c r="P8" s="81">
        <v>1</v>
      </c>
      <c r="Q8" s="253"/>
      <c r="R8" s="253"/>
      <c r="S8" s="253"/>
      <c r="T8" s="253"/>
      <c r="U8" s="253"/>
      <c r="V8" s="280">
        <v>74818490</v>
      </c>
      <c r="W8" s="656"/>
      <c r="X8" s="428"/>
      <c r="Y8" s="81">
        <v>1</v>
      </c>
      <c r="Z8" s="85">
        <v>1</v>
      </c>
      <c r="AA8" s="81">
        <v>8.3333329999999997E-2</v>
      </c>
      <c r="AB8" s="73" t="s">
        <v>671</v>
      </c>
      <c r="AC8" s="253"/>
      <c r="AD8" s="253"/>
      <c r="AE8" s="253"/>
      <c r="AF8" s="253"/>
      <c r="AG8" s="81">
        <v>1</v>
      </c>
      <c r="AH8" s="85">
        <v>1</v>
      </c>
      <c r="AI8" s="81">
        <v>0.16666665999999999</v>
      </c>
      <c r="AJ8" s="73" t="s">
        <v>672</v>
      </c>
      <c r="AK8" s="253"/>
      <c r="AL8" s="253"/>
      <c r="AM8" s="253"/>
      <c r="AN8" s="253"/>
      <c r="AO8" s="81">
        <v>1</v>
      </c>
      <c r="AP8" s="85">
        <v>1</v>
      </c>
      <c r="AQ8" s="81">
        <v>0.25</v>
      </c>
      <c r="AR8" s="73" t="s">
        <v>673</v>
      </c>
      <c r="AS8" s="253"/>
      <c r="AT8" s="253"/>
      <c r="AU8" s="253"/>
      <c r="AV8" s="253"/>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row>
    <row r="9" spans="1:75" s="263" customFormat="1" ht="60" x14ac:dyDescent="0.25">
      <c r="A9" s="402"/>
      <c r="B9" s="391"/>
      <c r="C9" s="391"/>
      <c r="D9" s="391"/>
      <c r="E9" s="391"/>
      <c r="F9" s="391"/>
      <c r="G9" s="391"/>
      <c r="H9" s="391"/>
      <c r="I9" s="391"/>
      <c r="J9" s="391"/>
      <c r="K9" s="391"/>
      <c r="L9" s="67" t="s">
        <v>674</v>
      </c>
      <c r="M9" s="67" t="s">
        <v>675</v>
      </c>
      <c r="N9" s="67" t="s">
        <v>74</v>
      </c>
      <c r="O9" s="67"/>
      <c r="P9" s="83">
        <v>1</v>
      </c>
      <c r="Q9" s="253"/>
      <c r="R9" s="253"/>
      <c r="S9" s="253"/>
      <c r="T9" s="253"/>
      <c r="U9" s="253"/>
      <c r="V9" s="278">
        <v>74818490</v>
      </c>
      <c r="W9" s="656"/>
      <c r="X9" s="428"/>
      <c r="Y9" s="68">
        <v>0.35</v>
      </c>
      <c r="Z9" s="67">
        <v>1</v>
      </c>
      <c r="AA9" s="68">
        <v>0.35</v>
      </c>
      <c r="AB9" s="66" t="s">
        <v>676</v>
      </c>
      <c r="AC9" s="253"/>
      <c r="AD9" s="253"/>
      <c r="AE9" s="253"/>
      <c r="AF9" s="253"/>
      <c r="AG9" s="68">
        <v>0.36</v>
      </c>
      <c r="AH9" s="67">
        <v>1</v>
      </c>
      <c r="AI9" s="68">
        <v>0.36</v>
      </c>
      <c r="AJ9" s="66" t="s">
        <v>676</v>
      </c>
      <c r="AK9" s="253"/>
      <c r="AL9" s="253"/>
      <c r="AM9" s="253"/>
      <c r="AN9" s="253"/>
      <c r="AO9" s="68">
        <v>0.37</v>
      </c>
      <c r="AP9" s="67">
        <v>1</v>
      </c>
      <c r="AQ9" s="68">
        <v>0.37</v>
      </c>
      <c r="AR9" s="66" t="s">
        <v>677</v>
      </c>
      <c r="AS9" s="253"/>
      <c r="AT9" s="253"/>
      <c r="AU9" s="253"/>
      <c r="AV9" s="253"/>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row>
    <row r="10" spans="1:75" s="284" customFormat="1" ht="49.5" customHeight="1" x14ac:dyDescent="0.25">
      <c r="A10" s="281"/>
      <c r="B10" s="281"/>
      <c r="C10" s="281"/>
      <c r="D10" s="281"/>
      <c r="E10" s="281"/>
      <c r="F10" s="281"/>
      <c r="G10" s="281"/>
      <c r="H10" s="281"/>
      <c r="I10" s="281"/>
      <c r="J10" s="281"/>
      <c r="K10" s="281"/>
      <c r="L10" s="281"/>
      <c r="M10" s="281"/>
      <c r="N10" s="281"/>
      <c r="O10" s="281"/>
      <c r="P10" s="281"/>
      <c r="Q10" s="281"/>
      <c r="R10" s="281"/>
      <c r="S10" s="281"/>
      <c r="T10" s="281"/>
      <c r="U10" s="281"/>
      <c r="V10" s="282"/>
      <c r="W10" s="282"/>
      <c r="X10" s="281"/>
      <c r="Y10" s="388" t="s">
        <v>99</v>
      </c>
      <c r="Z10" s="388"/>
      <c r="AA10" s="283">
        <f>+AVERAGE(AA7:AA9)</f>
        <v>0.17222221000000001</v>
      </c>
      <c r="AB10" s="281"/>
      <c r="AC10" s="281"/>
      <c r="AD10" s="281"/>
      <c r="AE10" s="281"/>
      <c r="AF10" s="281"/>
      <c r="AG10" s="388" t="s">
        <v>865</v>
      </c>
      <c r="AH10" s="388"/>
      <c r="AI10" s="283">
        <f>+AVERAGE(AI7:AI9)</f>
        <v>0.23111110666666668</v>
      </c>
      <c r="AJ10" s="281"/>
      <c r="AK10" s="281"/>
      <c r="AL10" s="281"/>
      <c r="AM10" s="281"/>
      <c r="AN10" s="281"/>
      <c r="AO10" s="388" t="s">
        <v>865</v>
      </c>
      <c r="AP10" s="388"/>
      <c r="AQ10" s="283">
        <f>+AVERAGE(AQ7:AQ9)</f>
        <v>0.28999999999999998</v>
      </c>
      <c r="AR10" s="281"/>
      <c r="AS10" s="281"/>
      <c r="AT10" s="281"/>
      <c r="AU10" s="281"/>
      <c r="AV10" s="281"/>
      <c r="AW10" s="281"/>
      <c r="AX10" s="281"/>
      <c r="AY10" s="281"/>
      <c r="AZ10" s="281"/>
      <c r="BA10" s="281"/>
      <c r="BB10" s="281"/>
      <c r="BC10" s="281"/>
      <c r="BD10" s="281"/>
      <c r="BE10" s="281"/>
      <c r="BF10" s="281"/>
      <c r="BG10" s="281"/>
      <c r="BH10" s="281"/>
      <c r="BI10" s="281"/>
      <c r="BJ10" s="281"/>
      <c r="BK10" s="281"/>
      <c r="BL10" s="281"/>
      <c r="BM10" s="281"/>
      <c r="BN10" s="281"/>
      <c r="BO10" s="281"/>
      <c r="BP10" s="281"/>
      <c r="BQ10" s="281"/>
      <c r="BR10" s="281"/>
      <c r="BS10" s="281"/>
      <c r="BT10" s="281"/>
      <c r="BU10" s="281"/>
      <c r="BV10" s="281"/>
      <c r="BW10" s="281"/>
    </row>
    <row r="11" spans="1:75" x14ac:dyDescent="0.25">
      <c r="A11" s="285"/>
      <c r="B11" s="285"/>
      <c r="C11" s="285"/>
      <c r="D11" s="285"/>
      <c r="E11" s="285"/>
      <c r="F11" s="285"/>
      <c r="G11" s="285"/>
      <c r="H11" s="285"/>
      <c r="I11" s="285"/>
      <c r="J11" s="285"/>
      <c r="K11" s="285"/>
      <c r="L11" s="285"/>
      <c r="M11" s="285"/>
      <c r="N11" s="285"/>
      <c r="O11" s="285"/>
      <c r="P11" s="285"/>
      <c r="Q11" s="285"/>
      <c r="R11" s="285"/>
      <c r="S11" s="285"/>
      <c r="T11" s="285"/>
      <c r="U11" s="285"/>
      <c r="V11" s="286"/>
      <c r="W11" s="286"/>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row>
    <row r="12" spans="1:75" x14ac:dyDescent="0.25">
      <c r="A12" s="285"/>
      <c r="B12" s="285"/>
      <c r="C12" s="285"/>
      <c r="D12" s="285"/>
      <c r="E12" s="285"/>
      <c r="F12" s="285"/>
      <c r="G12" s="285"/>
      <c r="H12" s="285"/>
      <c r="I12" s="285"/>
      <c r="J12" s="285"/>
      <c r="K12" s="285"/>
      <c r="L12" s="285"/>
      <c r="M12" s="285"/>
      <c r="N12" s="285"/>
      <c r="O12" s="285"/>
      <c r="P12" s="285"/>
      <c r="Q12" s="285"/>
      <c r="R12" s="285"/>
      <c r="S12" s="285"/>
      <c r="T12" s="285"/>
      <c r="U12" s="285"/>
      <c r="V12" s="286"/>
      <c r="W12" s="286"/>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row>
    <row r="13" spans="1:75" x14ac:dyDescent="0.25">
      <c r="A13" s="285"/>
      <c r="B13" s="285"/>
      <c r="C13" s="285"/>
      <c r="D13" s="285"/>
      <c r="E13" s="285"/>
      <c r="F13" s="285"/>
      <c r="G13" s="285"/>
      <c r="H13" s="285"/>
      <c r="I13" s="285"/>
      <c r="J13" s="285"/>
      <c r="K13" s="285"/>
      <c r="L13" s="285"/>
      <c r="M13" s="285"/>
      <c r="N13" s="285"/>
      <c r="O13" s="285"/>
      <c r="P13" s="285"/>
      <c r="Q13" s="285"/>
      <c r="R13" s="285"/>
      <c r="S13" s="285"/>
      <c r="T13" s="285"/>
      <c r="U13" s="285"/>
      <c r="V13" s="286"/>
      <c r="W13" s="286"/>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row>
    <row r="14" spans="1:75" x14ac:dyDescent="0.25">
      <c r="A14" s="285"/>
      <c r="B14" s="285"/>
      <c r="C14" s="285"/>
      <c r="D14" s="285"/>
      <c r="E14" s="285"/>
      <c r="F14" s="285"/>
      <c r="G14" s="285"/>
      <c r="H14" s="285"/>
      <c r="I14" s="285"/>
      <c r="J14" s="285"/>
      <c r="K14" s="285"/>
      <c r="L14" s="285"/>
      <c r="M14" s="285"/>
      <c r="N14" s="285"/>
      <c r="O14" s="285"/>
      <c r="P14" s="285"/>
      <c r="Q14" s="285"/>
      <c r="R14" s="285"/>
      <c r="S14" s="285"/>
      <c r="T14" s="285"/>
      <c r="U14" s="285"/>
      <c r="V14" s="286"/>
      <c r="W14" s="286"/>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row>
    <row r="15" spans="1:75" x14ac:dyDescent="0.25">
      <c r="A15" s="285"/>
      <c r="B15" s="285"/>
      <c r="C15" s="285"/>
      <c r="D15" s="285"/>
      <c r="E15" s="285"/>
      <c r="F15" s="285"/>
      <c r="G15" s="285"/>
      <c r="H15" s="285"/>
      <c r="I15" s="285"/>
      <c r="J15" s="285"/>
      <c r="K15" s="285"/>
      <c r="L15" s="285"/>
      <c r="M15" s="285"/>
      <c r="N15" s="285"/>
      <c r="O15" s="285"/>
      <c r="P15" s="285"/>
      <c r="Q15" s="285"/>
      <c r="R15" s="285"/>
      <c r="S15" s="285"/>
      <c r="T15" s="285"/>
      <c r="U15" s="285"/>
      <c r="V15" s="286"/>
      <c r="W15" s="286"/>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row>
    <row r="16" spans="1:75" x14ac:dyDescent="0.25">
      <c r="A16" s="285"/>
      <c r="B16" s="285"/>
      <c r="C16" s="285"/>
      <c r="D16" s="285"/>
      <c r="E16" s="285"/>
      <c r="F16" s="285"/>
      <c r="G16" s="285"/>
      <c r="H16" s="285"/>
      <c r="I16" s="285"/>
      <c r="J16" s="285"/>
      <c r="K16" s="285"/>
      <c r="L16" s="285"/>
      <c r="M16" s="285"/>
      <c r="N16" s="285"/>
      <c r="O16" s="285"/>
      <c r="P16" s="285"/>
      <c r="Q16" s="285"/>
      <c r="R16" s="285"/>
      <c r="S16" s="285"/>
      <c r="T16" s="285"/>
      <c r="U16" s="285"/>
      <c r="V16" s="286"/>
      <c r="W16" s="286"/>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row>
    <row r="17" spans="1:75" x14ac:dyDescent="0.25">
      <c r="A17" s="285"/>
      <c r="B17" s="285"/>
      <c r="C17" s="285"/>
      <c r="D17" s="285"/>
      <c r="E17" s="285"/>
      <c r="F17" s="285"/>
      <c r="G17" s="285"/>
      <c r="H17" s="285"/>
      <c r="I17" s="285"/>
      <c r="J17" s="285"/>
      <c r="K17" s="285"/>
      <c r="L17" s="285"/>
      <c r="M17" s="285"/>
      <c r="N17" s="285"/>
      <c r="O17" s="285"/>
      <c r="P17" s="285"/>
      <c r="Q17" s="285"/>
      <c r="R17" s="285"/>
      <c r="S17" s="285"/>
      <c r="T17" s="285"/>
      <c r="U17" s="285"/>
      <c r="V17" s="286"/>
      <c r="W17" s="286"/>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row>
    <row r="18" spans="1:75" x14ac:dyDescent="0.25">
      <c r="A18" s="285"/>
      <c r="B18" s="285"/>
      <c r="C18" s="285"/>
      <c r="D18" s="285"/>
      <c r="E18" s="285"/>
      <c r="F18" s="285"/>
      <c r="G18" s="285"/>
      <c r="H18" s="285"/>
      <c r="I18" s="285"/>
      <c r="J18" s="285"/>
      <c r="K18" s="285"/>
      <c r="L18" s="285"/>
      <c r="M18" s="285"/>
      <c r="N18" s="285"/>
      <c r="O18" s="285"/>
      <c r="P18" s="285"/>
      <c r="Q18" s="285"/>
      <c r="R18" s="285"/>
      <c r="S18" s="285"/>
      <c r="T18" s="285"/>
      <c r="U18" s="285"/>
      <c r="V18" s="286"/>
      <c r="W18" s="286"/>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row>
    <row r="19" spans="1:75" x14ac:dyDescent="0.25">
      <c r="A19" s="285"/>
      <c r="B19" s="285"/>
      <c r="C19" s="285"/>
      <c r="D19" s="285"/>
      <c r="E19" s="285"/>
      <c r="F19" s="285"/>
      <c r="G19" s="285"/>
      <c r="H19" s="285"/>
      <c r="I19" s="285"/>
      <c r="J19" s="285"/>
      <c r="K19" s="285"/>
      <c r="L19" s="285"/>
      <c r="M19" s="285"/>
      <c r="N19" s="285"/>
      <c r="O19" s="285"/>
      <c r="P19" s="285"/>
      <c r="Q19" s="285"/>
      <c r="R19" s="285"/>
      <c r="S19" s="285"/>
      <c r="T19" s="285"/>
      <c r="U19" s="285"/>
      <c r="V19" s="286"/>
      <c r="W19" s="286"/>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row>
    <row r="20" spans="1:75" x14ac:dyDescent="0.25">
      <c r="A20" s="285"/>
      <c r="B20" s="285"/>
      <c r="C20" s="285"/>
      <c r="D20" s="285"/>
      <c r="E20" s="285"/>
      <c r="F20" s="285"/>
      <c r="G20" s="285"/>
      <c r="H20" s="285"/>
      <c r="I20" s="285"/>
      <c r="J20" s="285"/>
      <c r="K20" s="285"/>
      <c r="L20" s="285"/>
      <c r="M20" s="285"/>
      <c r="N20" s="285"/>
      <c r="O20" s="285"/>
      <c r="P20" s="285"/>
      <c r="Q20" s="285"/>
      <c r="R20" s="285"/>
      <c r="S20" s="285"/>
      <c r="T20" s="285"/>
      <c r="U20" s="285"/>
      <c r="V20" s="286"/>
      <c r="W20" s="286"/>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row>
    <row r="21" spans="1:75" x14ac:dyDescent="0.25">
      <c r="A21" s="285"/>
      <c r="B21" s="285"/>
      <c r="C21" s="285"/>
      <c r="D21" s="285"/>
      <c r="E21" s="285"/>
      <c r="F21" s="285"/>
      <c r="G21" s="285"/>
      <c r="H21" s="285"/>
      <c r="I21" s="285"/>
      <c r="J21" s="285"/>
      <c r="K21" s="285"/>
      <c r="L21" s="285"/>
      <c r="M21" s="285"/>
      <c r="N21" s="285"/>
      <c r="O21" s="285"/>
      <c r="P21" s="285"/>
      <c r="Q21" s="285"/>
      <c r="R21" s="285"/>
      <c r="S21" s="285"/>
      <c r="T21" s="285"/>
      <c r="U21" s="285"/>
      <c r="V21" s="286"/>
      <c r="W21" s="286"/>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row>
    <row r="22" spans="1:75" x14ac:dyDescent="0.25">
      <c r="A22" s="285"/>
      <c r="B22" s="285"/>
      <c r="C22" s="285"/>
      <c r="D22" s="285"/>
      <c r="E22" s="285"/>
      <c r="F22" s="285"/>
      <c r="G22" s="285"/>
      <c r="H22" s="285"/>
      <c r="I22" s="285"/>
      <c r="J22" s="285"/>
      <c r="K22" s="285"/>
      <c r="L22" s="285"/>
      <c r="M22" s="285"/>
      <c r="N22" s="285"/>
      <c r="O22" s="285"/>
      <c r="P22" s="285"/>
      <c r="Q22" s="285"/>
      <c r="R22" s="285"/>
      <c r="S22" s="285"/>
      <c r="T22" s="285"/>
      <c r="U22" s="285"/>
      <c r="V22" s="286"/>
      <c r="W22" s="286"/>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row>
    <row r="23" spans="1:75" x14ac:dyDescent="0.2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285"/>
      <c r="BT23" s="285"/>
      <c r="BU23" s="285"/>
      <c r="BV23" s="285"/>
      <c r="BW23" s="285"/>
    </row>
    <row r="24" spans="1:75" x14ac:dyDescent="0.2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row>
    <row r="25" spans="1:75" x14ac:dyDescent="0.2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row>
    <row r="26" spans="1:75" x14ac:dyDescent="0.2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c r="BV26" s="285"/>
      <c r="BW26" s="285"/>
    </row>
    <row r="27" spans="1:75" x14ac:dyDescent="0.2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c r="BV27" s="285"/>
      <c r="BW27" s="285"/>
    </row>
    <row r="28" spans="1:75" x14ac:dyDescent="0.2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285"/>
      <c r="BV28" s="285"/>
      <c r="BW28" s="285"/>
    </row>
    <row r="29" spans="1:75" x14ac:dyDescent="0.2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c r="BV29" s="285"/>
      <c r="BW29" s="285"/>
    </row>
    <row r="30" spans="1:75" x14ac:dyDescent="0.2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row>
    <row r="31" spans="1:75" x14ac:dyDescent="0.2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row>
    <row r="32" spans="1:75" x14ac:dyDescent="0.2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S32" s="285"/>
      <c r="BT32" s="285"/>
      <c r="BU32" s="285"/>
      <c r="BV32" s="285"/>
      <c r="BW32" s="285"/>
    </row>
    <row r="33" spans="25:75" x14ac:dyDescent="0.2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row>
  </sheetData>
  <sheetProtection algorithmName="SHA-512" hashValue="OTWEtypsymPxMkWP8NkfAsQkUTC/41jA7/8v/he+U+CoXcXBq2mrSuZ0j0ggpi0wDjG9oUhvus1yWw4jAojmwg==" saltValue="HoSQJCKYr6X0QI4Ux04H4g==" spinCount="100000" sheet="1" objects="1" scenarios="1" selectLockedCells="1" selectUnlockedCells="1"/>
  <mergeCells count="36">
    <mergeCell ref="C1:X3"/>
    <mergeCell ref="A4:K4"/>
    <mergeCell ref="L4:P5"/>
    <mergeCell ref="Q4:U5"/>
    <mergeCell ref="V4:W5"/>
    <mergeCell ref="X4:X5"/>
    <mergeCell ref="Y4:AF4"/>
    <mergeCell ref="AG4:AN4"/>
    <mergeCell ref="AO4:AV4"/>
    <mergeCell ref="A5:C5"/>
    <mergeCell ref="E5:F5"/>
    <mergeCell ref="G5:I5"/>
    <mergeCell ref="J5:J6"/>
    <mergeCell ref="K5:K6"/>
    <mergeCell ref="Y5:AB5"/>
    <mergeCell ref="AC5:AF5"/>
    <mergeCell ref="AG5:AJ5"/>
    <mergeCell ref="AK5:AN5"/>
    <mergeCell ref="AO5:AR5"/>
    <mergeCell ref="AS5:AV5"/>
    <mergeCell ref="A7:A9"/>
    <mergeCell ref="B7:B9"/>
    <mergeCell ref="C7:C9"/>
    <mergeCell ref="D7:D9"/>
    <mergeCell ref="E7:E9"/>
    <mergeCell ref="F7:F9"/>
    <mergeCell ref="X7:X9"/>
    <mergeCell ref="Y10:Z10"/>
    <mergeCell ref="AG10:AH10"/>
    <mergeCell ref="AO10:AP10"/>
    <mergeCell ref="G7:G9"/>
    <mergeCell ref="H7:H9"/>
    <mergeCell ref="I7:I9"/>
    <mergeCell ref="J7:J9"/>
    <mergeCell ref="K7:K9"/>
    <mergeCell ref="W7:W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Consolidado 2020</vt:lpstr>
      <vt:lpstr>TIC</vt:lpstr>
      <vt:lpstr>Comunicaciones</vt:lpstr>
      <vt:lpstr>Oficina Asesora Planeación</vt:lpstr>
      <vt:lpstr>PAI SES</vt:lpstr>
      <vt:lpstr>SIPTA</vt:lpstr>
      <vt:lpstr>SAF</vt:lpstr>
      <vt:lpstr>Oficina Asesora Jurídica</vt:lpstr>
      <vt:lpstr>Control Disciplinario</vt:lpstr>
      <vt:lpstr>Control Interno</vt:lpstr>
      <vt:lpstr>PAI REGALÍAS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Castro</dc:creator>
  <cp:lastModifiedBy>Christian David Castro</cp:lastModifiedBy>
  <dcterms:created xsi:type="dcterms:W3CDTF">2020-04-23T16:18:23Z</dcterms:created>
  <dcterms:modified xsi:type="dcterms:W3CDTF">2020-05-13T17:02:46Z</dcterms:modified>
</cp:coreProperties>
</file>